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tabRatio="207" activeTab="1"/>
  </bookViews>
  <sheets>
    <sheet name="дод. 2" sheetId="1" r:id="rId1"/>
    <sheet name="дод. 3" sheetId="2" r:id="rId2"/>
  </sheets>
  <definedNames>
    <definedName name="_xlfn.AGGREGATE" hidden="1">#NAME?</definedName>
    <definedName name="_xlnm.Print_Titles" localSheetId="0">'дод. 2'!$7:$10</definedName>
    <definedName name="_xlnm.Print_Titles" localSheetId="1">'дод. 3'!$8:$11</definedName>
    <definedName name="_xlnm.Print_Area" localSheetId="0">'дод. 2'!$A$1:$Q$330</definedName>
    <definedName name="_xlnm.Print_Area" localSheetId="1">'дод. 3'!$A$1:$P$249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32" authorId="0">
      <text>
        <r>
          <rPr>
            <b/>
            <sz val="8"/>
            <rFont val="Tahoma"/>
            <family val="0"/>
          </rPr>
          <t>User:</t>
        </r>
      </text>
    </comment>
  </commentList>
</comments>
</file>

<file path=xl/sharedStrings.xml><?xml version="1.0" encoding="utf-8"?>
<sst xmlns="http://schemas.openxmlformats.org/spreadsheetml/2006/main" count="914" uniqueCount="669">
  <si>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</si>
  <si>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</si>
  <si>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</si>
  <si>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</si>
  <si>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Забезпечення надання послуг з перевезення пасажирів автомобільним транспортом</t>
  </si>
  <si>
    <t>7412</t>
  </si>
  <si>
    <t>7422</t>
  </si>
  <si>
    <t>7420</t>
  </si>
  <si>
    <t>Забезпечення надання послуг з перевезення пасажирів електротранспортом</t>
  </si>
  <si>
    <t>7426</t>
  </si>
  <si>
    <t>Інші програми та заходи, пов'язані з економічною діяльністю</t>
  </si>
  <si>
    <t>7610</t>
  </si>
  <si>
    <t>7670</t>
  </si>
  <si>
    <t>7690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</si>
  <si>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</si>
  <si>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</si>
  <si>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</si>
  <si>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</si>
  <si>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</si>
  <si>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</si>
  <si>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</si>
  <si>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</si>
  <si>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</si>
  <si>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</si>
  <si>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</si>
  <si>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</si>
  <si>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</si>
  <si>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</si>
  <si>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</si>
  <si>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</si>
  <si>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</si>
  <si>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</si>
  <si>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</si>
  <si>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</si>
  <si>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</si>
  <si>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</si>
  <si>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</si>
  <si>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</si>
  <si>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</si>
  <si>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</si>
  <si>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</si>
  <si>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</si>
  <si>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</si>
  <si>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</si>
  <si>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</si>
  <si>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</si>
  <si>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</si>
  <si>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</si>
  <si>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</si>
  <si>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</si>
  <si>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</si>
  <si>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</si>
  <si>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</si>
  <si>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</si>
  <si>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</si>
  <si>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</si>
  <si>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</si>
  <si>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</si>
  <si>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Соціальний захист ветеранів війни та праці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</si>
  <si>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</si>
  <si>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</si>
  <si>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Відділ культури та туризму Сумської міської ради</t>
  </si>
  <si>
    <t>Заклади і заходи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</si>
  <si>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</si>
  <si>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</si>
  <si>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</si>
  <si>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</si>
  <si>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</si>
  <si>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</si>
  <si>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</si>
  <si>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</si>
  <si>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</si>
  <si>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</si>
  <si>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</si>
  <si>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</si>
  <si>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</si>
  <si>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</si>
  <si>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</si>
  <si>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</si>
  <si>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</si>
  <si>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Код функціональної класифікації видатків та кредитування бюджету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</si>
  <si>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</si>
  <si>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</si>
  <si>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</si>
  <si>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</si>
  <si>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</si>
  <si>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</si>
  <si>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</si>
  <si>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</si>
  <si>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</si>
  <si>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</si>
  <si>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</si>
  <si>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</si>
  <si>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</si>
  <si>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</si>
  <si>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</si>
  <si>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</si>
  <si>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</si>
  <si>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</si>
  <si>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</si>
  <si>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</si>
  <si>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</si>
  <si>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</si>
  <si>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</si>
  <si>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</si>
  <si>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</si>
  <si>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</si>
  <si>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</si>
  <si>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6010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</si>
  <si>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</si>
  <si>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</si>
  <si>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</si>
  <si>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</si>
  <si>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</si>
  <si>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</si>
  <si>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</si>
  <si>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</si>
  <si>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</si>
  <si>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</si>
  <si>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</si>
  <si>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</si>
  <si>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5010</t>
  </si>
  <si>
    <t>5011</t>
  </si>
  <si>
    <t>0810</t>
  </si>
  <si>
    <t>5012</t>
  </si>
  <si>
    <t>5060</t>
  </si>
  <si>
    <t>0490</t>
  </si>
  <si>
    <t>0421</t>
  </si>
  <si>
    <t>0451</t>
  </si>
  <si>
    <t>0453</t>
  </si>
  <si>
    <t>7400</t>
  </si>
  <si>
    <t>7410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</si>
  <si>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</si>
  <si>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</si>
  <si>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</si>
  <si>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</si>
  <si>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</si>
  <si>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</si>
  <si>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</si>
  <si>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</si>
  <si>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</si>
  <si>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</si>
  <si>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</si>
  <si>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</si>
  <si>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</si>
  <si>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3030</t>
  </si>
  <si>
    <t>3031</t>
  </si>
  <si>
    <t>3033</t>
  </si>
  <si>
    <t>1040</t>
  </si>
  <si>
    <t>3050</t>
  </si>
  <si>
    <t>3100</t>
  </si>
  <si>
    <t>3104</t>
  </si>
  <si>
    <t>3112</t>
  </si>
  <si>
    <t>3180</t>
  </si>
  <si>
    <t>3190</t>
  </si>
  <si>
    <t>3200</t>
  </si>
  <si>
    <t>1050</t>
  </si>
  <si>
    <t>3130</t>
  </si>
  <si>
    <t>3131</t>
  </si>
  <si>
    <t>3140</t>
  </si>
  <si>
    <t>3160</t>
  </si>
  <si>
    <t>3110</t>
  </si>
  <si>
    <t>Реверсна дотація</t>
  </si>
  <si>
    <t>Код програмної класифікації видатків та кредитування місцевих бюджетів</t>
  </si>
  <si>
    <t>Міжбюджетні трансферти</t>
  </si>
  <si>
    <t>Код типової програмної класифікації видатків та кредитування місцевих бюджетів (КТПКВКМБ)</t>
  </si>
  <si>
    <t>0443</t>
  </si>
  <si>
    <t>Програми і централізовані заходи у галузі охорони здоров’я</t>
  </si>
  <si>
    <t>Реалізація державної політики у молодіжній сфері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</si>
  <si>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</si>
  <si>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</si>
  <si>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</si>
  <si>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</si>
  <si>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</si>
  <si>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5030</t>
  </si>
  <si>
    <t>5031</t>
  </si>
  <si>
    <t>5032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</si>
  <si>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</si>
  <si>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</si>
  <si>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</si>
  <si>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</si>
  <si>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</si>
  <si>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</si>
  <si>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</si>
  <si>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</si>
  <si>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</si>
  <si>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</si>
  <si>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</si>
  <si>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</si>
  <si>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</si>
  <si>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2110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</si>
  <si>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</si>
  <si>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</si>
  <si>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</si>
  <si>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2150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</si>
  <si>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</si>
  <si>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</si>
  <si>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</si>
  <si>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</si>
  <si>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</si>
  <si>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</si>
  <si>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</si>
  <si>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</si>
  <si>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</si>
  <si>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</si>
  <si>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</si>
  <si>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</si>
  <si>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</si>
  <si>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</si>
  <si>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</si>
  <si>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</si>
  <si>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</si>
  <si>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</si>
  <si>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</si>
  <si>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</si>
  <si>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</si>
  <si>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</si>
  <si>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</si>
  <si>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</si>
  <si>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</si>
  <si>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</si>
  <si>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</si>
  <si>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</si>
  <si>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</si>
  <si>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</si>
  <si>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</si>
  <si>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6080</t>
  </si>
  <si>
    <t xml:space="preserve">Реалізація державних та місцевих житлових програм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</si>
  <si>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</si>
  <si>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</si>
  <si>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</si>
  <si>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</si>
  <si>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</si>
  <si>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</si>
  <si>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</si>
  <si>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</si>
  <si>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</si>
  <si>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</si>
  <si>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</si>
  <si>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</si>
  <si>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</si>
  <si>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</si>
  <si>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</si>
  <si>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</si>
  <si>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</si>
  <si>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</si>
  <si>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</si>
  <si>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</si>
  <si>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</si>
  <si>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</si>
  <si>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</si>
  <si>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</si>
  <si>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</si>
  <si>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</si>
  <si>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</si>
  <si>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</si>
  <si>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</si>
  <si>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</si>
  <si>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</si>
  <si>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0217420</t>
  </si>
  <si>
    <t>0217422</t>
  </si>
  <si>
    <t>0217610</t>
  </si>
  <si>
    <t>0217670</t>
  </si>
  <si>
    <t>0217690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</si>
  <si>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</si>
  <si>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</si>
  <si>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</si>
  <si>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</si>
  <si>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</si>
  <si>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</si>
  <si>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</si>
  <si>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</si>
  <si>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</si>
  <si>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</si>
  <si>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</si>
  <si>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</si>
  <si>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</si>
  <si>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</si>
  <si>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</si>
  <si>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</si>
  <si>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</si>
  <si>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</si>
  <si>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0712150</t>
  </si>
  <si>
    <t>0712144</t>
  </si>
  <si>
    <t>0712140</t>
  </si>
  <si>
    <t>0712111</t>
  </si>
  <si>
    <t>0712110</t>
  </si>
  <si>
    <t>0712100</t>
  </si>
  <si>
    <t>0712080</t>
  </si>
  <si>
    <t>0712030</t>
  </si>
  <si>
    <t>0800000</t>
  </si>
  <si>
    <t>0810000</t>
  </si>
  <si>
    <t>0810160</t>
  </si>
  <si>
    <t>0813030</t>
  </si>
  <si>
    <t>0813031</t>
  </si>
  <si>
    <t>0813032</t>
  </si>
  <si>
    <t>0813033</t>
  </si>
  <si>
    <t>0813036</t>
  </si>
  <si>
    <t>0813050</t>
  </si>
  <si>
    <t>0813100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</si>
  <si>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</si>
  <si>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</si>
  <si>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</si>
  <si>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</si>
  <si>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</si>
  <si>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</si>
  <si>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</si>
  <si>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</si>
  <si>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0913110</t>
  </si>
  <si>
    <t>0913112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</si>
  <si>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</si>
  <si>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</si>
  <si>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</si>
  <si>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</si>
  <si>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</si>
  <si>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</si>
  <si>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</si>
  <si>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</si>
  <si>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1216013</t>
  </si>
  <si>
    <t>1216020</t>
  </si>
  <si>
    <t>1216030</t>
  </si>
  <si>
    <t>1217340</t>
  </si>
  <si>
    <t>1217640</t>
  </si>
  <si>
    <t>1217690</t>
  </si>
  <si>
    <t>1218320</t>
  </si>
  <si>
    <t>1218340</t>
  </si>
  <si>
    <t>1219770</t>
  </si>
  <si>
    <t>1516030</t>
  </si>
  <si>
    <t>1516080</t>
  </si>
  <si>
    <t>1516084</t>
  </si>
  <si>
    <t>1600000</t>
  </si>
  <si>
    <t>1610000</t>
  </si>
  <si>
    <t>1610160</t>
  </si>
  <si>
    <t>1617690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</si>
  <si>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</si>
  <si>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</si>
  <si>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</si>
  <si>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</si>
  <si>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</si>
  <si>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</si>
  <si>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</si>
  <si>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</si>
  <si>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</si>
  <si>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</si>
  <si>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</si>
  <si>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</si>
  <si>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</si>
  <si>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3600000</t>
  </si>
  <si>
    <t>3610000</t>
  </si>
  <si>
    <t>3610160</t>
  </si>
  <si>
    <t>Департамент містобудування та земельних відносин Сумської міської ради</t>
  </si>
  <si>
    <t>1011100</t>
  </si>
  <si>
    <t>1110</t>
  </si>
  <si>
    <t>0611110</t>
  </si>
  <si>
    <t>0611070</t>
  </si>
  <si>
    <t>0611090</t>
  </si>
  <si>
    <t>Інші програми, заклади та заходи у сфері освіти</t>
  </si>
  <si>
    <t>0611160</t>
  </si>
  <si>
    <t>1160</t>
  </si>
  <si>
    <t>Інші програми, заклади та заходи у сфері охорони здоров’я</t>
  </si>
  <si>
    <t>0218120</t>
  </si>
  <si>
    <t>РОЗПОДІЛ
видатків міського бюджету  на 2018 рік за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</si>
  <si>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</si>
  <si>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</si>
  <si>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</si>
  <si>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</si>
  <si>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</si>
  <si>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</si>
  <si>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</si>
  <si>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</si>
  <si>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</si>
  <si>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</si>
  <si>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 xml:space="preserve">РОЗПОДІЛ
видатків міського бюджету  на 2018 рік за головними розпорядниками коштів 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</si>
  <si>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</si>
  <si>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</si>
  <si>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</si>
  <si>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</si>
  <si>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</si>
  <si>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</si>
  <si>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</si>
  <si>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</si>
  <si>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</si>
  <si>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</si>
  <si>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</si>
  <si>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</si>
  <si>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</si>
  <si>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</si>
  <si>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</si>
  <si>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</si>
  <si>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</si>
  <si>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</si>
  <si>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</si>
  <si>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</si>
  <si>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</si>
  <si>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</si>
  <si>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</si>
  <si>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</si>
  <si>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</si>
  <si>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</si>
  <si>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</si>
  <si>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</si>
  <si>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</si>
  <si>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</si>
  <si>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</si>
  <si>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</si>
  <si>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</si>
  <si>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</si>
  <si>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</si>
  <si>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</si>
  <si>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</si>
  <si>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</si>
  <si>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3117690</t>
  </si>
  <si>
    <t>3117693</t>
  </si>
  <si>
    <t>Інша економічна діяльність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</si>
  <si>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</si>
  <si>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</si>
  <si>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</si>
  <si>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</si>
  <si>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</si>
  <si>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</si>
  <si>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</si>
  <si>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</si>
  <si>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</si>
  <si>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</si>
  <si>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</si>
  <si>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</si>
  <si>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</si>
  <si>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</si>
  <si>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</si>
  <si>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1517320</t>
  </si>
  <si>
    <t>7320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</si>
  <si>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</si>
  <si>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</si>
  <si>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</si>
  <si>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</si>
  <si>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</si>
  <si>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</si>
  <si>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</si>
  <si>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</si>
  <si>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</si>
  <si>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</si>
  <si>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</si>
  <si>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</si>
  <si>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</si>
  <si>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</si>
  <si>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</si>
  <si>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</si>
  <si>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</si>
  <si>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</si>
  <si>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</si>
  <si>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</si>
  <si>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</si>
  <si>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</si>
  <si>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</si>
  <si>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</si>
  <si>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</si>
  <si>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</si>
  <si>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3240</t>
  </si>
  <si>
    <t>Інші заклади та заходи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</si>
  <si>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</si>
  <si>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</si>
  <si>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</si>
  <si>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</si>
  <si>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</si>
  <si>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</si>
  <si>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</si>
  <si>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</si>
  <si>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</si>
  <si>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</si>
  <si>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</si>
  <si>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</si>
  <si>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</si>
  <si>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</si>
  <si>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</si>
  <si>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</si>
  <si>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</si>
  <si>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</si>
  <si>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</si>
  <si>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</si>
  <si>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0213240</t>
  </si>
  <si>
    <t>0611161</t>
  </si>
  <si>
    <t>0611162</t>
  </si>
  <si>
    <t>0813241</t>
  </si>
  <si>
    <t>0813240</t>
  </si>
  <si>
    <t>0813242</t>
  </si>
  <si>
    <t>0813190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</si>
  <si>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</si>
  <si>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</si>
  <si>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</si>
  <si>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</si>
  <si>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</si>
  <si>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</si>
  <si>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</si>
  <si>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</si>
  <si>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</si>
  <si>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</si>
  <si>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Первинна медична допомога населенню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</si>
  <si>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</si>
  <si>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</si>
  <si>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</si>
  <si>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</si>
  <si>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</si>
  <si>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</si>
  <si>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</si>
  <si>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3170</t>
  </si>
  <si>
    <t>3171</t>
  </si>
  <si>
    <t>3172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</si>
  <si>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</si>
  <si>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</si>
  <si>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</si>
  <si>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0813170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</si>
  <si>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</si>
  <si>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</si>
  <si>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</si>
  <si>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</si>
  <si>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3010</t>
  </si>
  <si>
    <t>3011</t>
  </si>
  <si>
    <t>3012</t>
  </si>
  <si>
    <t>3020</t>
  </si>
  <si>
    <t>3021</t>
  </si>
  <si>
    <t>3022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</si>
  <si>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</si>
  <si>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</si>
  <si>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</si>
  <si>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</si>
  <si>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</si>
  <si>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</si>
  <si>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0813010</t>
  </si>
  <si>
    <t>0813011</t>
  </si>
  <si>
    <t>0813012</t>
  </si>
  <si>
    <t>0813020</t>
  </si>
  <si>
    <t>0813021</t>
  </si>
  <si>
    <t>0813022</t>
  </si>
  <si>
    <t>3040</t>
  </si>
  <si>
    <t>3041</t>
  </si>
  <si>
    <t>3042</t>
  </si>
  <si>
    <t>3043</t>
  </si>
  <si>
    <t>3044</t>
  </si>
  <si>
    <t>3045</t>
  </si>
  <si>
    <t>3046</t>
  </si>
  <si>
    <t>3047</t>
  </si>
  <si>
    <t>Надання допомоги сім'ям з дітьми, малозабезпеченим сім’ям, тимчасової допомоги дітям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</si>
  <si>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</si>
  <si>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</si>
  <si>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</si>
  <si>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</si>
  <si>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</si>
  <si>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</si>
  <si>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</si>
  <si>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0813040</t>
  </si>
  <si>
    <t>0813041</t>
  </si>
  <si>
    <t>0813042</t>
  </si>
  <si>
    <t>0813043</t>
  </si>
  <si>
    <t>0813044</t>
  </si>
  <si>
    <t>0813045</t>
  </si>
  <si>
    <t>0813046</t>
  </si>
  <si>
    <t>0813047</t>
  </si>
  <si>
    <t>3080</t>
  </si>
  <si>
    <t>3081</t>
  </si>
  <si>
    <t>3082</t>
  </si>
  <si>
    <t>3083</t>
  </si>
  <si>
    <t>3084</t>
  </si>
  <si>
    <t>3085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</si>
  <si>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</si>
  <si>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</si>
  <si>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</si>
  <si>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</si>
  <si>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</si>
  <si>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</si>
  <si>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</si>
  <si>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</si>
  <si>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0813080</t>
  </si>
  <si>
    <t>0813081</t>
  </si>
  <si>
    <t>0813082</t>
  </si>
  <si>
    <t>0813083</t>
  </si>
  <si>
    <t>0813084</t>
  </si>
  <si>
    <t>0813085</t>
  </si>
  <si>
    <t>0813230</t>
  </si>
  <si>
    <t>0613240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</si>
  <si>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</si>
  <si>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</si>
  <si>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</si>
  <si>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</si>
  <si>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</si>
  <si>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</si>
  <si>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</si>
  <si>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</si>
  <si>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</si>
  <si>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</si>
  <si>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</si>
  <si>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</si>
  <si>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</si>
  <si>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</si>
  <si>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</si>
  <si>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</si>
  <si>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</si>
  <si>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</si>
  <si>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</si>
  <si>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</si>
  <si>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</si>
  <si>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</si>
  <si>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</si>
  <si>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</si>
  <si>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0617363</t>
  </si>
  <si>
    <t>0712151</t>
  </si>
  <si>
    <t>0712152</t>
  </si>
  <si>
    <t>0717360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</si>
  <si>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</si>
  <si>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</si>
  <si>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</si>
  <si>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</si>
  <si>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1217360</t>
  </si>
  <si>
    <t>1217363</t>
  </si>
  <si>
    <t>1517360</t>
  </si>
  <si>
    <t>1517363</t>
  </si>
  <si>
    <t>1517690</t>
  </si>
  <si>
    <t>1517691</t>
  </si>
  <si>
    <t>7440</t>
  </si>
  <si>
    <t>Утримання та розвиток транспортної інфраструктури</t>
  </si>
  <si>
    <t>7442</t>
  </si>
  <si>
    <t>Утримання та розвиток інших об’єктів транспортної інфраструктури</t>
  </si>
  <si>
    <t>1517440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</si>
  <si>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</si>
  <si>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</si>
  <si>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</si>
  <si>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</si>
  <si>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</si>
  <si>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</si>
  <si>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</si>
  <si>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</si>
  <si>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</si>
  <si>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</si>
  <si>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</si>
  <si>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</si>
  <si>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</si>
  <si>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6070</t>
  </si>
  <si>
    <t>6072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</si>
  <si>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</si>
  <si>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</si>
  <si>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</si>
  <si>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</si>
  <si>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1517460</t>
  </si>
  <si>
    <t>7460</t>
  </si>
  <si>
    <t>Утримання та розвиток автомобільних доріг та дорожньої інфраструктури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</si>
  <si>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</si>
  <si>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</si>
  <si>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</si>
  <si>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</si>
  <si>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</si>
  <si>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</si>
  <si>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</si>
  <si>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</si>
  <si>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</si>
  <si>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</si>
  <si>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3220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</si>
  <si>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</si>
  <si>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</si>
  <si>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</si>
  <si>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</si>
  <si>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0813221</t>
  </si>
  <si>
    <t>1017360</t>
  </si>
  <si>
    <t>1017363</t>
  </si>
  <si>
    <t xml:space="preserve">                Додаток 2</t>
  </si>
  <si>
    <t>до  рішення виконавчого комітету</t>
  </si>
  <si>
    <t xml:space="preserve">економіки та інвестицій </t>
  </si>
  <si>
    <t xml:space="preserve">Директор департаменту фінансів, </t>
  </si>
  <si>
    <t>С.А. Липова</t>
  </si>
  <si>
    <t xml:space="preserve">                Додаток 3</t>
  </si>
  <si>
    <t>від 10.07.2018 № 347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</si>
</sst>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5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62"/>
      <name val="Times New Roman"/>
      <family val="1"/>
    </font>
    <font>
      <sz val="10"/>
      <color indexed="16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8"/>
      <name val="Tahoma"/>
      <family val="0"/>
    </font>
    <font>
      <i/>
      <sz val="10"/>
      <color indexed="16"/>
      <name val="Times New Roman"/>
      <family val="1"/>
    </font>
    <font>
      <sz val="16"/>
      <name val="Times New Roman"/>
      <family val="1"/>
    </font>
    <font>
      <sz val="22"/>
      <color indexed="10"/>
      <name val="Times New Roman"/>
      <family val="1"/>
    </font>
    <font>
      <b/>
      <sz val="20"/>
      <name val="Times New Roman"/>
      <family val="1"/>
    </font>
    <font>
      <sz val="18"/>
      <name val="Times New Roman"/>
      <family val="0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0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1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8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/>
      <protection/>
    </xf>
    <xf numFmtId="49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49" fontId="32" fillId="0" borderId="12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49" fontId="31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2" xfId="0" applyNumberFormat="1" applyFont="1" applyFill="1" applyBorder="1" applyAlignment="1" applyProtection="1">
      <alignment horizontal="center" vertical="center"/>
      <protection/>
    </xf>
    <xf numFmtId="49" fontId="24" fillId="0" borderId="12" xfId="0" applyNumberFormat="1" applyFont="1" applyFill="1" applyBorder="1" applyAlignment="1" applyProtection="1">
      <alignment horizontal="center" vertical="center"/>
      <protection/>
    </xf>
    <xf numFmtId="49" fontId="32" fillId="0" borderId="12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8" fillId="13" borderId="0" xfId="0" applyFont="1" applyFill="1" applyAlignment="1">
      <alignment vertical="center"/>
    </xf>
    <xf numFmtId="0" fontId="27" fillId="13" borderId="0" xfId="0" applyFont="1" applyFill="1" applyAlignment="1">
      <alignment vertical="center"/>
    </xf>
    <xf numFmtId="0" fontId="3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49" fontId="35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0" xfId="0" applyNumberFormat="1" applyFont="1" applyFill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Font="1" applyFill="1" applyBorder="1" applyAlignment="1">
      <alignment horizontal="center" wrapText="1"/>
    </xf>
    <xf numFmtId="0" fontId="32" fillId="0" borderId="12" xfId="0" applyFont="1" applyBorder="1" applyAlignment="1">
      <alignment vertical="center" wrapText="1"/>
    </xf>
    <xf numFmtId="4" fontId="27" fillId="0" borderId="12" xfId="0" applyNumberFormat="1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4" fontId="24" fillId="0" borderId="12" xfId="0" applyNumberFormat="1" applyFont="1" applyFill="1" applyBorder="1" applyAlignment="1">
      <alignment/>
    </xf>
    <xf numFmtId="4" fontId="31" fillId="0" borderId="12" xfId="0" applyNumberFormat="1" applyFont="1" applyFill="1" applyBorder="1" applyAlignment="1">
      <alignment/>
    </xf>
    <xf numFmtId="4" fontId="32" fillId="0" borderId="12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vertical="center"/>
    </xf>
    <xf numFmtId="49" fontId="24" fillId="0" borderId="12" xfId="0" applyNumberFormat="1" applyFont="1" applyFill="1" applyBorder="1" applyAlignment="1" applyProtection="1">
      <alignment horizontal="left" vertical="center" wrapText="1"/>
      <protection/>
    </xf>
    <xf numFmtId="49" fontId="31" fillId="0" borderId="12" xfId="0" applyNumberFormat="1" applyFont="1" applyFill="1" applyBorder="1" applyAlignment="1">
      <alignment horizontal="left" vertical="center"/>
    </xf>
    <xf numFmtId="4" fontId="31" fillId="0" borderId="12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49" fontId="35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49" fontId="31" fillId="0" borderId="12" xfId="0" applyNumberFormat="1" applyFont="1" applyFill="1" applyBorder="1" applyAlignment="1">
      <alignment horizontal="center" vertical="center"/>
    </xf>
    <xf numFmtId="4" fontId="31" fillId="0" borderId="12" xfId="0" applyNumberFormat="1" applyFont="1" applyFill="1" applyBorder="1" applyAlignment="1">
      <alignment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49" fontId="26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/>
      <protection/>
    </xf>
    <xf numFmtId="0" fontId="26" fillId="4" borderId="0" xfId="0" applyNumberFormat="1" applyFont="1" applyFill="1" applyAlignment="1" applyProtection="1">
      <alignment horizontal="center"/>
      <protection/>
    </xf>
    <xf numFmtId="49" fontId="31" fillId="0" borderId="12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4" fontId="29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vertical="center"/>
    </xf>
    <xf numFmtId="49" fontId="28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>
      <alignment horizontal="left" vertical="center" wrapText="1"/>
    </xf>
    <xf numFmtId="4" fontId="28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 applyProtection="1">
      <alignment horizontal="center" vertical="center"/>
      <protection/>
    </xf>
    <xf numFmtId="49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 applyProtection="1">
      <alignment horizontal="center"/>
      <protection/>
    </xf>
    <xf numFmtId="49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8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>
      <alignment vertical="center"/>
    </xf>
    <xf numFmtId="49" fontId="29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" fontId="26" fillId="0" borderId="12" xfId="0" applyNumberFormat="1" applyFont="1" applyFill="1" applyBorder="1" applyAlignment="1">
      <alignment horizontal="right" vertical="center"/>
    </xf>
    <xf numFmtId="4" fontId="26" fillId="0" borderId="1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6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14" xfId="0" applyFont="1" applyFill="1" applyBorder="1" applyAlignment="1">
      <alignment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49" fontId="28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left" vertical="center" wrapText="1" shrinkToFit="1"/>
      <protection/>
    </xf>
    <xf numFmtId="0" fontId="28" fillId="0" borderId="12" xfId="0" applyNumberFormat="1" applyFont="1" applyFill="1" applyBorder="1" applyAlignment="1" applyProtection="1">
      <alignment horizontal="left" vertical="center" wrapText="1" shrinkToFit="1"/>
      <protection/>
    </xf>
    <xf numFmtId="49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 wrapText="1"/>
    </xf>
    <xf numFmtId="0" fontId="0" fillId="13" borderId="0" xfId="0" applyFont="1" applyFill="1" applyBorder="1" applyAlignment="1">
      <alignment/>
    </xf>
    <xf numFmtId="4" fontId="0" fillId="4" borderId="0" xfId="0" applyNumberFormat="1" applyFont="1" applyFill="1" applyBorder="1" applyAlignment="1">
      <alignment/>
    </xf>
    <xf numFmtId="4" fontId="46" fillId="4" borderId="13" xfId="0" applyNumberFormat="1" applyFont="1" applyFill="1" applyBorder="1" applyAlignment="1">
      <alignment vertical="center"/>
    </xf>
    <xf numFmtId="4" fontId="47" fillId="4" borderId="13" xfId="0" applyNumberFormat="1" applyFont="1" applyFill="1" applyBorder="1" applyAlignment="1">
      <alignment vertical="center"/>
    </xf>
    <xf numFmtId="0" fontId="0" fillId="13" borderId="0" xfId="0" applyFont="1" applyFill="1" applyBorder="1" applyAlignment="1">
      <alignment/>
    </xf>
    <xf numFmtId="0" fontId="0" fillId="13" borderId="0" xfId="0" applyFont="1" applyFill="1" applyBorder="1" applyAlignment="1">
      <alignment horizontal="center" vertical="center" wrapText="1"/>
    </xf>
    <xf numFmtId="9" fontId="0" fillId="13" borderId="0" xfId="0" applyNumberFormat="1" applyFont="1" applyFill="1" applyBorder="1" applyAlignment="1">
      <alignment horizontal="center" vertical="center"/>
    </xf>
    <xf numFmtId="10" fontId="0" fillId="13" borderId="0" xfId="0" applyNumberFormat="1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center"/>
    </xf>
    <xf numFmtId="4" fontId="43" fillId="7" borderId="0" xfId="0" applyNumberFormat="1" applyFont="1" applyFill="1" applyBorder="1" applyAlignment="1">
      <alignment vertical="center"/>
    </xf>
    <xf numFmtId="4" fontId="43" fillId="4" borderId="0" xfId="0" applyNumberFormat="1" applyFont="1" applyFill="1" applyBorder="1" applyAlignment="1">
      <alignment vertical="center"/>
    </xf>
    <xf numFmtId="4" fontId="48" fillId="13" borderId="0" xfId="0" applyNumberFormat="1" applyFont="1" applyFill="1" applyBorder="1" applyAlignment="1">
      <alignment vertical="center"/>
    </xf>
    <xf numFmtId="4" fontId="0" fillId="13" borderId="0" xfId="0" applyNumberFormat="1" applyFont="1" applyFill="1" applyBorder="1" applyAlignment="1">
      <alignment vertical="center"/>
    </xf>
    <xf numFmtId="4" fontId="0" fillId="4" borderId="0" xfId="0" applyNumberFormat="1" applyFont="1" applyFill="1" applyBorder="1" applyAlignment="1">
      <alignment vertical="center"/>
    </xf>
    <xf numFmtId="4" fontId="44" fillId="13" borderId="0" xfId="0" applyNumberFormat="1" applyFont="1" applyFill="1" applyBorder="1" applyAlignment="1">
      <alignment vertical="center"/>
    </xf>
    <xf numFmtId="4" fontId="44" fillId="20" borderId="0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4" fontId="48" fillId="4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4" fontId="0" fillId="20" borderId="0" xfId="0" applyNumberFormat="1" applyFont="1" applyFill="1" applyBorder="1" applyAlignment="1">
      <alignment vertical="center"/>
    </xf>
    <xf numFmtId="0" fontId="27" fillId="13" borderId="0" xfId="0" applyFont="1" applyFill="1" applyBorder="1" applyAlignment="1">
      <alignment vertical="center"/>
    </xf>
    <xf numFmtId="0" fontId="45" fillId="13" borderId="0" xfId="0" applyFont="1" applyFill="1" applyBorder="1" applyAlignment="1">
      <alignment horizontal="center" vertical="center" wrapText="1"/>
    </xf>
    <xf numFmtId="0" fontId="45" fillId="7" borderId="0" xfId="0" applyFont="1" applyFill="1" applyBorder="1" applyAlignment="1">
      <alignment horizontal="center" vertical="center" wrapText="1"/>
    </xf>
    <xf numFmtId="0" fontId="45" fillId="13" borderId="0" xfId="0" applyFont="1" applyFill="1" applyBorder="1" applyAlignment="1">
      <alignment horizontal="center" vertical="center"/>
    </xf>
    <xf numFmtId="10" fontId="45" fillId="13" borderId="0" xfId="0" applyNumberFormat="1" applyFont="1" applyFill="1" applyBorder="1" applyAlignment="1">
      <alignment horizontal="center" vertical="center"/>
    </xf>
    <xf numFmtId="9" fontId="45" fillId="7" borderId="0" xfId="0" applyNumberFormat="1" applyFont="1" applyFill="1" applyBorder="1" applyAlignment="1">
      <alignment horizontal="center" vertical="center"/>
    </xf>
    <xf numFmtId="0" fontId="45" fillId="7" borderId="0" xfId="0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7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9" fontId="46" fillId="0" borderId="0" xfId="0" applyNumberFormat="1" applyFont="1" applyFill="1" applyBorder="1" applyAlignment="1">
      <alignment horizontal="center" vertical="center"/>
    </xf>
    <xf numFmtId="10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9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" fontId="30" fillId="0" borderId="0" xfId="0" applyNumberFormat="1" applyFont="1" applyFill="1" applyBorder="1" applyAlignment="1">
      <alignment horizontal="center" vertical="center" textRotation="180"/>
    </xf>
    <xf numFmtId="0" fontId="26" fillId="13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3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4" fontId="49" fillId="0" borderId="0" xfId="0" applyNumberFormat="1" applyFont="1" applyFill="1" applyAlignment="1" applyProtection="1">
      <alignment/>
      <protection/>
    </xf>
    <xf numFmtId="4" fontId="50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Border="1" applyAlignment="1">
      <alignment/>
    </xf>
    <xf numFmtId="0" fontId="26" fillId="0" borderId="12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Font="1" applyFill="1" applyBorder="1" applyAlignment="1">
      <alignment horizontal="left" wrapText="1"/>
    </xf>
    <xf numFmtId="4" fontId="31" fillId="0" borderId="0" xfId="0" applyNumberFormat="1" applyFont="1" applyFill="1" applyBorder="1" applyAlignment="1">
      <alignment/>
    </xf>
    <xf numFmtId="49" fontId="30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wrapText="1"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4" fontId="26" fillId="0" borderId="0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left" wrapText="1"/>
      <protection/>
    </xf>
    <xf numFmtId="0" fontId="28" fillId="0" borderId="12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vertical="center"/>
    </xf>
    <xf numFmtId="197" fontId="26" fillId="0" borderId="12" xfId="69" applyFont="1" applyFill="1" applyBorder="1" applyAlignment="1">
      <alignment vertical="center"/>
    </xf>
    <xf numFmtId="4" fontId="44" fillId="4" borderId="0" xfId="0" applyNumberFormat="1" applyFont="1" applyFill="1" applyBorder="1" applyAlignment="1">
      <alignment vertical="center"/>
    </xf>
    <xf numFmtId="4" fontId="52" fillId="4" borderId="0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/>
    </xf>
    <xf numFmtId="49" fontId="49" fillId="0" borderId="0" xfId="0" applyNumberFormat="1" applyFont="1" applyFill="1" applyBorder="1" applyAlignment="1">
      <alignment horizontal="left" vertical="center" wrapText="1"/>
    </xf>
    <xf numFmtId="49" fontId="53" fillId="0" borderId="0" xfId="0" applyNumberFormat="1" applyFont="1" applyFill="1" applyBorder="1" applyAlignment="1">
      <alignment vertical="center" wrapText="1"/>
    </xf>
    <xf numFmtId="4" fontId="49" fillId="0" borderId="0" xfId="0" applyNumberFormat="1" applyFont="1" applyFill="1" applyBorder="1" applyAlignment="1">
      <alignment vertical="center"/>
    </xf>
    <xf numFmtId="49" fontId="49" fillId="0" borderId="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Border="1" applyAlignment="1">
      <alignment/>
    </xf>
    <xf numFmtId="0" fontId="50" fillId="7" borderId="0" xfId="0" applyFont="1" applyFill="1" applyBorder="1" applyAlignment="1">
      <alignment/>
    </xf>
    <xf numFmtId="0" fontId="50" fillId="0" borderId="0" xfId="0" applyFont="1" applyFill="1" applyAlignment="1">
      <alignment/>
    </xf>
    <xf numFmtId="4" fontId="55" fillId="0" borderId="0" xfId="0" applyNumberFormat="1" applyFont="1" applyFill="1" applyBorder="1" applyAlignment="1">
      <alignment/>
    </xf>
    <xf numFmtId="0" fontId="30" fillId="7" borderId="0" xfId="0" applyFont="1" applyFill="1" applyBorder="1" applyAlignment="1">
      <alignment/>
    </xf>
    <xf numFmtId="49" fontId="33" fillId="0" borderId="12" xfId="0" applyNumberFormat="1" applyFont="1" applyFill="1" applyBorder="1" applyAlignment="1">
      <alignment horizontal="center" vertical="center"/>
    </xf>
    <xf numFmtId="4" fontId="33" fillId="0" borderId="12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0" fontId="28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15" xfId="0" applyFont="1" applyBorder="1" applyAlignment="1">
      <alignment vertical="center" wrapText="1"/>
    </xf>
    <xf numFmtId="0" fontId="31" fillId="0" borderId="0" xfId="0" applyFont="1" applyAlignment="1">
      <alignment wrapText="1"/>
    </xf>
    <xf numFmtId="4" fontId="0" fillId="0" borderId="0" xfId="0" applyNumberFormat="1" applyFont="1" applyFill="1" applyBorder="1" applyAlignment="1">
      <alignment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wrapText="1"/>
    </xf>
    <xf numFmtId="49" fontId="28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wrapText="1"/>
    </xf>
    <xf numFmtId="0" fontId="26" fillId="0" borderId="0" xfId="0" applyNumberFormat="1" applyFont="1" applyFill="1" applyBorder="1" applyAlignment="1">
      <alignment wrapText="1"/>
    </xf>
    <xf numFmtId="3" fontId="49" fillId="0" borderId="0" xfId="0" applyNumberFormat="1" applyFont="1" applyFill="1" applyBorder="1" applyAlignment="1">
      <alignment horizontal="center" vertical="center" wrapText="1"/>
    </xf>
    <xf numFmtId="200" fontId="27" fillId="0" borderId="0" xfId="0" applyNumberFormat="1" applyFont="1" applyFill="1" applyBorder="1" applyAlignment="1">
      <alignment vertical="center"/>
    </xf>
    <xf numFmtId="3" fontId="49" fillId="0" borderId="0" xfId="0" applyNumberFormat="1" applyFont="1" applyFill="1" applyBorder="1" applyAlignment="1">
      <alignment vertical="center" wrapText="1"/>
    </xf>
    <xf numFmtId="3" fontId="56" fillId="0" borderId="0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/>
    </xf>
    <xf numFmtId="3" fontId="55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/>
      <protection/>
    </xf>
    <xf numFmtId="4" fontId="50" fillId="0" borderId="0" xfId="0" applyNumberFormat="1" applyFont="1" applyFill="1" applyBorder="1" applyAlignment="1">
      <alignment vertical="center"/>
    </xf>
    <xf numFmtId="49" fontId="49" fillId="0" borderId="16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 applyProtection="1">
      <alignment/>
      <protection/>
    </xf>
    <xf numFmtId="0" fontId="26" fillId="0" borderId="12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15" xfId="0" applyFont="1" applyFill="1" applyBorder="1" applyAlignment="1">
      <alignment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0" xfId="0" applyFont="1" applyAlignment="1">
      <alignment horizontal="justify" vertical="top" wrapText="1"/>
    </xf>
    <xf numFmtId="0" fontId="28" fillId="0" borderId="0" xfId="0" applyFont="1" applyAlignment="1">
      <alignment horizontal="justify" vertical="top" wrapText="1"/>
    </xf>
    <xf numFmtId="0" fontId="30" fillId="0" borderId="0" xfId="0" applyFont="1" applyFill="1" applyAlignment="1">
      <alignment vertical="center" wrapText="1"/>
    </xf>
    <xf numFmtId="0" fontId="30" fillId="0" borderId="0" xfId="0" applyNumberFormat="1" applyFont="1" applyFill="1" applyBorder="1" applyAlignment="1" applyProtection="1">
      <alignment/>
      <protection/>
    </xf>
    <xf numFmtId="49" fontId="49" fillId="0" borderId="0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 applyProtection="1">
      <alignment vertical="center"/>
      <protection/>
    </xf>
    <xf numFmtId="49" fontId="54" fillId="0" borderId="0" xfId="0" applyNumberFormat="1" applyFont="1" applyFill="1" applyBorder="1" applyAlignment="1" applyProtection="1">
      <alignment vertical="center"/>
      <protection/>
    </xf>
    <xf numFmtId="4" fontId="49" fillId="0" borderId="0" xfId="0" applyNumberFormat="1" applyFont="1" applyFill="1" applyBorder="1" applyAlignment="1" applyProtection="1">
      <alignment/>
      <protection/>
    </xf>
    <xf numFmtId="3" fontId="30" fillId="0" borderId="17" xfId="0" applyNumberFormat="1" applyFont="1" applyFill="1" applyBorder="1" applyAlignment="1">
      <alignment vertical="center" textRotation="180"/>
    </xf>
    <xf numFmtId="3" fontId="56" fillId="0" borderId="0" xfId="0" applyNumberFormat="1" applyFont="1" applyFill="1" applyBorder="1" applyAlignment="1">
      <alignment vertical="center" wrapText="1"/>
    </xf>
    <xf numFmtId="3" fontId="30" fillId="0" borderId="0" xfId="0" applyNumberFormat="1" applyFont="1" applyFill="1" applyBorder="1" applyAlignment="1">
      <alignment vertical="center" textRotation="180"/>
    </xf>
    <xf numFmtId="49" fontId="49" fillId="0" borderId="0" xfId="0" applyNumberFormat="1" applyFont="1" applyFill="1" applyBorder="1" applyAlignment="1" applyProtection="1">
      <alignment horizontal="left" vertical="center"/>
      <protection/>
    </xf>
    <xf numFmtId="49" fontId="54" fillId="0" borderId="0" xfId="0" applyNumberFormat="1" applyFont="1" applyFill="1" applyBorder="1" applyAlignment="1" applyProtection="1">
      <alignment horizontal="left" vertical="center"/>
      <protection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0" fontId="42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49" fontId="26" fillId="0" borderId="15" xfId="0" applyNumberFormat="1" applyFont="1" applyFill="1" applyBorder="1" applyAlignment="1" applyProtection="1">
      <alignment horizontal="center" vertical="center" wrapText="1"/>
      <protection/>
    </xf>
    <xf numFmtId="49" fontId="26" fillId="0" borderId="18" xfId="0" applyNumberFormat="1" applyFont="1" applyFill="1" applyBorder="1" applyAlignment="1" applyProtection="1">
      <alignment horizontal="center" vertical="center" wrapText="1"/>
      <protection/>
    </xf>
    <xf numFmtId="49" fontId="26" fillId="0" borderId="14" xfId="0" applyNumberFormat="1" applyFont="1" applyFill="1" applyBorder="1" applyAlignment="1" applyProtection="1">
      <alignment horizontal="center" vertical="center" wrapText="1"/>
      <protection/>
    </xf>
    <xf numFmtId="3" fontId="30" fillId="0" borderId="17" xfId="0" applyNumberFormat="1" applyFont="1" applyFill="1" applyBorder="1" applyAlignment="1">
      <alignment horizontal="center" vertical="center" textRotation="180"/>
    </xf>
    <xf numFmtId="49" fontId="26" fillId="0" borderId="0" xfId="0" applyNumberFormat="1" applyFont="1" applyFill="1" applyBorder="1" applyAlignment="1">
      <alignment horizontal="left" vertical="center" wrapText="1"/>
    </xf>
    <xf numFmtId="3" fontId="30" fillId="0" borderId="0" xfId="0" applyNumberFormat="1" applyFont="1" applyFill="1" applyBorder="1" applyAlignment="1">
      <alignment horizontal="center" vertical="center" textRotation="180"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3" fontId="30" fillId="0" borderId="17" xfId="0" applyNumberFormat="1" applyFont="1" applyFill="1" applyBorder="1" applyAlignment="1">
      <alignment horizontal="center" vertical="center" textRotation="180"/>
    </xf>
    <xf numFmtId="0" fontId="45" fillId="13" borderId="0" xfId="0" applyFont="1" applyFill="1" applyBorder="1" applyAlignment="1">
      <alignment horizontal="center" vertical="center"/>
    </xf>
    <xf numFmtId="0" fontId="45" fillId="13" borderId="0" xfId="0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 textRotation="180"/>
    </xf>
    <xf numFmtId="3" fontId="49" fillId="0" borderId="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2"/>
  <sheetViews>
    <sheetView showGridLines="0" showZeros="0" view="pageBreakPreview" zoomScale="25" zoomScaleNormal="70" zoomScaleSheetLayoutView="25" zoomScalePageLayoutView="0" workbookViewId="0" topLeftCell="A1">
      <selection activeCell="L4" sqref="L4:P4"/>
    </sheetView>
  </sheetViews>
  <sheetFormatPr defaultColWidth="9.16015625" defaultRowHeight="12.75"/>
  <cols>
    <col min="1" max="1" width="19.33203125" style="69" customWidth="1"/>
    <col min="2" max="2" width="17.5" style="74" customWidth="1"/>
    <col min="3" max="3" width="18" style="70" customWidth="1"/>
    <col min="4" max="4" width="64.33203125" style="216" customWidth="1"/>
    <col min="5" max="5" width="24.16015625" style="67" customWidth="1"/>
    <col min="6" max="6" width="21.83203125" style="67" customWidth="1"/>
    <col min="7" max="7" width="19.33203125" style="67" customWidth="1"/>
    <col min="8" max="8" width="19.16015625" style="67" customWidth="1"/>
    <col min="9" max="9" width="18" style="67" customWidth="1"/>
    <col min="10" max="10" width="20.83203125" style="67" customWidth="1"/>
    <col min="11" max="11" width="19.33203125" style="67" customWidth="1"/>
    <col min="12" max="12" width="16.66015625" style="67" customWidth="1"/>
    <col min="13" max="13" width="16.5" style="67" customWidth="1"/>
    <col min="14" max="14" width="19.16015625" style="67" customWidth="1"/>
    <col min="15" max="15" width="20.16015625" style="67" customWidth="1"/>
    <col min="16" max="16" width="22.16015625" style="134" customWidth="1"/>
    <col min="17" max="17" width="7.5" style="199" customWidth="1"/>
    <col min="18" max="18" width="15.83203125" style="146" customWidth="1"/>
    <col min="19" max="19" width="18.16015625" style="146" customWidth="1"/>
    <col min="20" max="20" width="18.83203125" style="146" customWidth="1"/>
    <col min="21" max="16384" width="9.16015625" style="19" customWidth="1"/>
  </cols>
  <sheetData>
    <row r="1" spans="1:17" ht="28.5" customHeight="1">
      <c r="A1" s="63"/>
      <c r="B1" s="64"/>
      <c r="C1" s="64"/>
      <c r="D1" s="209"/>
      <c r="E1" s="135"/>
      <c r="F1" s="65"/>
      <c r="G1" s="65"/>
      <c r="H1" s="65"/>
      <c r="I1" s="65"/>
      <c r="J1" s="65"/>
      <c r="K1" s="135"/>
      <c r="L1" s="276" t="s">
        <v>662</v>
      </c>
      <c r="M1" s="276"/>
      <c r="N1" s="276"/>
      <c r="O1" s="276"/>
      <c r="P1" s="201"/>
      <c r="Q1" s="289">
        <v>5</v>
      </c>
    </row>
    <row r="2" spans="1:17" ht="28.5" customHeight="1">
      <c r="A2" s="63"/>
      <c r="B2" s="64"/>
      <c r="C2" s="64"/>
      <c r="D2" s="209"/>
      <c r="E2" s="135"/>
      <c r="F2" s="65"/>
      <c r="G2" s="65"/>
      <c r="H2" s="65"/>
      <c r="I2" s="65"/>
      <c r="J2" s="65"/>
      <c r="K2" s="135"/>
      <c r="L2" s="201" t="s">
        <v>663</v>
      </c>
      <c r="M2" s="201"/>
      <c r="N2" s="201"/>
      <c r="O2" s="201"/>
      <c r="P2" s="201"/>
      <c r="Q2" s="289"/>
    </row>
    <row r="3" spans="1:17" ht="28.5" customHeight="1">
      <c r="A3" s="63"/>
      <c r="B3" s="64"/>
      <c r="C3" s="64"/>
      <c r="D3" s="209"/>
      <c r="E3" s="135"/>
      <c r="F3" s="65"/>
      <c r="G3" s="65"/>
      <c r="H3" s="65"/>
      <c r="I3" s="65"/>
      <c r="J3" s="65"/>
      <c r="K3" s="135"/>
      <c r="L3" s="275" t="s">
        <v>668</v>
      </c>
      <c r="M3" s="275"/>
      <c r="N3" s="275"/>
      <c r="O3" s="275"/>
      <c r="P3" s="275"/>
      <c r="Q3" s="289"/>
    </row>
    <row r="4" spans="1:17" ht="50.25" customHeight="1">
      <c r="A4" s="63"/>
      <c r="B4" s="64"/>
      <c r="C4" s="64"/>
      <c r="D4" s="209"/>
      <c r="E4" s="135"/>
      <c r="F4" s="65"/>
      <c r="G4" s="65"/>
      <c r="H4" s="65"/>
      <c r="I4" s="65"/>
      <c r="J4" s="65"/>
      <c r="K4" s="135"/>
      <c r="L4" s="275"/>
      <c r="M4" s="275"/>
      <c r="N4" s="275"/>
      <c r="O4" s="275"/>
      <c r="P4" s="275"/>
      <c r="Q4" s="289"/>
    </row>
    <row r="5" spans="1:20" ht="60.75" customHeight="1">
      <c r="A5" s="63"/>
      <c r="B5" s="64"/>
      <c r="C5" s="64"/>
      <c r="D5" s="277" t="s">
        <v>372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65"/>
      <c r="Q5" s="289"/>
      <c r="R5" s="150"/>
      <c r="S5" s="150"/>
      <c r="T5" s="150"/>
    </row>
    <row r="6" spans="1:20" ht="25.5" customHeight="1">
      <c r="A6" s="63"/>
      <c r="B6" s="64"/>
      <c r="C6" s="64"/>
      <c r="D6" s="210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58" t="s">
        <v>373</v>
      </c>
      <c r="Q6" s="289"/>
      <c r="R6" s="197"/>
      <c r="S6" s="197"/>
      <c r="T6" s="197"/>
    </row>
    <row r="7" spans="1:20" s="3" customFormat="1" ht="21.75" customHeight="1">
      <c r="A7" s="284" t="s">
        <v>163</v>
      </c>
      <c r="B7" s="278" t="s">
        <v>165</v>
      </c>
      <c r="C7" s="278" t="s">
        <v>80</v>
      </c>
      <c r="D7" s="278" t="s">
        <v>178</v>
      </c>
      <c r="E7" s="281" t="s">
        <v>362</v>
      </c>
      <c r="F7" s="282"/>
      <c r="G7" s="282"/>
      <c r="H7" s="282"/>
      <c r="I7" s="283"/>
      <c r="J7" s="281" t="s">
        <v>363</v>
      </c>
      <c r="K7" s="282"/>
      <c r="L7" s="282"/>
      <c r="M7" s="282"/>
      <c r="N7" s="282"/>
      <c r="O7" s="283"/>
      <c r="P7" s="278" t="s">
        <v>364</v>
      </c>
      <c r="Q7" s="289"/>
      <c r="R7" s="198"/>
      <c r="S7" s="198"/>
      <c r="T7" s="198"/>
    </row>
    <row r="8" spans="1:20" s="3" customFormat="1" ht="33" customHeight="1">
      <c r="A8" s="285"/>
      <c r="B8" s="279"/>
      <c r="C8" s="279"/>
      <c r="D8" s="279"/>
      <c r="E8" s="278" t="s">
        <v>365</v>
      </c>
      <c r="F8" s="278" t="s">
        <v>366</v>
      </c>
      <c r="G8" s="281" t="s">
        <v>367</v>
      </c>
      <c r="H8" s="283"/>
      <c r="I8" s="278" t="s">
        <v>368</v>
      </c>
      <c r="J8" s="278" t="s">
        <v>365</v>
      </c>
      <c r="K8" s="278" t="s">
        <v>366</v>
      </c>
      <c r="L8" s="281" t="s">
        <v>367</v>
      </c>
      <c r="M8" s="283"/>
      <c r="N8" s="278" t="s">
        <v>368</v>
      </c>
      <c r="O8" s="38" t="s">
        <v>367</v>
      </c>
      <c r="P8" s="279"/>
      <c r="Q8" s="289"/>
      <c r="R8" s="151"/>
      <c r="S8" s="151"/>
      <c r="T8" s="151"/>
    </row>
    <row r="9" spans="1:20" s="3" customFormat="1" ht="30.75" customHeight="1">
      <c r="A9" s="285"/>
      <c r="B9" s="279"/>
      <c r="C9" s="279"/>
      <c r="D9" s="279"/>
      <c r="E9" s="279"/>
      <c r="F9" s="279"/>
      <c r="G9" s="278" t="s">
        <v>369</v>
      </c>
      <c r="H9" s="278" t="s">
        <v>370</v>
      </c>
      <c r="I9" s="279"/>
      <c r="J9" s="279"/>
      <c r="K9" s="279"/>
      <c r="L9" s="278" t="s">
        <v>369</v>
      </c>
      <c r="M9" s="278" t="s">
        <v>370</v>
      </c>
      <c r="N9" s="279"/>
      <c r="O9" s="278" t="s">
        <v>371</v>
      </c>
      <c r="P9" s="279"/>
      <c r="Q9" s="289"/>
      <c r="R9" s="153"/>
      <c r="S9" s="153"/>
      <c r="T9" s="152"/>
    </row>
    <row r="10" spans="1:20" s="3" customFormat="1" ht="38.25" customHeight="1">
      <c r="A10" s="286"/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9"/>
      <c r="R10" s="151"/>
      <c r="S10" s="151"/>
      <c r="T10" s="154"/>
    </row>
    <row r="11" spans="1:20" s="112" customFormat="1" ht="19.5" customHeight="1">
      <c r="A11" s="111" t="s">
        <v>237</v>
      </c>
      <c r="B11" s="111"/>
      <c r="C11" s="111"/>
      <c r="D11" s="35" t="s">
        <v>67</v>
      </c>
      <c r="E11" s="46">
        <f>E12</f>
        <v>157096173</v>
      </c>
      <c r="F11" s="46">
        <f aca="true" t="shared" si="0" ref="F11:P11">F12</f>
        <v>129353637</v>
      </c>
      <c r="G11" s="46">
        <f t="shared" si="0"/>
        <v>65407723</v>
      </c>
      <c r="H11" s="46">
        <f t="shared" si="0"/>
        <v>3925806</v>
      </c>
      <c r="I11" s="46">
        <f t="shared" si="0"/>
        <v>27742536</v>
      </c>
      <c r="J11" s="46">
        <f t="shared" si="0"/>
        <v>47453413.48</v>
      </c>
      <c r="K11" s="46">
        <f t="shared" si="0"/>
        <v>483319.48</v>
      </c>
      <c r="L11" s="46">
        <f t="shared" si="0"/>
        <v>141022</v>
      </c>
      <c r="M11" s="46">
        <f t="shared" si="0"/>
        <v>54604</v>
      </c>
      <c r="N11" s="46">
        <f t="shared" si="0"/>
        <v>46970094</v>
      </c>
      <c r="O11" s="46">
        <f t="shared" si="0"/>
        <v>46970094</v>
      </c>
      <c r="P11" s="46">
        <f t="shared" si="0"/>
        <v>204549586.48</v>
      </c>
      <c r="Q11" s="289"/>
      <c r="R11" s="156"/>
      <c r="S11" s="156"/>
      <c r="T11" s="156"/>
    </row>
    <row r="12" spans="1:20" s="114" customFormat="1" ht="19.5" customHeight="1">
      <c r="A12" s="113" t="s">
        <v>238</v>
      </c>
      <c r="B12" s="113"/>
      <c r="C12" s="113"/>
      <c r="D12" s="123" t="s">
        <v>67</v>
      </c>
      <c r="E12" s="79">
        <f>E13+E14+E15+E18+E20+E22+E23+E27+E30+E33+E36+E39+E41+E45+E46+E47+E48+E49+E50+E53+E54+E55+E56+E57+E44+E26+E59+E58</f>
        <v>157096173</v>
      </c>
      <c r="F12" s="79">
        <f>F13+F14+F15+F18+F20+F22+F23+F27+F30+F33+F36+F39+F41+F45+F46+F47+F48+F49+F50+F53+F54+F55+F56+F57+F44+F26+F59+F58</f>
        <v>129353637</v>
      </c>
      <c r="G12" s="79">
        <f aca="true" t="shared" si="1" ref="G12:P12">G13+G14+G15+G18+G20+G22+G23+G27+G30+G33+G36+G39+G41+G45+G46+G47+G48+G49+G50+G53+G54+G55+G56+G57+G44+G26+G59+G58</f>
        <v>65407723</v>
      </c>
      <c r="H12" s="79">
        <f t="shared" si="1"/>
        <v>3925806</v>
      </c>
      <c r="I12" s="79">
        <f t="shared" si="1"/>
        <v>27742536</v>
      </c>
      <c r="J12" s="79">
        <f t="shared" si="1"/>
        <v>47453413.48</v>
      </c>
      <c r="K12" s="79">
        <f t="shared" si="1"/>
        <v>483319.48</v>
      </c>
      <c r="L12" s="79">
        <f t="shared" si="1"/>
        <v>141022</v>
      </c>
      <c r="M12" s="79">
        <f t="shared" si="1"/>
        <v>54604</v>
      </c>
      <c r="N12" s="79">
        <f t="shared" si="1"/>
        <v>46970094</v>
      </c>
      <c r="O12" s="79">
        <f t="shared" si="1"/>
        <v>46970094</v>
      </c>
      <c r="P12" s="79">
        <f t="shared" si="1"/>
        <v>204549586.48</v>
      </c>
      <c r="Q12" s="289"/>
      <c r="R12" s="157"/>
      <c r="S12" s="157"/>
      <c r="T12" s="157"/>
    </row>
    <row r="13" spans="1:20" s="4" customFormat="1" ht="46.5" customHeight="1">
      <c r="A13" s="80" t="s">
        <v>239</v>
      </c>
      <c r="B13" s="80" t="str">
        <f>'дод. 3'!A13</f>
        <v>0160</v>
      </c>
      <c r="C13" s="80" t="str">
        <f>'дод. 3'!B13</f>
        <v>0111</v>
      </c>
      <c r="D13" s="81" t="str">
        <f>'дод. 3'!C13</f>
        <v>Керівництво і управління у відповідній сфері у містах (місті Києві), селищах, селах, об’єднаних територіальних громадах</v>
      </c>
      <c r="E13" s="82">
        <f>F13+I13</f>
        <v>73609881</v>
      </c>
      <c r="F13" s="82">
        <f>72007500+190000-526200+150000+210000+172915+392079+352087+277500+150000+265200-31200</f>
        <v>73609881</v>
      </c>
      <c r="G13" s="82">
        <f>52010600+108947+321373</f>
        <v>52440920</v>
      </c>
      <c r="H13" s="82">
        <v>2150738</v>
      </c>
      <c r="I13" s="82"/>
      <c r="J13" s="82">
        <f>K13+N13</f>
        <v>3038214</v>
      </c>
      <c r="K13" s="82"/>
      <c r="L13" s="82"/>
      <c r="M13" s="82"/>
      <c r="N13" s="82">
        <f>4000000-1295000+302014+31200</f>
        <v>3038214</v>
      </c>
      <c r="O13" s="82">
        <f>4000000-1295000+302014+31200</f>
        <v>3038214</v>
      </c>
      <c r="P13" s="82">
        <f>E13+J13</f>
        <v>76648095</v>
      </c>
      <c r="Q13" s="289"/>
      <c r="R13" s="158"/>
      <c r="S13" s="158"/>
      <c r="T13" s="158"/>
    </row>
    <row r="14" spans="1:20" s="4" customFormat="1" ht="27" customHeight="1">
      <c r="A14" s="80" t="s">
        <v>385</v>
      </c>
      <c r="B14" s="80" t="str">
        <f>'дод. 3'!A14</f>
        <v>0180</v>
      </c>
      <c r="C14" s="80" t="str">
        <f>'дод. 3'!B14</f>
        <v>0133</v>
      </c>
      <c r="D14" s="109" t="str">
        <f>'дод. 3'!C14</f>
        <v>Інша діяльність у сфері державного управління</v>
      </c>
      <c r="E14" s="82">
        <f>F14+I14</f>
        <v>127500</v>
      </c>
      <c r="F14" s="82">
        <f>100000+27500</f>
        <v>127500</v>
      </c>
      <c r="G14" s="82"/>
      <c r="H14" s="82"/>
      <c r="I14" s="82"/>
      <c r="J14" s="82">
        <f>K14+N14</f>
        <v>0</v>
      </c>
      <c r="K14" s="82"/>
      <c r="L14" s="82"/>
      <c r="M14" s="82"/>
      <c r="N14" s="82"/>
      <c r="O14" s="82"/>
      <c r="P14" s="82">
        <f>E14+J14</f>
        <v>127500</v>
      </c>
      <c r="Q14" s="289"/>
      <c r="R14" s="158"/>
      <c r="S14" s="158"/>
      <c r="T14" s="158"/>
    </row>
    <row r="15" spans="1:20" s="4" customFormat="1" ht="68.25" customHeight="1">
      <c r="A15" s="80" t="s">
        <v>240</v>
      </c>
      <c r="B15" s="80" t="str">
        <f>'дод. 3'!A76</f>
        <v>3030</v>
      </c>
      <c r="C15" s="80">
        <f>'дод. 3'!B76</f>
        <v>0</v>
      </c>
      <c r="D15" s="109" t="str">
        <f>'дод. 3'!C76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5" s="82">
        <f>E16+E17</f>
        <v>190000</v>
      </c>
      <c r="F15" s="82">
        <f aca="true" t="shared" si="2" ref="F15:P15">F16+F17</f>
        <v>190000</v>
      </c>
      <c r="G15" s="82">
        <f t="shared" si="2"/>
        <v>0</v>
      </c>
      <c r="H15" s="82">
        <f t="shared" si="2"/>
        <v>0</v>
      </c>
      <c r="I15" s="82">
        <f t="shared" si="2"/>
        <v>0</v>
      </c>
      <c r="J15" s="82">
        <f t="shared" si="2"/>
        <v>0</v>
      </c>
      <c r="K15" s="82">
        <f t="shared" si="2"/>
        <v>0</v>
      </c>
      <c r="L15" s="82">
        <f t="shared" si="2"/>
        <v>0</v>
      </c>
      <c r="M15" s="82">
        <f t="shared" si="2"/>
        <v>0</v>
      </c>
      <c r="N15" s="82">
        <f t="shared" si="2"/>
        <v>0</v>
      </c>
      <c r="O15" s="82">
        <f t="shared" si="2"/>
        <v>0</v>
      </c>
      <c r="P15" s="82">
        <f t="shared" si="2"/>
        <v>190000</v>
      </c>
      <c r="Q15" s="289"/>
      <c r="R15" s="159"/>
      <c r="S15" s="159"/>
      <c r="T15" s="159"/>
    </row>
    <row r="16" spans="1:20" s="115" customFormat="1" ht="51.75" customHeight="1">
      <c r="A16" s="83" t="s">
        <v>401</v>
      </c>
      <c r="B16" s="83" t="str">
        <f>'дод. 3'!A79</f>
        <v>3033</v>
      </c>
      <c r="C16" s="83" t="str">
        <f>'дод. 3'!B79</f>
        <v>1070</v>
      </c>
      <c r="D16" s="106" t="str">
        <f>'дод. 3'!C79</f>
        <v>Компенсаційні виплати на пільговий проїзд автомобільним транспортом окремим категоріям громадян</v>
      </c>
      <c r="E16" s="85">
        <f>F16+I16</f>
        <v>51700</v>
      </c>
      <c r="F16" s="85">
        <f>25000+26700</f>
        <v>51700</v>
      </c>
      <c r="G16" s="85"/>
      <c r="H16" s="85"/>
      <c r="I16" s="85"/>
      <c r="J16" s="85">
        <f>K16+N16</f>
        <v>0</v>
      </c>
      <c r="K16" s="85"/>
      <c r="L16" s="85"/>
      <c r="M16" s="85"/>
      <c r="N16" s="85"/>
      <c r="O16" s="85"/>
      <c r="P16" s="85">
        <f>E16+J16</f>
        <v>51700</v>
      </c>
      <c r="Q16" s="289"/>
      <c r="R16" s="160"/>
      <c r="S16" s="160"/>
      <c r="T16" s="160"/>
    </row>
    <row r="17" spans="1:20" s="115" customFormat="1" ht="48.75" customHeight="1">
      <c r="A17" s="83" t="s">
        <v>241</v>
      </c>
      <c r="B17" s="83" t="str">
        <f>'дод. 3'!A81</f>
        <v>3036</v>
      </c>
      <c r="C17" s="83" t="str">
        <f>'дод. 3'!B81</f>
        <v>1070</v>
      </c>
      <c r="D17" s="106" t="str">
        <f>'дод. 3'!C81</f>
        <v>Компенсаційні виплати на пільговий проїзд електротранспортом окремим категоріям громадян</v>
      </c>
      <c r="E17" s="85">
        <f>F17+I17</f>
        <v>138300</v>
      </c>
      <c r="F17" s="85">
        <f>65000+73300</f>
        <v>138300</v>
      </c>
      <c r="G17" s="85"/>
      <c r="H17" s="85"/>
      <c r="I17" s="85"/>
      <c r="J17" s="85">
        <f aca="true" t="shared" si="3" ref="J17:J58">K17+N17</f>
        <v>0</v>
      </c>
      <c r="K17" s="85"/>
      <c r="L17" s="85"/>
      <c r="M17" s="85"/>
      <c r="N17" s="85"/>
      <c r="O17" s="85"/>
      <c r="P17" s="85">
        <f>E17+J17</f>
        <v>138300</v>
      </c>
      <c r="Q17" s="289"/>
      <c r="R17" s="160"/>
      <c r="S17" s="160"/>
      <c r="T17" s="160"/>
    </row>
    <row r="18" spans="1:20" s="4" customFormat="1" ht="32.25" customHeight="1">
      <c r="A18" s="86" t="s">
        <v>242</v>
      </c>
      <c r="B18" s="86" t="str">
        <f>'дод. 3'!A116</f>
        <v>3120</v>
      </c>
      <c r="C18" s="86">
        <f>'дод. 3'!B116</f>
        <v>0</v>
      </c>
      <c r="D18" s="107" t="str">
        <f>'дод. 3'!C116</f>
        <v>Здійснення соціальної роботи з вразливими категоріями населення</v>
      </c>
      <c r="E18" s="88">
        <f>E19</f>
        <v>1791330</v>
      </c>
      <c r="F18" s="88">
        <f aca="true" t="shared" si="4" ref="F18:P18">F19</f>
        <v>1791330</v>
      </c>
      <c r="G18" s="88">
        <f t="shared" si="4"/>
        <v>1348310</v>
      </c>
      <c r="H18" s="88">
        <f t="shared" si="4"/>
        <v>63780</v>
      </c>
      <c r="I18" s="88">
        <f t="shared" si="4"/>
        <v>0</v>
      </c>
      <c r="J18" s="88">
        <f t="shared" si="4"/>
        <v>405500</v>
      </c>
      <c r="K18" s="88">
        <f t="shared" si="4"/>
        <v>0</v>
      </c>
      <c r="L18" s="88">
        <f t="shared" si="4"/>
        <v>0</v>
      </c>
      <c r="M18" s="88">
        <f t="shared" si="4"/>
        <v>0</v>
      </c>
      <c r="N18" s="88">
        <f t="shared" si="4"/>
        <v>405500</v>
      </c>
      <c r="O18" s="88">
        <f t="shared" si="4"/>
        <v>405500</v>
      </c>
      <c r="P18" s="88">
        <f t="shared" si="4"/>
        <v>2196830</v>
      </c>
      <c r="Q18" s="289"/>
      <c r="R18" s="159"/>
      <c r="S18" s="159"/>
      <c r="T18" s="159"/>
    </row>
    <row r="19" spans="1:20" s="115" customFormat="1" ht="48.75" customHeight="1">
      <c r="A19" s="83" t="s">
        <v>243</v>
      </c>
      <c r="B19" s="83" t="str">
        <f>'дод. 3'!A117</f>
        <v>3121</v>
      </c>
      <c r="C19" s="83" t="str">
        <f>'дод. 3'!B117</f>
        <v>1040</v>
      </c>
      <c r="D19" s="106" t="str">
        <f>'дод. 3'!C117</f>
        <v>Утримання та забезпечення діяльності центрів соціальних служб для сім’ї, дітей та молоді</v>
      </c>
      <c r="E19" s="85">
        <f>F19+I19</f>
        <v>1791330</v>
      </c>
      <c r="F19" s="85">
        <f>1661740+122260+7330</f>
        <v>1791330</v>
      </c>
      <c r="G19" s="85">
        <f>1247850+100460</f>
        <v>1348310</v>
      </c>
      <c r="H19" s="85">
        <f>56450+7330</f>
        <v>63780</v>
      </c>
      <c r="I19" s="85"/>
      <c r="J19" s="85">
        <f t="shared" si="3"/>
        <v>405500</v>
      </c>
      <c r="K19" s="85"/>
      <c r="L19" s="85"/>
      <c r="M19" s="85"/>
      <c r="N19" s="85">
        <f>20500+385000</f>
        <v>405500</v>
      </c>
      <c r="O19" s="85">
        <f>20500+385000</f>
        <v>405500</v>
      </c>
      <c r="P19" s="85">
        <f>E19+J19</f>
        <v>2196830</v>
      </c>
      <c r="Q19" s="289"/>
      <c r="R19" s="160"/>
      <c r="S19" s="160"/>
      <c r="T19" s="160"/>
    </row>
    <row r="20" spans="1:20" s="115" customFormat="1" ht="36" customHeight="1">
      <c r="A20" s="86" t="s">
        <v>244</v>
      </c>
      <c r="B20" s="86" t="str">
        <f>'дод. 3'!A118</f>
        <v>3130</v>
      </c>
      <c r="C20" s="86">
        <f>'дод. 3'!B118</f>
        <v>0</v>
      </c>
      <c r="D20" s="107" t="str">
        <f>'дод. 3'!C118</f>
        <v>Реалізація державної політики у молодіжній сфері</v>
      </c>
      <c r="E20" s="88">
        <f>E21</f>
        <v>684600</v>
      </c>
      <c r="F20" s="88">
        <f aca="true" t="shared" si="5" ref="F20:P20">F21</f>
        <v>684600</v>
      </c>
      <c r="G20" s="88">
        <f t="shared" si="5"/>
        <v>0</v>
      </c>
      <c r="H20" s="88">
        <f t="shared" si="5"/>
        <v>0</v>
      </c>
      <c r="I20" s="88">
        <f t="shared" si="5"/>
        <v>0</v>
      </c>
      <c r="J20" s="88">
        <f t="shared" si="5"/>
        <v>0</v>
      </c>
      <c r="K20" s="88">
        <f t="shared" si="5"/>
        <v>0</v>
      </c>
      <c r="L20" s="88">
        <f t="shared" si="5"/>
        <v>0</v>
      </c>
      <c r="M20" s="88">
        <f t="shared" si="5"/>
        <v>0</v>
      </c>
      <c r="N20" s="88">
        <f t="shared" si="5"/>
        <v>0</v>
      </c>
      <c r="O20" s="88">
        <f t="shared" si="5"/>
        <v>0</v>
      </c>
      <c r="P20" s="88">
        <f t="shared" si="5"/>
        <v>684600</v>
      </c>
      <c r="Q20" s="289"/>
      <c r="R20" s="159"/>
      <c r="S20" s="159"/>
      <c r="T20" s="159"/>
    </row>
    <row r="21" spans="1:20" s="115" customFormat="1" ht="45">
      <c r="A21" s="83" t="s">
        <v>245</v>
      </c>
      <c r="B21" s="83" t="str">
        <f>'дод. 3'!A119</f>
        <v>3131</v>
      </c>
      <c r="C21" s="83" t="str">
        <f>'дод. 3'!B119</f>
        <v>1040</v>
      </c>
      <c r="D21" s="106" t="str">
        <f>'дод. 3'!C119</f>
        <v>Здійснення заходів та реалізація проектів на виконання Державної цільової соціальної програми «Молодь України»</v>
      </c>
      <c r="E21" s="85">
        <f>F21+I21</f>
        <v>684600</v>
      </c>
      <c r="F21" s="85">
        <f>750000-65400</f>
        <v>684600</v>
      </c>
      <c r="G21" s="85"/>
      <c r="H21" s="85"/>
      <c r="I21" s="85"/>
      <c r="J21" s="85">
        <f t="shared" si="3"/>
        <v>0</v>
      </c>
      <c r="K21" s="85"/>
      <c r="L21" s="85"/>
      <c r="M21" s="85"/>
      <c r="N21" s="85"/>
      <c r="O21" s="85"/>
      <c r="P21" s="85">
        <f>E21+J21</f>
        <v>684600</v>
      </c>
      <c r="Q21" s="289"/>
      <c r="R21" s="160"/>
      <c r="S21" s="160"/>
      <c r="T21" s="160"/>
    </row>
    <row r="22" spans="1:20" s="115" customFormat="1" ht="60" customHeight="1">
      <c r="A22" s="86" t="s">
        <v>246</v>
      </c>
      <c r="B22" s="86" t="str">
        <f>'дод. 3'!A120</f>
        <v>3140</v>
      </c>
      <c r="C22" s="86" t="str">
        <f>'дод. 3'!B120</f>
        <v>1040</v>
      </c>
      <c r="D22" s="107" t="str">
        <f>'дод. 3'!C120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2" s="88">
        <f>F22+I22</f>
        <v>2129665</v>
      </c>
      <c r="F22" s="88">
        <f>430000+1699665</f>
        <v>2129665</v>
      </c>
      <c r="G22" s="88"/>
      <c r="H22" s="88"/>
      <c r="I22" s="88"/>
      <c r="J22" s="88">
        <f t="shared" si="3"/>
        <v>0</v>
      </c>
      <c r="K22" s="88"/>
      <c r="L22" s="88"/>
      <c r="M22" s="88"/>
      <c r="N22" s="88"/>
      <c r="O22" s="88"/>
      <c r="P22" s="88">
        <f>E22+J22</f>
        <v>2129665</v>
      </c>
      <c r="Q22" s="289"/>
      <c r="R22" s="158"/>
      <c r="S22" s="158"/>
      <c r="T22" s="158"/>
    </row>
    <row r="23" spans="1:20" s="115" customFormat="1" ht="21.75" customHeight="1">
      <c r="A23" s="86" t="s">
        <v>479</v>
      </c>
      <c r="B23" s="86" t="str">
        <f>'дод. 3'!A137</f>
        <v>3240</v>
      </c>
      <c r="C23" s="86">
        <f>'дод. 3'!B137</f>
        <v>0</v>
      </c>
      <c r="D23" s="107" t="str">
        <f>'дод. 3'!C137</f>
        <v>Інші заклади та заходи</v>
      </c>
      <c r="E23" s="88">
        <f>E24+E25</f>
        <v>1054111</v>
      </c>
      <c r="F23" s="88">
        <f aca="true" t="shared" si="6" ref="F23:P23">F24+F25</f>
        <v>1054111</v>
      </c>
      <c r="G23" s="88">
        <f t="shared" si="6"/>
        <v>578471</v>
      </c>
      <c r="H23" s="88">
        <f t="shared" si="6"/>
        <v>97477</v>
      </c>
      <c r="I23" s="88">
        <f t="shared" si="6"/>
        <v>0</v>
      </c>
      <c r="J23" s="88">
        <f t="shared" si="6"/>
        <v>0</v>
      </c>
      <c r="K23" s="88">
        <f t="shared" si="6"/>
        <v>0</v>
      </c>
      <c r="L23" s="88">
        <f t="shared" si="6"/>
        <v>0</v>
      </c>
      <c r="M23" s="88">
        <f t="shared" si="6"/>
        <v>0</v>
      </c>
      <c r="N23" s="88">
        <f t="shared" si="6"/>
        <v>0</v>
      </c>
      <c r="O23" s="88">
        <f t="shared" si="6"/>
        <v>0</v>
      </c>
      <c r="P23" s="88">
        <f t="shared" si="6"/>
        <v>1054111</v>
      </c>
      <c r="Q23" s="289"/>
      <c r="R23" s="159"/>
      <c r="S23" s="159"/>
      <c r="T23" s="159"/>
    </row>
    <row r="24" spans="1:20" s="32" customFormat="1" ht="31.5" customHeight="1">
      <c r="A24" s="83" t="s">
        <v>477</v>
      </c>
      <c r="B24" s="83" t="str">
        <f>'дод. 3'!A138</f>
        <v>3241</v>
      </c>
      <c r="C24" s="83" t="str">
        <f>'дод. 3'!B138</f>
        <v>1090</v>
      </c>
      <c r="D24" s="106" t="str">
        <f>'дод. 3'!C138</f>
        <v>Забезпечення діяльності інших закладів у сфері соціального захисту і соціального забезпечення</v>
      </c>
      <c r="E24" s="85">
        <f>F24+I24</f>
        <v>845645</v>
      </c>
      <c r="F24" s="85">
        <f>818206+27439</f>
        <v>845645</v>
      </c>
      <c r="G24" s="85">
        <f>555810+22661</f>
        <v>578471</v>
      </c>
      <c r="H24" s="85">
        <v>97477</v>
      </c>
      <c r="I24" s="85"/>
      <c r="J24" s="85"/>
      <c r="K24" s="85"/>
      <c r="L24" s="85"/>
      <c r="M24" s="85"/>
      <c r="N24" s="85"/>
      <c r="O24" s="85"/>
      <c r="P24" s="85">
        <f>E24+J24</f>
        <v>845645</v>
      </c>
      <c r="Q24" s="289"/>
      <c r="R24" s="160"/>
      <c r="S24" s="160"/>
      <c r="T24" s="160"/>
    </row>
    <row r="25" spans="1:20" s="32" customFormat="1" ht="33.75" customHeight="1">
      <c r="A25" s="83" t="s">
        <v>478</v>
      </c>
      <c r="B25" s="83" t="str">
        <f>'дод. 3'!A139</f>
        <v>3242</v>
      </c>
      <c r="C25" s="83" t="str">
        <f>'дод. 3'!B139</f>
        <v>1090</v>
      </c>
      <c r="D25" s="106" t="str">
        <f>'дод. 3'!C139</f>
        <v>Інші заходи у сфері соціального захисту і соціального забезпечення</v>
      </c>
      <c r="E25" s="85">
        <f>F25+I25</f>
        <v>208466</v>
      </c>
      <c r="F25" s="85">
        <f>182066+26400</f>
        <v>208466</v>
      </c>
      <c r="G25" s="85"/>
      <c r="H25" s="85"/>
      <c r="I25" s="85"/>
      <c r="J25" s="85"/>
      <c r="K25" s="85"/>
      <c r="L25" s="85"/>
      <c r="M25" s="85"/>
      <c r="N25" s="85"/>
      <c r="O25" s="85"/>
      <c r="P25" s="85">
        <f>E25+J25</f>
        <v>208466</v>
      </c>
      <c r="Q25" s="289"/>
      <c r="R25" s="160"/>
      <c r="S25" s="160"/>
      <c r="T25" s="160"/>
    </row>
    <row r="26" spans="1:20" s="200" customFormat="1" ht="33.75" customHeight="1">
      <c r="A26" s="80" t="s">
        <v>586</v>
      </c>
      <c r="B26" s="80" t="str">
        <f>'дод. 3'!A142</f>
        <v>4060</v>
      </c>
      <c r="C26" s="80" t="str">
        <f>'дод. 3'!B142</f>
        <v>0828</v>
      </c>
      <c r="D26" s="107" t="str">
        <f>'дод. 3'!C142</f>
        <v>Забезпечення діяльності палаців i будинків культури, клубів, центрів дозвілля та iнших клубних закладів</v>
      </c>
      <c r="E26" s="82">
        <f>F26+I26</f>
        <v>2314830</v>
      </c>
      <c r="F26" s="221">
        <f>1551300+200000+83000+100000+6000+198030+11100+100000+65400</f>
        <v>2314830</v>
      </c>
      <c r="G26" s="82">
        <v>783989</v>
      </c>
      <c r="H26" s="82">
        <f>37625+200000</f>
        <v>237625</v>
      </c>
      <c r="I26" s="82"/>
      <c r="J26" s="82">
        <f>K26+N26</f>
        <v>28500</v>
      </c>
      <c r="K26" s="82"/>
      <c r="L26" s="82"/>
      <c r="M26" s="82"/>
      <c r="N26" s="82">
        <v>28500</v>
      </c>
      <c r="O26" s="82">
        <v>28500</v>
      </c>
      <c r="P26" s="82">
        <f>E26+J26</f>
        <v>2343330</v>
      </c>
      <c r="Q26" s="289"/>
      <c r="R26" s="158"/>
      <c r="S26" s="158"/>
      <c r="T26" s="158"/>
    </row>
    <row r="27" spans="1:20" s="4" customFormat="1" ht="32.25" customHeight="1">
      <c r="A27" s="86" t="s">
        <v>247</v>
      </c>
      <c r="B27" s="86" t="str">
        <f>'дод. 3'!A143</f>
        <v>4080</v>
      </c>
      <c r="C27" s="86">
        <f>'дод. 3'!B143</f>
        <v>0</v>
      </c>
      <c r="D27" s="107" t="str">
        <f>'дод. 3'!C143</f>
        <v>Інші заклади та заходи в галузі культури і мистецтва</v>
      </c>
      <c r="E27" s="88">
        <f>E28+E29</f>
        <v>2705500</v>
      </c>
      <c r="F27" s="88">
        <f aca="true" t="shared" si="7" ref="F27:P27">F28+F29</f>
        <v>2705500</v>
      </c>
      <c r="G27" s="88">
        <f t="shared" si="7"/>
        <v>998500</v>
      </c>
      <c r="H27" s="88">
        <f t="shared" si="7"/>
        <v>78540</v>
      </c>
      <c r="I27" s="88">
        <f t="shared" si="7"/>
        <v>0</v>
      </c>
      <c r="J27" s="88">
        <f t="shared" si="7"/>
        <v>20500</v>
      </c>
      <c r="K27" s="88">
        <f t="shared" si="7"/>
        <v>0</v>
      </c>
      <c r="L27" s="88">
        <f t="shared" si="7"/>
        <v>0</v>
      </c>
      <c r="M27" s="88">
        <f t="shared" si="7"/>
        <v>0</v>
      </c>
      <c r="N27" s="88">
        <f t="shared" si="7"/>
        <v>20500</v>
      </c>
      <c r="O27" s="88">
        <f t="shared" si="7"/>
        <v>20500</v>
      </c>
      <c r="P27" s="88">
        <f t="shared" si="7"/>
        <v>2726000</v>
      </c>
      <c r="Q27" s="289"/>
      <c r="R27" s="159"/>
      <c r="S27" s="159"/>
      <c r="T27" s="159"/>
    </row>
    <row r="28" spans="1:20" s="115" customFormat="1" ht="30.75" customHeight="1">
      <c r="A28" s="83" t="s">
        <v>475</v>
      </c>
      <c r="B28" s="83" t="str">
        <f>'дод. 3'!A144</f>
        <v>4081</v>
      </c>
      <c r="C28" s="83" t="str">
        <f>'дод. 3'!B144</f>
        <v>0829</v>
      </c>
      <c r="D28" s="106" t="str">
        <f>'дод. 3'!C144</f>
        <v>Забезпечення діяльності інших закладів в галузі культури і мистецтва </v>
      </c>
      <c r="E28" s="85">
        <f>F28+I28</f>
        <v>2219000</v>
      </c>
      <c r="F28" s="85">
        <f>2846100-420200+884400+400000-1551300+60000</f>
        <v>2219000</v>
      </c>
      <c r="G28" s="85">
        <f>1782489-783989</f>
        <v>998500</v>
      </c>
      <c r="H28" s="85">
        <f>116165-37625</f>
        <v>78540</v>
      </c>
      <c r="I28" s="85"/>
      <c r="J28" s="85">
        <f>K28+N28</f>
        <v>20500</v>
      </c>
      <c r="K28" s="85"/>
      <c r="L28" s="85"/>
      <c r="M28" s="85"/>
      <c r="N28" s="85">
        <f>49000-28500</f>
        <v>20500</v>
      </c>
      <c r="O28" s="85">
        <f>49000-28500</f>
        <v>20500</v>
      </c>
      <c r="P28" s="85">
        <f>E28+J28</f>
        <v>2239500</v>
      </c>
      <c r="Q28" s="289"/>
      <c r="R28" s="160"/>
      <c r="S28" s="160"/>
      <c r="T28" s="160"/>
    </row>
    <row r="29" spans="1:20" s="115" customFormat="1" ht="25.5" customHeight="1">
      <c r="A29" s="83" t="s">
        <v>476</v>
      </c>
      <c r="B29" s="83" t="str">
        <f>'дод. 3'!A145</f>
        <v>4082</v>
      </c>
      <c r="C29" s="83" t="str">
        <f>'дод. 3'!B145</f>
        <v>0829</v>
      </c>
      <c r="D29" s="106" t="str">
        <f>'дод. 3'!C145</f>
        <v>Інші заходи в галузі культури і мистецтва</v>
      </c>
      <c r="E29" s="85">
        <f>F29+I29</f>
        <v>486500</v>
      </c>
      <c r="F29" s="85">
        <f>420200+66300</f>
        <v>486500</v>
      </c>
      <c r="G29" s="85"/>
      <c r="H29" s="85"/>
      <c r="I29" s="85"/>
      <c r="J29" s="85">
        <f>K29+N29</f>
        <v>0</v>
      </c>
      <c r="K29" s="85"/>
      <c r="L29" s="85"/>
      <c r="M29" s="85"/>
      <c r="N29" s="85"/>
      <c r="O29" s="85"/>
      <c r="P29" s="85">
        <f>E29+J29</f>
        <v>486500</v>
      </c>
      <c r="Q29" s="289"/>
      <c r="R29" s="160"/>
      <c r="S29" s="160"/>
      <c r="T29" s="160"/>
    </row>
    <row r="30" spans="1:20" s="4" customFormat="1" ht="21.75" customHeight="1">
      <c r="A30" s="89" t="s">
        <v>248</v>
      </c>
      <c r="B30" s="89" t="str">
        <f>'дод. 3'!A147</f>
        <v>5010</v>
      </c>
      <c r="C30" s="89">
        <f>'дод. 3'!B147</f>
        <v>0</v>
      </c>
      <c r="D30" s="110" t="str">
        <f>'дод. 3'!C147</f>
        <v>Проведення спортивної роботи в регіоні</v>
      </c>
      <c r="E30" s="88">
        <f>E31+E32</f>
        <v>1587070</v>
      </c>
      <c r="F30" s="88">
        <f aca="true" t="shared" si="8" ref="F30:P30">F31+F32</f>
        <v>1587070</v>
      </c>
      <c r="G30" s="88">
        <f t="shared" si="8"/>
        <v>0</v>
      </c>
      <c r="H30" s="88">
        <f t="shared" si="8"/>
        <v>0</v>
      </c>
      <c r="I30" s="88">
        <f t="shared" si="8"/>
        <v>0</v>
      </c>
      <c r="J30" s="88">
        <f t="shared" si="8"/>
        <v>177000</v>
      </c>
      <c r="K30" s="88">
        <f t="shared" si="8"/>
        <v>0</v>
      </c>
      <c r="L30" s="88">
        <f t="shared" si="8"/>
        <v>0</v>
      </c>
      <c r="M30" s="88">
        <f t="shared" si="8"/>
        <v>0</v>
      </c>
      <c r="N30" s="88">
        <f t="shared" si="8"/>
        <v>177000</v>
      </c>
      <c r="O30" s="88">
        <f t="shared" si="8"/>
        <v>177000</v>
      </c>
      <c r="P30" s="88">
        <f t="shared" si="8"/>
        <v>1764070</v>
      </c>
      <c r="Q30" s="289"/>
      <c r="R30" s="159"/>
      <c r="S30" s="159"/>
      <c r="T30" s="159"/>
    </row>
    <row r="31" spans="1:20" s="115" customFormat="1" ht="36.75" customHeight="1">
      <c r="A31" s="116" t="s">
        <v>249</v>
      </c>
      <c r="B31" s="116" t="str">
        <f>'дод. 3'!A148</f>
        <v>5011</v>
      </c>
      <c r="C31" s="116" t="str">
        <f>'дод. 3'!B148</f>
        <v>0810</v>
      </c>
      <c r="D31" s="117" t="str">
        <f>'дод. 3'!C148</f>
        <v>Проведення навчально-тренувальних зборів і змагань з олімпійських видів спорту</v>
      </c>
      <c r="E31" s="85">
        <f>F31+I31</f>
        <v>836070</v>
      </c>
      <c r="F31" s="85">
        <f>700000+76070+35000+25000</f>
        <v>836070</v>
      </c>
      <c r="G31" s="85"/>
      <c r="H31" s="85"/>
      <c r="I31" s="85"/>
      <c r="J31" s="85">
        <f t="shared" si="3"/>
        <v>177000</v>
      </c>
      <c r="K31" s="85"/>
      <c r="L31" s="85"/>
      <c r="M31" s="85"/>
      <c r="N31" s="85">
        <v>177000</v>
      </c>
      <c r="O31" s="85">
        <v>177000</v>
      </c>
      <c r="P31" s="85">
        <f>E31+J31</f>
        <v>1013070</v>
      </c>
      <c r="Q31" s="289"/>
      <c r="R31" s="160"/>
      <c r="S31" s="160"/>
      <c r="T31" s="160"/>
    </row>
    <row r="32" spans="1:20" s="115" customFormat="1" ht="34.5" customHeight="1">
      <c r="A32" s="116" t="s">
        <v>250</v>
      </c>
      <c r="B32" s="116" t="str">
        <f>'дод. 3'!A149</f>
        <v>5012</v>
      </c>
      <c r="C32" s="116" t="str">
        <f>'дод. 3'!B149</f>
        <v>0810</v>
      </c>
      <c r="D32" s="117" t="str">
        <f>'дод. 3'!C149</f>
        <v>Проведення навчально-тренувальних зборів і змагань з неолімпійських видів спорту</v>
      </c>
      <c r="E32" s="85">
        <f>F32+I32</f>
        <v>751000</v>
      </c>
      <c r="F32" s="85">
        <f>700000+28000+5000+18000</f>
        <v>751000</v>
      </c>
      <c r="G32" s="85"/>
      <c r="H32" s="85"/>
      <c r="I32" s="85"/>
      <c r="J32" s="85">
        <f t="shared" si="3"/>
        <v>0</v>
      </c>
      <c r="K32" s="85"/>
      <c r="L32" s="85"/>
      <c r="M32" s="85"/>
      <c r="N32" s="85"/>
      <c r="O32" s="85"/>
      <c r="P32" s="85">
        <f>E32+J32</f>
        <v>751000</v>
      </c>
      <c r="Q32" s="289"/>
      <c r="R32" s="160"/>
      <c r="S32" s="160"/>
      <c r="T32" s="160"/>
    </row>
    <row r="33" spans="1:20" s="4" customFormat="1" ht="21" customHeight="1">
      <c r="A33" s="89" t="s">
        <v>251</v>
      </c>
      <c r="B33" s="89" t="str">
        <f>'дод. 3'!A150</f>
        <v>5030</v>
      </c>
      <c r="C33" s="89">
        <f>'дод. 3'!B150</f>
        <v>0</v>
      </c>
      <c r="D33" s="110" t="str">
        <f>'дод. 3'!C150</f>
        <v>Розвиток дитячо-юнацького та резервного спорту</v>
      </c>
      <c r="E33" s="88">
        <f>E34+E35</f>
        <v>17662879</v>
      </c>
      <c r="F33" s="88">
        <f aca="true" t="shared" si="9" ref="F33:O33">F34+F35</f>
        <v>17662879</v>
      </c>
      <c r="G33" s="88">
        <f t="shared" si="9"/>
        <v>6380000</v>
      </c>
      <c r="H33" s="88">
        <f t="shared" si="9"/>
        <v>586810</v>
      </c>
      <c r="I33" s="88">
        <f t="shared" si="9"/>
        <v>0</v>
      </c>
      <c r="J33" s="88">
        <f t="shared" si="9"/>
        <v>210000</v>
      </c>
      <c r="K33" s="88">
        <f t="shared" si="9"/>
        <v>0</v>
      </c>
      <c r="L33" s="88">
        <f t="shared" si="9"/>
        <v>0</v>
      </c>
      <c r="M33" s="88">
        <f t="shared" si="9"/>
        <v>0</v>
      </c>
      <c r="N33" s="88">
        <f t="shared" si="9"/>
        <v>210000</v>
      </c>
      <c r="O33" s="88">
        <f t="shared" si="9"/>
        <v>210000</v>
      </c>
      <c r="P33" s="88">
        <f>P34+P35</f>
        <v>17872879</v>
      </c>
      <c r="Q33" s="289"/>
      <c r="R33" s="159"/>
      <c r="S33" s="159"/>
      <c r="T33" s="159"/>
    </row>
    <row r="34" spans="1:20" s="115" customFormat="1" ht="30" customHeight="1">
      <c r="A34" s="116" t="s">
        <v>252</v>
      </c>
      <c r="B34" s="116" t="str">
        <f>'дод. 3'!A151</f>
        <v>5031</v>
      </c>
      <c r="C34" s="116" t="str">
        <f>'дод. 3'!B151</f>
        <v>0810</v>
      </c>
      <c r="D34" s="117" t="str">
        <f>'дод. 3'!C151</f>
        <v>Утримання та навчально-тренувальна робота комунальних дитячо-юнацьких спортивних шкіл</v>
      </c>
      <c r="E34" s="85">
        <f>F34+I34</f>
        <v>9529900</v>
      </c>
      <c r="F34" s="85">
        <f>8719900+577000+98000+15000+100000+10000+5000+5000</f>
        <v>9529900</v>
      </c>
      <c r="G34" s="85">
        <f>6380000</f>
        <v>6380000</v>
      </c>
      <c r="H34" s="85">
        <v>586810</v>
      </c>
      <c r="I34" s="85"/>
      <c r="J34" s="85">
        <f t="shared" si="3"/>
        <v>200000</v>
      </c>
      <c r="K34" s="85"/>
      <c r="L34" s="85"/>
      <c r="M34" s="85"/>
      <c r="N34" s="85">
        <v>200000</v>
      </c>
      <c r="O34" s="85">
        <v>200000</v>
      </c>
      <c r="P34" s="85">
        <f>E34+J34</f>
        <v>9729900</v>
      </c>
      <c r="Q34" s="289"/>
      <c r="R34" s="160"/>
      <c r="S34" s="160"/>
      <c r="T34" s="160"/>
    </row>
    <row r="35" spans="1:20" s="115" customFormat="1" ht="30">
      <c r="A35" s="116" t="s">
        <v>253</v>
      </c>
      <c r="B35" s="116" t="str">
        <f>'дод. 3'!A152</f>
        <v>5032</v>
      </c>
      <c r="C35" s="116" t="str">
        <f>'дод. 3'!B152</f>
        <v>0810</v>
      </c>
      <c r="D35" s="117" t="str">
        <f>'дод. 3'!C152</f>
        <v>Фінансова підтримка дитячо-юнацьких спортивних шкіл фізкультурно-спортивних товариств</v>
      </c>
      <c r="E35" s="85">
        <f>F35+I35</f>
        <v>8132979</v>
      </c>
      <c r="F35" s="85">
        <f>7321800+300000+95000+301179+65000+10000+20000+20000</f>
        <v>8132979</v>
      </c>
      <c r="G35" s="85"/>
      <c r="H35" s="85"/>
      <c r="I35" s="85"/>
      <c r="J35" s="85">
        <f t="shared" si="3"/>
        <v>10000</v>
      </c>
      <c r="K35" s="85"/>
      <c r="L35" s="85"/>
      <c r="M35" s="85"/>
      <c r="N35" s="85">
        <v>10000</v>
      </c>
      <c r="O35" s="85">
        <v>10000</v>
      </c>
      <c r="P35" s="85">
        <f>E35+J35</f>
        <v>8142979</v>
      </c>
      <c r="Q35" s="289"/>
      <c r="R35" s="160"/>
      <c r="S35" s="160"/>
      <c r="T35" s="160"/>
    </row>
    <row r="36" spans="1:20" s="115" customFormat="1" ht="33.75" customHeight="1">
      <c r="A36" s="89" t="s">
        <v>254</v>
      </c>
      <c r="B36" s="89" t="str">
        <f>'дод. 3'!A153</f>
        <v>5060</v>
      </c>
      <c r="C36" s="89">
        <f>'дод. 3'!B153</f>
        <v>0</v>
      </c>
      <c r="D36" s="110" t="str">
        <f>'дод. 3'!C153</f>
        <v>Інші заходи з розвитку фізичної культури та спорту</v>
      </c>
      <c r="E36" s="88">
        <f>E37+E38</f>
        <v>9472021</v>
      </c>
      <c r="F36" s="88">
        <f>F37+F38</f>
        <v>9472021</v>
      </c>
      <c r="G36" s="88">
        <f aca="true" t="shared" si="10" ref="G36:P36">G37+G38</f>
        <v>1789783</v>
      </c>
      <c r="H36" s="88">
        <f t="shared" si="10"/>
        <v>407210</v>
      </c>
      <c r="I36" s="88">
        <f t="shared" si="10"/>
        <v>0</v>
      </c>
      <c r="J36" s="88">
        <f t="shared" si="10"/>
        <v>266687</v>
      </c>
      <c r="K36" s="88">
        <f t="shared" si="10"/>
        <v>226687</v>
      </c>
      <c r="L36" s="88">
        <f t="shared" si="10"/>
        <v>141022</v>
      </c>
      <c r="M36" s="88">
        <f t="shared" si="10"/>
        <v>53404</v>
      </c>
      <c r="N36" s="88">
        <f t="shared" si="10"/>
        <v>40000</v>
      </c>
      <c r="O36" s="88">
        <f t="shared" si="10"/>
        <v>40000</v>
      </c>
      <c r="P36" s="88">
        <f t="shared" si="10"/>
        <v>9738708</v>
      </c>
      <c r="Q36" s="287">
        <v>6</v>
      </c>
      <c r="R36" s="159"/>
      <c r="S36" s="159"/>
      <c r="T36" s="159"/>
    </row>
    <row r="37" spans="1:20" s="115" customFormat="1" ht="60">
      <c r="A37" s="116" t="s">
        <v>255</v>
      </c>
      <c r="B37" s="116" t="str">
        <f>'дод. 3'!A154</f>
        <v>5061</v>
      </c>
      <c r="C37" s="116" t="str">
        <f>'дод. 3'!B154</f>
        <v>0810</v>
      </c>
      <c r="D37" s="117" t="str">
        <f>'дод. 3'!C154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7" s="85">
        <f>F37+I37</f>
        <v>3778561</v>
      </c>
      <c r="F37" s="85">
        <f>3246540+127835+6186+7000+30000+11000+350000</f>
        <v>3778561</v>
      </c>
      <c r="G37" s="85">
        <f>1685000+104783</f>
        <v>1789783</v>
      </c>
      <c r="H37" s="85">
        <v>407210</v>
      </c>
      <c r="I37" s="85"/>
      <c r="J37" s="85">
        <f t="shared" si="3"/>
        <v>246687</v>
      </c>
      <c r="K37" s="85">
        <f>226687</f>
        <v>226687</v>
      </c>
      <c r="L37" s="85">
        <v>141022</v>
      </c>
      <c r="M37" s="85">
        <v>53404</v>
      </c>
      <c r="N37" s="85">
        <f>20000</f>
        <v>20000</v>
      </c>
      <c r="O37" s="85">
        <v>20000</v>
      </c>
      <c r="P37" s="85">
        <f>E37+J37</f>
        <v>4025248</v>
      </c>
      <c r="Q37" s="287"/>
      <c r="R37" s="160"/>
      <c r="S37" s="160"/>
      <c r="T37" s="160"/>
    </row>
    <row r="38" spans="1:20" s="115" customFormat="1" ht="45">
      <c r="A38" s="116" t="s">
        <v>256</v>
      </c>
      <c r="B38" s="116" t="str">
        <f>'дод. 3'!A155</f>
        <v>5062</v>
      </c>
      <c r="C38" s="116" t="str">
        <f>'дод. 3'!B155</f>
        <v>0810</v>
      </c>
      <c r="D38" s="117" t="str">
        <f>'дод. 3'!C155</f>
        <v>Підтримка спорту вищих досягнень та організацій, які здійснюють фізкультурно-спортивну діяльність в регіоні</v>
      </c>
      <c r="E38" s="85">
        <f>F38+I38</f>
        <v>5693460</v>
      </c>
      <c r="F38" s="85">
        <f>5143460+50000+50000+50000+300000+100000</f>
        <v>5693460</v>
      </c>
      <c r="G38" s="85"/>
      <c r="H38" s="85"/>
      <c r="I38" s="85"/>
      <c r="J38" s="85">
        <f t="shared" si="3"/>
        <v>20000</v>
      </c>
      <c r="K38" s="85"/>
      <c r="L38" s="85"/>
      <c r="M38" s="85"/>
      <c r="N38" s="85">
        <v>20000</v>
      </c>
      <c r="O38" s="85">
        <v>20000</v>
      </c>
      <c r="P38" s="85">
        <f>E38+J38</f>
        <v>5713460</v>
      </c>
      <c r="Q38" s="287"/>
      <c r="R38" s="160"/>
      <c r="S38" s="160"/>
      <c r="T38" s="160"/>
    </row>
    <row r="39" spans="1:20" s="4" customFormat="1" ht="34.5" customHeight="1">
      <c r="A39" s="89" t="s">
        <v>257</v>
      </c>
      <c r="B39" s="89" t="str">
        <f>'дод. 3'!A194</f>
        <v>7410</v>
      </c>
      <c r="C39" s="89">
        <f>'дод. 3'!B194</f>
        <v>0</v>
      </c>
      <c r="D39" s="110" t="str">
        <f>'дод. 3'!C194</f>
        <v>Забезпечення надання послуг з перевезення пасажирів автомобільним транспортом</v>
      </c>
      <c r="E39" s="88">
        <f>E40</f>
        <v>5000000</v>
      </c>
      <c r="F39" s="88">
        <f aca="true" t="shared" si="11" ref="F39:P39">F40</f>
        <v>0</v>
      </c>
      <c r="G39" s="88">
        <f t="shared" si="11"/>
        <v>0</v>
      </c>
      <c r="H39" s="88">
        <f t="shared" si="11"/>
        <v>0</v>
      </c>
      <c r="I39" s="88">
        <f t="shared" si="11"/>
        <v>5000000</v>
      </c>
      <c r="J39" s="88">
        <f t="shared" si="11"/>
        <v>0</v>
      </c>
      <c r="K39" s="88">
        <f t="shared" si="11"/>
        <v>0</v>
      </c>
      <c r="L39" s="88">
        <f t="shared" si="11"/>
        <v>0</v>
      </c>
      <c r="M39" s="88">
        <f t="shared" si="11"/>
        <v>0</v>
      </c>
      <c r="N39" s="88">
        <f t="shared" si="11"/>
        <v>0</v>
      </c>
      <c r="O39" s="88">
        <f t="shared" si="11"/>
        <v>0</v>
      </c>
      <c r="P39" s="88">
        <f t="shared" si="11"/>
        <v>5000000</v>
      </c>
      <c r="Q39" s="287"/>
      <c r="R39" s="159"/>
      <c r="S39" s="159"/>
      <c r="T39" s="159"/>
    </row>
    <row r="40" spans="1:20" s="115" customFormat="1" ht="30">
      <c r="A40" s="116" t="s">
        <v>258</v>
      </c>
      <c r="B40" s="116" t="str">
        <f>'дод. 3'!A195</f>
        <v>7412</v>
      </c>
      <c r="C40" s="116" t="str">
        <f>'дод. 3'!B195</f>
        <v>0451</v>
      </c>
      <c r="D40" s="117" t="str">
        <f>'дод. 3'!C195</f>
        <v>Регулювання цін на послуги місцевого автотранспорту</v>
      </c>
      <c r="E40" s="85">
        <f>F40+I40</f>
        <v>5000000</v>
      </c>
      <c r="F40" s="85"/>
      <c r="G40" s="85"/>
      <c r="H40" s="85"/>
      <c r="I40" s="85">
        <f>3000000+2000000</f>
        <v>5000000</v>
      </c>
      <c r="J40" s="85">
        <f t="shared" si="3"/>
        <v>0</v>
      </c>
      <c r="K40" s="85"/>
      <c r="L40" s="85"/>
      <c r="M40" s="85"/>
      <c r="N40" s="85"/>
      <c r="O40" s="85"/>
      <c r="P40" s="85">
        <f>E40+J40</f>
        <v>5000000</v>
      </c>
      <c r="Q40" s="287"/>
      <c r="R40" s="160"/>
      <c r="S40" s="160"/>
      <c r="T40" s="160"/>
    </row>
    <row r="41" spans="1:20" s="4" customFormat="1" ht="30">
      <c r="A41" s="89" t="s">
        <v>259</v>
      </c>
      <c r="B41" s="89" t="str">
        <f>'дод. 3'!A196</f>
        <v>7420</v>
      </c>
      <c r="C41" s="89">
        <f>'дод. 3'!B196</f>
        <v>0</v>
      </c>
      <c r="D41" s="110" t="str">
        <f>'дод. 3'!C196</f>
        <v>Забезпечення надання послуг з перевезення пасажирів електротранспортом</v>
      </c>
      <c r="E41" s="88">
        <f>E42+E43</f>
        <v>22544636</v>
      </c>
      <c r="F41" s="88">
        <f aca="true" t="shared" si="12" ref="F41:P41">F42+F43</f>
        <v>0</v>
      </c>
      <c r="G41" s="88">
        <f t="shared" si="12"/>
        <v>0</v>
      </c>
      <c r="H41" s="88">
        <f t="shared" si="12"/>
        <v>0</v>
      </c>
      <c r="I41" s="88">
        <f t="shared" si="12"/>
        <v>22544636</v>
      </c>
      <c r="J41" s="88">
        <f t="shared" si="12"/>
        <v>1490000</v>
      </c>
      <c r="K41" s="88">
        <f t="shared" si="12"/>
        <v>0</v>
      </c>
      <c r="L41" s="88">
        <f t="shared" si="12"/>
        <v>0</v>
      </c>
      <c r="M41" s="88">
        <f t="shared" si="12"/>
        <v>0</v>
      </c>
      <c r="N41" s="88">
        <f t="shared" si="12"/>
        <v>1490000</v>
      </c>
      <c r="O41" s="88">
        <f t="shared" si="12"/>
        <v>1490000</v>
      </c>
      <c r="P41" s="88">
        <f t="shared" si="12"/>
        <v>24034636</v>
      </c>
      <c r="Q41" s="287"/>
      <c r="R41" s="159"/>
      <c r="S41" s="159"/>
      <c r="T41" s="159"/>
    </row>
    <row r="42" spans="1:20" s="115" customFormat="1" ht="30">
      <c r="A42" s="116" t="s">
        <v>260</v>
      </c>
      <c r="B42" s="116" t="str">
        <f>'дод. 3'!A197</f>
        <v>7422</v>
      </c>
      <c r="C42" s="116" t="str">
        <f>'дод. 3'!B197</f>
        <v>0453</v>
      </c>
      <c r="D42" s="117" t="str">
        <f>'дод. 3'!C197</f>
        <v>Регулювання цін на послуги місцевого наземного електротранспорту</v>
      </c>
      <c r="E42" s="85">
        <f aca="true" t="shared" si="13" ref="E42:E49">F42+I42</f>
        <v>10000000</v>
      </c>
      <c r="F42" s="85"/>
      <c r="G42" s="85"/>
      <c r="H42" s="85"/>
      <c r="I42" s="85">
        <f>6000000+4000000</f>
        <v>10000000</v>
      </c>
      <c r="J42" s="85">
        <f t="shared" si="3"/>
        <v>0</v>
      </c>
      <c r="K42" s="85"/>
      <c r="L42" s="85"/>
      <c r="M42" s="85"/>
      <c r="N42" s="85"/>
      <c r="O42" s="85"/>
      <c r="P42" s="85">
        <f>E42+J42</f>
        <v>10000000</v>
      </c>
      <c r="Q42" s="287"/>
      <c r="R42" s="160"/>
      <c r="S42" s="160"/>
      <c r="T42" s="160"/>
    </row>
    <row r="43" spans="1:20" s="115" customFormat="1" ht="21.75" customHeight="1">
      <c r="A43" s="116" t="s">
        <v>376</v>
      </c>
      <c r="B43" s="116" t="str">
        <f>'дод. 3'!A198</f>
        <v>7426</v>
      </c>
      <c r="C43" s="116" t="str">
        <f>'дод. 3'!B198</f>
        <v>0453</v>
      </c>
      <c r="D43" s="117" t="str">
        <f>'дод. 3'!C198</f>
        <v>Інші заходи у сфері електротранспорту</v>
      </c>
      <c r="E43" s="85">
        <f t="shared" si="13"/>
        <v>12544636</v>
      </c>
      <c r="F43" s="85"/>
      <c r="G43" s="85"/>
      <c r="H43" s="85"/>
      <c r="I43" s="85">
        <f>12858252-313616</f>
        <v>12544636</v>
      </c>
      <c r="J43" s="85">
        <f t="shared" si="3"/>
        <v>1490000</v>
      </c>
      <c r="K43" s="85"/>
      <c r="L43" s="85"/>
      <c r="M43" s="85"/>
      <c r="N43" s="85">
        <f>810000+680000</f>
        <v>1490000</v>
      </c>
      <c r="O43" s="85">
        <f>810000+680000</f>
        <v>1490000</v>
      </c>
      <c r="P43" s="85">
        <f>E43+J43</f>
        <v>14034636</v>
      </c>
      <c r="Q43" s="287"/>
      <c r="R43" s="160"/>
      <c r="S43" s="160"/>
      <c r="T43" s="160"/>
    </row>
    <row r="44" spans="1:20" s="4" customFormat="1" ht="21.75" customHeight="1">
      <c r="A44" s="90" t="s">
        <v>491</v>
      </c>
      <c r="B44" s="90" t="str">
        <f>'дод. 3'!A201</f>
        <v>7450</v>
      </c>
      <c r="C44" s="90" t="str">
        <f>'дод. 3'!B201</f>
        <v>0456</v>
      </c>
      <c r="D44" s="110" t="str">
        <f>'дод. 3'!C201</f>
        <v>Інша діяльність у сфері транспорту </v>
      </c>
      <c r="E44" s="82">
        <f t="shared" si="13"/>
        <v>649800</v>
      </c>
      <c r="F44" s="82">
        <f>450000+199800</f>
        <v>649800</v>
      </c>
      <c r="G44" s="82"/>
      <c r="H44" s="82"/>
      <c r="I44" s="82"/>
      <c r="J44" s="82">
        <f>K44+N44</f>
        <v>0</v>
      </c>
      <c r="K44" s="82"/>
      <c r="L44" s="82"/>
      <c r="M44" s="82"/>
      <c r="N44" s="82"/>
      <c r="O44" s="82"/>
      <c r="P44" s="82">
        <f>J44+E44</f>
        <v>649800</v>
      </c>
      <c r="Q44" s="287"/>
      <c r="R44" s="158"/>
      <c r="S44" s="158"/>
      <c r="T44" s="158"/>
    </row>
    <row r="45" spans="1:20" s="118" customFormat="1" ht="30">
      <c r="A45" s="90" t="s">
        <v>377</v>
      </c>
      <c r="B45" s="90" t="str">
        <f>'дод. 3'!A207</f>
        <v>7530</v>
      </c>
      <c r="C45" s="90" t="str">
        <f>'дод. 3'!B207</f>
        <v>0460</v>
      </c>
      <c r="D45" s="110" t="str">
        <f>'дод. 3'!C207</f>
        <v>Інші заходи у сфері зв'язку, телекомунікації та інформатики</v>
      </c>
      <c r="E45" s="82">
        <f t="shared" si="13"/>
        <v>10068490</v>
      </c>
      <c r="F45" s="82">
        <f>2629000+1696500+1371000+1579990+2962430-170430</f>
        <v>10068490</v>
      </c>
      <c r="G45" s="82"/>
      <c r="H45" s="82"/>
      <c r="I45" s="82"/>
      <c r="J45" s="82">
        <f>K45+N45</f>
        <v>8282000</v>
      </c>
      <c r="K45" s="82"/>
      <c r="L45" s="82"/>
      <c r="M45" s="82"/>
      <c r="N45" s="82">
        <f>3005500+1891500+3385000</f>
        <v>8282000</v>
      </c>
      <c r="O45" s="82">
        <f>3005500+1891500+3385000</f>
        <v>8282000</v>
      </c>
      <c r="P45" s="82">
        <f>E45+J45</f>
        <v>18350490</v>
      </c>
      <c r="Q45" s="287"/>
      <c r="R45" s="158"/>
      <c r="S45" s="158"/>
      <c r="T45" s="158"/>
    </row>
    <row r="46" spans="1:20" s="115" customFormat="1" ht="30">
      <c r="A46" s="89" t="s">
        <v>261</v>
      </c>
      <c r="B46" s="89" t="str">
        <f>'дод. 3'!A209</f>
        <v>7610</v>
      </c>
      <c r="C46" s="89" t="str">
        <f>'дод. 3'!B209</f>
        <v>0411</v>
      </c>
      <c r="D46" s="110" t="str">
        <f>'дод. 3'!C209</f>
        <v>Сприяння розвитку малого та середнього підприємництва</v>
      </c>
      <c r="E46" s="88">
        <f t="shared" si="13"/>
        <v>88000</v>
      </c>
      <c r="F46" s="88">
        <v>88000</v>
      </c>
      <c r="G46" s="88"/>
      <c r="H46" s="88"/>
      <c r="I46" s="88"/>
      <c r="J46" s="88">
        <f t="shared" si="3"/>
        <v>16800</v>
      </c>
      <c r="K46" s="88"/>
      <c r="L46" s="88"/>
      <c r="M46" s="88"/>
      <c r="N46" s="88">
        <v>16800</v>
      </c>
      <c r="O46" s="88">
        <v>16800</v>
      </c>
      <c r="P46" s="88">
        <f>E46+J46</f>
        <v>104800</v>
      </c>
      <c r="Q46" s="287"/>
      <c r="R46" s="158"/>
      <c r="S46" s="158"/>
      <c r="T46" s="158"/>
    </row>
    <row r="47" spans="1:20" s="115" customFormat="1" ht="18.75" customHeight="1">
      <c r="A47" s="89" t="s">
        <v>402</v>
      </c>
      <c r="B47" s="89" t="str">
        <f>'дод. 3'!A210</f>
        <v>7640</v>
      </c>
      <c r="C47" s="89" t="str">
        <f>'дод. 3'!B210</f>
        <v>0470</v>
      </c>
      <c r="D47" s="110" t="str">
        <f>'дод. 3'!C210</f>
        <v>Заходи з енергозбереження</v>
      </c>
      <c r="E47" s="88">
        <f t="shared" si="13"/>
        <v>125175</v>
      </c>
      <c r="F47" s="88">
        <v>125175</v>
      </c>
      <c r="G47" s="88"/>
      <c r="H47" s="88"/>
      <c r="I47" s="88"/>
      <c r="J47" s="88">
        <f>K47+N47</f>
        <v>0</v>
      </c>
      <c r="K47" s="88"/>
      <c r="L47" s="88"/>
      <c r="M47" s="88"/>
      <c r="N47" s="88"/>
      <c r="O47" s="88"/>
      <c r="P47" s="88">
        <f>E47+J47</f>
        <v>125175</v>
      </c>
      <c r="Q47" s="287"/>
      <c r="R47" s="158"/>
      <c r="S47" s="158"/>
      <c r="T47" s="158"/>
    </row>
    <row r="48" spans="1:20" s="115" customFormat="1" ht="30">
      <c r="A48" s="89" t="s">
        <v>262</v>
      </c>
      <c r="B48" s="89" t="str">
        <f>'дод. 3'!A213</f>
        <v>7670</v>
      </c>
      <c r="C48" s="89" t="str">
        <f>'дод. 3'!B213</f>
        <v>0490</v>
      </c>
      <c r="D48" s="110" t="str">
        <f>'дод. 3'!C213</f>
        <v>Внески до статутного капіталу суб’єктів господарювання</v>
      </c>
      <c r="E48" s="88">
        <f t="shared" si="13"/>
        <v>0</v>
      </c>
      <c r="F48" s="88"/>
      <c r="G48" s="88"/>
      <c r="H48" s="88"/>
      <c r="I48" s="88"/>
      <c r="J48" s="88">
        <f t="shared" si="3"/>
        <v>29240000</v>
      </c>
      <c r="K48" s="88"/>
      <c r="L48" s="88"/>
      <c r="M48" s="88"/>
      <c r="N48" s="88">
        <f>4220000+24220000+800000</f>
        <v>29240000</v>
      </c>
      <c r="O48" s="88">
        <f>4220000+24220000+800000</f>
        <v>29240000</v>
      </c>
      <c r="P48" s="88">
        <f>E48+J48</f>
        <v>29240000</v>
      </c>
      <c r="Q48" s="287"/>
      <c r="R48" s="158"/>
      <c r="S48" s="158"/>
      <c r="T48" s="158"/>
    </row>
    <row r="49" spans="1:20" s="115" customFormat="1" ht="30">
      <c r="A49" s="89" t="s">
        <v>391</v>
      </c>
      <c r="B49" s="89" t="str">
        <f>'дод. 3'!A214</f>
        <v>7680</v>
      </c>
      <c r="C49" s="89" t="str">
        <f>'дод. 3'!B214</f>
        <v>0490</v>
      </c>
      <c r="D49" s="110" t="str">
        <f>'дод. 3'!C214</f>
        <v>Членські внески до асоціацій органів місцевого самоврядування</v>
      </c>
      <c r="E49" s="88">
        <f t="shared" si="13"/>
        <v>209333</v>
      </c>
      <c r="F49" s="88">
        <f>50000+159333</f>
        <v>209333</v>
      </c>
      <c r="G49" s="88"/>
      <c r="H49" s="88"/>
      <c r="I49" s="88"/>
      <c r="J49" s="88">
        <f t="shared" si="3"/>
        <v>0</v>
      </c>
      <c r="K49" s="88"/>
      <c r="L49" s="88"/>
      <c r="M49" s="88"/>
      <c r="N49" s="88"/>
      <c r="O49" s="88"/>
      <c r="P49" s="88">
        <f>E49+J49</f>
        <v>209333</v>
      </c>
      <c r="Q49" s="287"/>
      <c r="R49" s="158"/>
      <c r="S49" s="158"/>
      <c r="T49" s="158"/>
    </row>
    <row r="50" spans="1:20" s="115" customFormat="1" ht="19.5" customHeight="1">
      <c r="A50" s="89" t="s">
        <v>263</v>
      </c>
      <c r="B50" s="89" t="str">
        <f>'дод. 3'!A215</f>
        <v>7690</v>
      </c>
      <c r="C50" s="89">
        <f>'дод. 3'!B215</f>
        <v>0</v>
      </c>
      <c r="D50" s="110" t="str">
        <f>'дод. 3'!C215</f>
        <v>Інша економічна діяльність</v>
      </c>
      <c r="E50" s="88">
        <f>E51+E52</f>
        <v>1857059</v>
      </c>
      <c r="F50" s="88">
        <f>F51+F52</f>
        <v>1659159</v>
      </c>
      <c r="G50" s="88">
        <f aca="true" t="shared" si="14" ref="G50:P50">G51+G52</f>
        <v>0</v>
      </c>
      <c r="H50" s="88">
        <f t="shared" si="14"/>
        <v>0</v>
      </c>
      <c r="I50" s="88">
        <f t="shared" si="14"/>
        <v>197900</v>
      </c>
      <c r="J50" s="88">
        <f t="shared" si="14"/>
        <v>70037.48</v>
      </c>
      <c r="K50" s="88">
        <f t="shared" si="14"/>
        <v>70037.48</v>
      </c>
      <c r="L50" s="88">
        <f t="shared" si="14"/>
        <v>0</v>
      </c>
      <c r="M50" s="88">
        <f t="shared" si="14"/>
        <v>0</v>
      </c>
      <c r="N50" s="88">
        <f t="shared" si="14"/>
        <v>0</v>
      </c>
      <c r="O50" s="88">
        <f t="shared" si="14"/>
        <v>0</v>
      </c>
      <c r="P50" s="88">
        <f t="shared" si="14"/>
        <v>1927096.48</v>
      </c>
      <c r="Q50" s="287"/>
      <c r="R50" s="159"/>
      <c r="S50" s="159"/>
      <c r="T50" s="159"/>
    </row>
    <row r="51" spans="1:20" s="115" customFormat="1" ht="121.5" customHeight="1">
      <c r="A51" s="116" t="s">
        <v>473</v>
      </c>
      <c r="B51" s="116" t="str">
        <f>'дод. 3'!A216</f>
        <v>7691</v>
      </c>
      <c r="C51" s="116" t="str">
        <f>'дод. 3'!B216</f>
        <v>0490</v>
      </c>
      <c r="D51" s="84" t="s">
        <v>499</v>
      </c>
      <c r="E51" s="85">
        <f aca="true" t="shared" si="15" ref="E51:E58">F51+I51</f>
        <v>0</v>
      </c>
      <c r="F51" s="85"/>
      <c r="G51" s="85"/>
      <c r="H51" s="85"/>
      <c r="I51" s="85"/>
      <c r="J51" s="85">
        <f t="shared" si="3"/>
        <v>70037.48</v>
      </c>
      <c r="K51" s="85">
        <f>63407+6630.48</f>
        <v>70037.48</v>
      </c>
      <c r="L51" s="85"/>
      <c r="M51" s="85"/>
      <c r="N51" s="85"/>
      <c r="O51" s="85"/>
      <c r="P51" s="85">
        <f aca="true" t="shared" si="16" ref="P51:P58">E51+J51</f>
        <v>70037.48</v>
      </c>
      <c r="Q51" s="287"/>
      <c r="R51" s="160"/>
      <c r="S51" s="160"/>
      <c r="T51" s="160"/>
    </row>
    <row r="52" spans="1:20" s="115" customFormat="1" ht="23.25" customHeight="1">
      <c r="A52" s="116" t="s">
        <v>384</v>
      </c>
      <c r="B52" s="116" t="str">
        <f>'дод. 3'!A217</f>
        <v>7693</v>
      </c>
      <c r="C52" s="116" t="str">
        <f>'дод. 3'!B217</f>
        <v>0490</v>
      </c>
      <c r="D52" s="117" t="str">
        <f>'дод. 3'!C217</f>
        <v>Інші заходи, пов'язані з економічною діяльністю</v>
      </c>
      <c r="E52" s="85">
        <f t="shared" si="15"/>
        <v>1857059</v>
      </c>
      <c r="F52" s="85">
        <f>1449859+262200+90000-197900+30000+25000</f>
        <v>1659159</v>
      </c>
      <c r="G52" s="85"/>
      <c r="H52" s="85"/>
      <c r="I52" s="85">
        <v>197900</v>
      </c>
      <c r="J52" s="85">
        <f t="shared" si="3"/>
        <v>0</v>
      </c>
      <c r="K52" s="85"/>
      <c r="L52" s="85"/>
      <c r="M52" s="85"/>
      <c r="N52" s="85"/>
      <c r="O52" s="85"/>
      <c r="P52" s="85">
        <f t="shared" si="16"/>
        <v>1857059</v>
      </c>
      <c r="Q52" s="287"/>
      <c r="R52" s="160"/>
      <c r="S52" s="160"/>
      <c r="T52" s="160"/>
    </row>
    <row r="53" spans="1:20" s="115" customFormat="1" ht="34.5" customHeight="1">
      <c r="A53" s="89" t="s">
        <v>264</v>
      </c>
      <c r="B53" s="89" t="str">
        <f>'дод. 3'!A220</f>
        <v>8110</v>
      </c>
      <c r="C53" s="89" t="str">
        <f>'дод. 3'!B220</f>
        <v>0320</v>
      </c>
      <c r="D53" s="110" t="str">
        <f>'дод. 3'!C220</f>
        <v>Заходи із запобігання та ліквідації надзвичайних ситуацій та наслідків стихійного лиха</v>
      </c>
      <c r="E53" s="88">
        <f t="shared" si="15"/>
        <v>503883</v>
      </c>
      <c r="F53" s="88">
        <f>228570+180360+92500+2453</f>
        <v>503883</v>
      </c>
      <c r="G53" s="88"/>
      <c r="H53" s="88">
        <v>5070</v>
      </c>
      <c r="I53" s="88"/>
      <c r="J53" s="88">
        <f t="shared" si="3"/>
        <v>55900</v>
      </c>
      <c r="K53" s="88"/>
      <c r="L53" s="88"/>
      <c r="M53" s="88"/>
      <c r="N53" s="88">
        <v>55900</v>
      </c>
      <c r="O53" s="88">
        <v>55900</v>
      </c>
      <c r="P53" s="88">
        <f t="shared" si="16"/>
        <v>559783</v>
      </c>
      <c r="Q53" s="287"/>
      <c r="R53" s="158"/>
      <c r="S53" s="158"/>
      <c r="T53" s="158"/>
    </row>
    <row r="54" spans="1:20" s="115" customFormat="1" ht="19.5" customHeight="1">
      <c r="A54" s="89" t="s">
        <v>360</v>
      </c>
      <c r="B54" s="89" t="str">
        <f>'дод. 3'!A221</f>
        <v>8120</v>
      </c>
      <c r="C54" s="89" t="str">
        <f>'дод. 3'!B221</f>
        <v>0320</v>
      </c>
      <c r="D54" s="110" t="str">
        <f>'дод. 3'!C221</f>
        <v>Заходи з організації рятування на водах</v>
      </c>
      <c r="E54" s="88">
        <f t="shared" si="15"/>
        <v>1517110</v>
      </c>
      <c r="F54" s="88">
        <f>1451100+43510+22500+17520-17520+3000-3000</f>
        <v>1517110</v>
      </c>
      <c r="G54" s="88">
        <v>1087750</v>
      </c>
      <c r="H54" s="88">
        <v>76315</v>
      </c>
      <c r="I54" s="88"/>
      <c r="J54" s="88">
        <f t="shared" si="3"/>
        <v>63000</v>
      </c>
      <c r="K54" s="88">
        <f>5100</f>
        <v>5100</v>
      </c>
      <c r="L54" s="88"/>
      <c r="M54" s="88">
        <f>1200</f>
        <v>1200</v>
      </c>
      <c r="N54" s="88">
        <v>57900</v>
      </c>
      <c r="O54" s="88">
        <v>57900</v>
      </c>
      <c r="P54" s="88">
        <f t="shared" si="16"/>
        <v>1580110</v>
      </c>
      <c r="Q54" s="287"/>
      <c r="R54" s="158"/>
      <c r="S54" s="158"/>
      <c r="T54" s="158"/>
    </row>
    <row r="55" spans="1:20" s="115" customFormat="1" ht="21.75" customHeight="1">
      <c r="A55" s="89" t="s">
        <v>387</v>
      </c>
      <c r="B55" s="89" t="str">
        <f>'дод. 3'!A223</f>
        <v>8230</v>
      </c>
      <c r="C55" s="89" t="str">
        <f>'дод. 3'!B223</f>
        <v>0380</v>
      </c>
      <c r="D55" s="110" t="str">
        <f>'дод. 3'!C223</f>
        <v>Інші заходи громадського порядку та безпеки</v>
      </c>
      <c r="E55" s="88">
        <f t="shared" si="15"/>
        <v>391300</v>
      </c>
      <c r="F55" s="88">
        <v>391300</v>
      </c>
      <c r="G55" s="88"/>
      <c r="H55" s="88">
        <v>222241</v>
      </c>
      <c r="I55" s="88"/>
      <c r="J55" s="88">
        <f t="shared" si="3"/>
        <v>0</v>
      </c>
      <c r="K55" s="88"/>
      <c r="L55" s="88"/>
      <c r="M55" s="88"/>
      <c r="N55" s="88"/>
      <c r="O55" s="88"/>
      <c r="P55" s="88">
        <f t="shared" si="16"/>
        <v>391300</v>
      </c>
      <c r="Q55" s="287"/>
      <c r="R55" s="158"/>
      <c r="S55" s="158"/>
      <c r="T55" s="158"/>
    </row>
    <row r="56" spans="1:20" s="115" customFormat="1" ht="34.5" customHeight="1">
      <c r="A56" s="86" t="s">
        <v>265</v>
      </c>
      <c r="B56" s="86" t="str">
        <f>'дод. 3'!A226</f>
        <v>8340</v>
      </c>
      <c r="C56" s="86" t="str">
        <f>'дод. 3'!B226</f>
        <v>0540</v>
      </c>
      <c r="D56" s="107" t="str">
        <f>'дод. 3'!C226</f>
        <v>Природоохоронні заходи за рахунок цільових фондів</v>
      </c>
      <c r="E56" s="88">
        <f t="shared" si="15"/>
        <v>0</v>
      </c>
      <c r="F56" s="88"/>
      <c r="G56" s="88"/>
      <c r="H56" s="88"/>
      <c r="I56" s="88"/>
      <c r="J56" s="88">
        <f t="shared" si="3"/>
        <v>181495</v>
      </c>
      <c r="K56" s="88">
        <f>123500+57995</f>
        <v>181495</v>
      </c>
      <c r="L56" s="88"/>
      <c r="M56" s="88"/>
      <c r="N56" s="88"/>
      <c r="O56" s="88"/>
      <c r="P56" s="88">
        <f t="shared" si="16"/>
        <v>181495</v>
      </c>
      <c r="Q56" s="287"/>
      <c r="R56" s="158"/>
      <c r="S56" s="158"/>
      <c r="T56" s="158"/>
    </row>
    <row r="57" spans="1:20" s="4" customFormat="1" ht="24" customHeight="1">
      <c r="A57" s="89" t="s">
        <v>398</v>
      </c>
      <c r="B57" s="89" t="str">
        <f>'дод. 3'!A228</f>
        <v>8420</v>
      </c>
      <c r="C57" s="89" t="str">
        <f>'дод. 3'!B228</f>
        <v>0830</v>
      </c>
      <c r="D57" s="110" t="str">
        <f>'дод. 3'!C228</f>
        <v>Інші заходи у сфері засобів масової інформації</v>
      </c>
      <c r="E57" s="88">
        <f t="shared" si="15"/>
        <v>164000</v>
      </c>
      <c r="F57" s="88">
        <v>164000</v>
      </c>
      <c r="G57" s="88"/>
      <c r="H57" s="88"/>
      <c r="I57" s="88"/>
      <c r="J57" s="88">
        <f t="shared" si="3"/>
        <v>0</v>
      </c>
      <c r="K57" s="88"/>
      <c r="L57" s="88"/>
      <c r="M57" s="88"/>
      <c r="N57" s="88"/>
      <c r="O57" s="88"/>
      <c r="P57" s="88">
        <f t="shared" si="16"/>
        <v>164000</v>
      </c>
      <c r="Q57" s="287"/>
      <c r="R57" s="158"/>
      <c r="S57" s="158"/>
      <c r="T57" s="158"/>
    </row>
    <row r="58" spans="1:20" s="4" customFormat="1" ht="24" customHeight="1">
      <c r="A58" s="89" t="s">
        <v>631</v>
      </c>
      <c r="B58" s="89" t="str">
        <f>'дод. 3'!A240</f>
        <v>9770</v>
      </c>
      <c r="C58" s="89" t="str">
        <f>'дод. 3'!B240</f>
        <v>0180</v>
      </c>
      <c r="D58" s="224" t="str">
        <f>'дод. 3'!C240</f>
        <v>Інші субвенції з місцевого бюджету </v>
      </c>
      <c r="E58" s="88">
        <f t="shared" si="15"/>
        <v>166600</v>
      </c>
      <c r="F58" s="88">
        <f>116600+50000</f>
        <v>166600</v>
      </c>
      <c r="G58" s="88"/>
      <c r="H58" s="88"/>
      <c r="I58" s="88"/>
      <c r="J58" s="88">
        <f t="shared" si="3"/>
        <v>344000</v>
      </c>
      <c r="K58" s="88"/>
      <c r="L58" s="88"/>
      <c r="M58" s="88"/>
      <c r="N58" s="88">
        <v>344000</v>
      </c>
      <c r="O58" s="88">
        <v>344000</v>
      </c>
      <c r="P58" s="88">
        <f t="shared" si="16"/>
        <v>510600</v>
      </c>
      <c r="Q58" s="287"/>
      <c r="R58" s="158"/>
      <c r="S58" s="158"/>
      <c r="T58" s="158"/>
    </row>
    <row r="59" spans="1:20" s="4" customFormat="1" ht="50.25" customHeight="1">
      <c r="A59" s="89" t="s">
        <v>592</v>
      </c>
      <c r="B59" s="89" t="str">
        <f>'дод. 3'!A242</f>
        <v>9800</v>
      </c>
      <c r="C59" s="89" t="str">
        <f>'дод. 3'!B242</f>
        <v>0180</v>
      </c>
      <c r="D59" s="110" t="str">
        <f>'дод. 3'!C242</f>
        <v>Субвенція з місцевого бюджету державному бюджету на виконання програм соціально-економічного розвитку регіонів </v>
      </c>
      <c r="E59" s="88">
        <f>F59+I59</f>
        <v>481400</v>
      </c>
      <c r="F59" s="88">
        <f>300000+70000+111400</f>
        <v>481400</v>
      </c>
      <c r="G59" s="88"/>
      <c r="H59" s="88"/>
      <c r="I59" s="88"/>
      <c r="J59" s="88">
        <f>K59+N59</f>
        <v>3563780</v>
      </c>
      <c r="K59" s="88"/>
      <c r="L59" s="88"/>
      <c r="M59" s="88"/>
      <c r="N59" s="88">
        <f>2000000+563780+1000000</f>
        <v>3563780</v>
      </c>
      <c r="O59" s="88">
        <f>2000000+563780+1000000</f>
        <v>3563780</v>
      </c>
      <c r="P59" s="88">
        <f>E59+J59</f>
        <v>4045180</v>
      </c>
      <c r="Q59" s="287"/>
      <c r="R59" s="158"/>
      <c r="S59" s="158"/>
      <c r="T59" s="158"/>
    </row>
    <row r="60" spans="1:20" s="112" customFormat="1" ht="23.25" customHeight="1">
      <c r="A60" s="119" t="s">
        <v>266</v>
      </c>
      <c r="B60" s="120"/>
      <c r="C60" s="120"/>
      <c r="D60" s="35" t="s">
        <v>48</v>
      </c>
      <c r="E60" s="46">
        <f>E61</f>
        <v>752982565.25</v>
      </c>
      <c r="F60" s="46">
        <f aca="true" t="shared" si="17" ref="F60:P60">F61</f>
        <v>752982565.25</v>
      </c>
      <c r="G60" s="46">
        <f t="shared" si="17"/>
        <v>478971924</v>
      </c>
      <c r="H60" s="46">
        <f t="shared" si="17"/>
        <v>69735910</v>
      </c>
      <c r="I60" s="46">
        <f t="shared" si="17"/>
        <v>0</v>
      </c>
      <c r="J60" s="46">
        <f t="shared" si="17"/>
        <v>96169697.47</v>
      </c>
      <c r="K60" s="46">
        <f t="shared" si="17"/>
        <v>48306948</v>
      </c>
      <c r="L60" s="46">
        <f t="shared" si="17"/>
        <v>2677494</v>
      </c>
      <c r="M60" s="46">
        <f t="shared" si="17"/>
        <v>2371330</v>
      </c>
      <c r="N60" s="46">
        <f t="shared" si="17"/>
        <v>47862749.47</v>
      </c>
      <c r="O60" s="46">
        <f t="shared" si="17"/>
        <v>45075541.42</v>
      </c>
      <c r="P60" s="46">
        <f t="shared" si="17"/>
        <v>849152262.72</v>
      </c>
      <c r="Q60" s="287"/>
      <c r="R60" s="155"/>
      <c r="S60" s="155"/>
      <c r="T60" s="155"/>
    </row>
    <row r="61" spans="1:20" s="114" customFormat="1" ht="29.25" customHeight="1">
      <c r="A61" s="121" t="s">
        <v>267</v>
      </c>
      <c r="B61" s="122"/>
      <c r="C61" s="122"/>
      <c r="D61" s="123" t="s">
        <v>48</v>
      </c>
      <c r="E61" s="79">
        <f aca="true" t="shared" si="18" ref="E61:P61">E63+E64+E65+E67+E69+E71+E72+E74+E75+E81+E84+E90+E91+E82+E92+E86</f>
        <v>752982565.25</v>
      </c>
      <c r="F61" s="79">
        <f>F63+F64+F65+F67+F69+F71+F72+F74+F75+F81+F84+F90+F91+F82+F92+F86</f>
        <v>752982565.25</v>
      </c>
      <c r="G61" s="79">
        <f t="shared" si="18"/>
        <v>478971924</v>
      </c>
      <c r="H61" s="79">
        <f t="shared" si="18"/>
        <v>69735910</v>
      </c>
      <c r="I61" s="79">
        <f t="shared" si="18"/>
        <v>0</v>
      </c>
      <c r="J61" s="79">
        <f t="shared" si="18"/>
        <v>96169697.47</v>
      </c>
      <c r="K61" s="79">
        <f t="shared" si="18"/>
        <v>48306948</v>
      </c>
      <c r="L61" s="79">
        <f t="shared" si="18"/>
        <v>2677494</v>
      </c>
      <c r="M61" s="79">
        <f t="shared" si="18"/>
        <v>2371330</v>
      </c>
      <c r="N61" s="79">
        <f t="shared" si="18"/>
        <v>47862749.47</v>
      </c>
      <c r="O61" s="79">
        <f t="shared" si="18"/>
        <v>45075541.42</v>
      </c>
      <c r="P61" s="79">
        <f t="shared" si="18"/>
        <v>849152262.72</v>
      </c>
      <c r="Q61" s="287"/>
      <c r="R61" s="162"/>
      <c r="S61" s="162"/>
      <c r="T61" s="162"/>
    </row>
    <row r="62" spans="1:20" s="114" customFormat="1" ht="18.75" customHeight="1">
      <c r="A62" s="121"/>
      <c r="B62" s="122"/>
      <c r="C62" s="122"/>
      <c r="D62" s="123" t="s">
        <v>416</v>
      </c>
      <c r="E62" s="79">
        <f>E66+E68+E70+E73+E76+E87</f>
        <v>267908342.9</v>
      </c>
      <c r="F62" s="79">
        <f aca="true" t="shared" si="19" ref="F62:P62">F66+F68+F70+F73+F76+F87</f>
        <v>267908342.9</v>
      </c>
      <c r="G62" s="79">
        <f t="shared" si="19"/>
        <v>213388985</v>
      </c>
      <c r="H62" s="79">
        <f t="shared" si="19"/>
        <v>0</v>
      </c>
      <c r="I62" s="79">
        <f t="shared" si="19"/>
        <v>0</v>
      </c>
      <c r="J62" s="79">
        <f t="shared" si="19"/>
        <v>10633603.83</v>
      </c>
      <c r="K62" s="79">
        <f t="shared" si="19"/>
        <v>0</v>
      </c>
      <c r="L62" s="79">
        <f t="shared" si="19"/>
        <v>0</v>
      </c>
      <c r="M62" s="79">
        <f t="shared" si="19"/>
        <v>0</v>
      </c>
      <c r="N62" s="79">
        <f t="shared" si="19"/>
        <v>10633603.83</v>
      </c>
      <c r="O62" s="79">
        <f t="shared" si="19"/>
        <v>8088095.78</v>
      </c>
      <c r="P62" s="79">
        <f t="shared" si="19"/>
        <v>278541946.72999996</v>
      </c>
      <c r="Q62" s="287"/>
      <c r="R62" s="157"/>
      <c r="S62" s="157"/>
      <c r="T62" s="157"/>
    </row>
    <row r="63" spans="1:20" s="4" customFormat="1" ht="45">
      <c r="A63" s="80" t="s">
        <v>268</v>
      </c>
      <c r="B63" s="80" t="str">
        <f>'дод. 3'!A13</f>
        <v>0160</v>
      </c>
      <c r="C63" s="80" t="str">
        <f>'дод. 3'!B13</f>
        <v>0111</v>
      </c>
      <c r="D63" s="81" t="str">
        <f>'дод. 3'!C13</f>
        <v>Керівництво і управління у відповідній сфері у містах (місті Києві), селищах, селах, об’єднаних територіальних громадах</v>
      </c>
      <c r="E63" s="82">
        <f aca="true" t="shared" si="20" ref="E63:E74">F63+I63</f>
        <v>2923203</v>
      </c>
      <c r="F63" s="82">
        <f>3102600-74400-104997</f>
        <v>2923203</v>
      </c>
      <c r="G63" s="82">
        <f>2367000-86063</f>
        <v>2280937</v>
      </c>
      <c r="H63" s="82">
        <v>38870</v>
      </c>
      <c r="I63" s="82"/>
      <c r="J63" s="82">
        <f aca="true" t="shared" si="21" ref="J63:J74">K63+N63</f>
        <v>16000</v>
      </c>
      <c r="K63" s="82"/>
      <c r="L63" s="82"/>
      <c r="M63" s="82"/>
      <c r="N63" s="82">
        <v>16000</v>
      </c>
      <c r="O63" s="82">
        <v>16000</v>
      </c>
      <c r="P63" s="82">
        <f aca="true" t="shared" si="22" ref="P63:P74">E63+J63</f>
        <v>2939203</v>
      </c>
      <c r="Q63" s="287"/>
      <c r="R63" s="158"/>
      <c r="S63" s="158"/>
      <c r="T63" s="158"/>
    </row>
    <row r="64" spans="1:20" s="4" customFormat="1" ht="21.75" customHeight="1">
      <c r="A64" s="80" t="s">
        <v>269</v>
      </c>
      <c r="B64" s="80" t="str">
        <f>'дод. 3'!A17</f>
        <v>1010</v>
      </c>
      <c r="C64" s="80" t="str">
        <f>'дод. 3'!B17</f>
        <v>0910</v>
      </c>
      <c r="D64" s="109" t="str">
        <f>'дод. 3'!C17</f>
        <v>Надання дошкільної освіти</v>
      </c>
      <c r="E64" s="82">
        <f t="shared" si="20"/>
        <v>190678766.35</v>
      </c>
      <c r="F64" s="82">
        <f>190467470+5000+77300+3000+93600+100000+74105+68126+35000+135000+4883.35-700000+10715+156000+51067+5000+49000+33500+10000</f>
        <v>190678766.35</v>
      </c>
      <c r="G64" s="82">
        <f>119291300</f>
        <v>119291300</v>
      </c>
      <c r="H64" s="82">
        <v>22031690</v>
      </c>
      <c r="I64" s="82"/>
      <c r="J64" s="82">
        <f t="shared" si="21"/>
        <v>20383896.65</v>
      </c>
      <c r="K64" s="82">
        <f>16065511</f>
        <v>16065511</v>
      </c>
      <c r="L64" s="82"/>
      <c r="M64" s="82"/>
      <c r="N64" s="82">
        <f>3500000+20000+20000+200000+52395+47874+50000+40000+350000+15116.65+15000+8000</f>
        <v>4318385.65</v>
      </c>
      <c r="O64" s="82">
        <f>3500000+20000+20000+200000+52395+47874+50000+40000+350000+15116.65+15000+8000</f>
        <v>4318385.65</v>
      </c>
      <c r="P64" s="82">
        <f t="shared" si="22"/>
        <v>211062663</v>
      </c>
      <c r="Q64" s="287"/>
      <c r="R64" s="158"/>
      <c r="S64" s="158"/>
      <c r="T64" s="158"/>
    </row>
    <row r="65" spans="1:20" s="4" customFormat="1" ht="73.5" customHeight="1">
      <c r="A65" s="80" t="s">
        <v>270</v>
      </c>
      <c r="B65" s="80" t="str">
        <f>'дод. 3'!A18</f>
        <v>1020</v>
      </c>
      <c r="C65" s="80" t="str">
        <f>'дод. 3'!B18</f>
        <v>0921</v>
      </c>
      <c r="D65" s="109" t="str">
        <f>'дод. 3'!C18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65" s="82">
        <f t="shared" si="20"/>
        <v>412358400.9</v>
      </c>
      <c r="F65" s="82">
        <f>395462520+83700+10010+2251990+48337+19400+252570+55800+62000+968652+1644142.9+138384+112200+237956-1400000+1400000+68277+120139+72200+4920+150000+184040+21000+700000+61050+3500000+66000+5478703+38810+85000+236800+150000+10000+15000+30000+18800</f>
        <v>412358400.9</v>
      </c>
      <c r="G65" s="82">
        <f>266266600+83700-15000+516085+1150000+1725000+2875000</f>
        <v>272601385</v>
      </c>
      <c r="H65" s="82">
        <v>34867640</v>
      </c>
      <c r="I65" s="82"/>
      <c r="J65" s="82">
        <f t="shared" si="21"/>
        <v>43216819</v>
      </c>
      <c r="K65" s="82">
        <f>25377767</f>
        <v>25377767</v>
      </c>
      <c r="L65" s="82">
        <v>624000</v>
      </c>
      <c r="M65" s="82">
        <v>36920</v>
      </c>
      <c r="N65" s="82">
        <f>7400000+419705+50000+1905000+20000+30000+650000+3281280+766542+2500000+80000+77000+52000+4920+535000-120139+53000-4920+33000-61050+9900+30000+150000+41839-150000+50000+9975+26000</f>
        <v>17839052</v>
      </c>
      <c r="O65" s="82">
        <f>7400000+419705+50000+1905000+20000+30000+650000+3281280+766542+2500000+80000+77000+52000+4920+535000-120139+53000-4920+33000-61050+9900+30000+150000+41839-150000+50000+9975+26000</f>
        <v>17839052</v>
      </c>
      <c r="P65" s="82">
        <f t="shared" si="22"/>
        <v>455575219.9</v>
      </c>
      <c r="Q65" s="287"/>
      <c r="R65" s="158"/>
      <c r="S65" s="158"/>
      <c r="T65" s="158"/>
    </row>
    <row r="66" spans="1:20" s="4" customFormat="1" ht="15">
      <c r="A66" s="80"/>
      <c r="B66" s="92"/>
      <c r="C66" s="92"/>
      <c r="D66" s="81" t="s">
        <v>416</v>
      </c>
      <c r="E66" s="82">
        <f t="shared" si="20"/>
        <v>252514507.9</v>
      </c>
      <c r="F66" s="82">
        <f>244300500+83700+968652+1644142.9+5478703+38810</f>
        <v>252514507.9</v>
      </c>
      <c r="G66" s="82">
        <f>200571200+83700-15000+516085</f>
        <v>201155985</v>
      </c>
      <c r="H66" s="82"/>
      <c r="I66" s="82"/>
      <c r="J66" s="82">
        <f t="shared" si="21"/>
        <v>1416542</v>
      </c>
      <c r="K66" s="82"/>
      <c r="L66" s="82"/>
      <c r="M66" s="82"/>
      <c r="N66" s="82">
        <f>650000+766542</f>
        <v>1416542</v>
      </c>
      <c r="O66" s="82">
        <f>650000+766542</f>
        <v>1416542</v>
      </c>
      <c r="P66" s="82">
        <f t="shared" si="22"/>
        <v>253931049.9</v>
      </c>
      <c r="Q66" s="287"/>
      <c r="R66" s="158"/>
      <c r="S66" s="158"/>
      <c r="T66" s="158"/>
    </row>
    <row r="67" spans="1:20" s="4" customFormat="1" ht="31.5" customHeight="1">
      <c r="A67" s="80" t="s">
        <v>423</v>
      </c>
      <c r="B67" s="80" t="str">
        <f>'дод. 3'!A20</f>
        <v>1030</v>
      </c>
      <c r="C67" s="80" t="str">
        <f>'дод. 3'!B20</f>
        <v>0921</v>
      </c>
      <c r="D67" s="109" t="str">
        <f>'дод. 3'!C20</f>
        <v>Надання загальної середньої освіти вечiрнiми (змінними) школами</v>
      </c>
      <c r="E67" s="82">
        <f t="shared" si="20"/>
        <v>778340</v>
      </c>
      <c r="F67" s="82">
        <v>778340</v>
      </c>
      <c r="G67" s="82">
        <v>637000</v>
      </c>
      <c r="H67" s="82"/>
      <c r="I67" s="82"/>
      <c r="J67" s="82">
        <f t="shared" si="21"/>
        <v>0</v>
      </c>
      <c r="K67" s="82"/>
      <c r="L67" s="82"/>
      <c r="M67" s="82"/>
      <c r="N67" s="82"/>
      <c r="O67" s="82"/>
      <c r="P67" s="82">
        <f t="shared" si="22"/>
        <v>778340</v>
      </c>
      <c r="Q67" s="287"/>
      <c r="R67" s="158"/>
      <c r="S67" s="158"/>
      <c r="T67" s="158"/>
    </row>
    <row r="68" spans="1:20" s="4" customFormat="1" ht="17.25" customHeight="1">
      <c r="A68" s="80"/>
      <c r="B68" s="92"/>
      <c r="C68" s="92"/>
      <c r="D68" s="81" t="s">
        <v>416</v>
      </c>
      <c r="E68" s="82">
        <f t="shared" si="20"/>
        <v>777140</v>
      </c>
      <c r="F68" s="82">
        <v>777140</v>
      </c>
      <c r="G68" s="82">
        <v>637000</v>
      </c>
      <c r="H68" s="82"/>
      <c r="I68" s="82"/>
      <c r="J68" s="82">
        <f t="shared" si="21"/>
        <v>0</v>
      </c>
      <c r="K68" s="82"/>
      <c r="L68" s="82"/>
      <c r="M68" s="82"/>
      <c r="N68" s="82"/>
      <c r="O68" s="82"/>
      <c r="P68" s="82">
        <f t="shared" si="22"/>
        <v>777140</v>
      </c>
      <c r="Q68" s="287"/>
      <c r="R68" s="158"/>
      <c r="S68" s="158"/>
      <c r="T68" s="158"/>
    </row>
    <row r="69" spans="1:20" s="4" customFormat="1" ht="75" customHeight="1">
      <c r="A69" s="80" t="s">
        <v>354</v>
      </c>
      <c r="B69" s="80" t="str">
        <f>'дод. 3'!A22</f>
        <v>1070</v>
      </c>
      <c r="C69" s="80" t="str">
        <f>'дод. 3'!B22</f>
        <v>0922</v>
      </c>
      <c r="D69" s="109" t="str">
        <f>'дод. 3'!C22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69" s="82">
        <f t="shared" si="20"/>
        <v>7485765</v>
      </c>
      <c r="F69" s="82">
        <f>7458330+7435+20000</f>
        <v>7485765</v>
      </c>
      <c r="G69" s="82">
        <v>5205700</v>
      </c>
      <c r="H69" s="82">
        <v>615230</v>
      </c>
      <c r="I69" s="82"/>
      <c r="J69" s="82">
        <f t="shared" si="21"/>
        <v>100000</v>
      </c>
      <c r="K69" s="82"/>
      <c r="L69" s="82"/>
      <c r="M69" s="82"/>
      <c r="N69" s="82">
        <v>100000</v>
      </c>
      <c r="O69" s="82">
        <v>100000</v>
      </c>
      <c r="P69" s="82">
        <f t="shared" si="22"/>
        <v>7585765</v>
      </c>
      <c r="Q69" s="287">
        <v>7</v>
      </c>
      <c r="R69" s="158"/>
      <c r="S69" s="158"/>
      <c r="T69" s="158"/>
    </row>
    <row r="70" spans="1:20" s="4" customFormat="1" ht="24" customHeight="1">
      <c r="A70" s="80"/>
      <c r="B70" s="92"/>
      <c r="C70" s="92"/>
      <c r="D70" s="81" t="s">
        <v>416</v>
      </c>
      <c r="E70" s="82">
        <f t="shared" si="20"/>
        <v>4964695</v>
      </c>
      <c r="F70" s="82">
        <f>4957260+7435</f>
        <v>4964695</v>
      </c>
      <c r="G70" s="82">
        <v>4070000</v>
      </c>
      <c r="H70" s="82"/>
      <c r="I70" s="82"/>
      <c r="J70" s="82">
        <f t="shared" si="21"/>
        <v>0</v>
      </c>
      <c r="K70" s="82"/>
      <c r="L70" s="82"/>
      <c r="M70" s="82"/>
      <c r="N70" s="82"/>
      <c r="O70" s="82"/>
      <c r="P70" s="82">
        <f t="shared" si="22"/>
        <v>4964695</v>
      </c>
      <c r="Q70" s="287"/>
      <c r="R70" s="158"/>
      <c r="S70" s="158"/>
      <c r="T70" s="158"/>
    </row>
    <row r="71" spans="1:20" s="4" customFormat="1" ht="45.75" customHeight="1">
      <c r="A71" s="80" t="s">
        <v>355</v>
      </c>
      <c r="B71" s="80" t="str">
        <f>'дод. 3'!A24</f>
        <v>1090</v>
      </c>
      <c r="C71" s="80" t="str">
        <f>'дод. 3'!B24</f>
        <v>0960</v>
      </c>
      <c r="D71" s="109" t="str">
        <f>'дод. 3'!C24</f>
        <v>Надання позашкільної освіти позашкільними закладами освіти, заходи із позашкільної роботи з дітьми </v>
      </c>
      <c r="E71" s="82">
        <f t="shared" si="20"/>
        <v>21617190</v>
      </c>
      <c r="F71" s="82">
        <f>21531690+50000+20000+5000+10500</f>
        <v>21617190</v>
      </c>
      <c r="G71" s="82">
        <v>15425500</v>
      </c>
      <c r="H71" s="82">
        <v>2331620</v>
      </c>
      <c r="I71" s="82"/>
      <c r="J71" s="82">
        <f t="shared" si="21"/>
        <v>430000</v>
      </c>
      <c r="K71" s="82"/>
      <c r="L71" s="82"/>
      <c r="M71" s="82"/>
      <c r="N71" s="82">
        <f>400000+30000</f>
        <v>430000</v>
      </c>
      <c r="O71" s="82">
        <f>400000+30000</f>
        <v>430000</v>
      </c>
      <c r="P71" s="82">
        <f t="shared" si="22"/>
        <v>22047190</v>
      </c>
      <c r="Q71" s="287"/>
      <c r="R71" s="158"/>
      <c r="S71" s="158"/>
      <c r="T71" s="158"/>
    </row>
    <row r="72" spans="1:20" s="4" customFormat="1" ht="33.75" customHeight="1">
      <c r="A72" s="80" t="s">
        <v>353</v>
      </c>
      <c r="B72" s="80" t="str">
        <f>'дод. 3'!A26</f>
        <v>1110</v>
      </c>
      <c r="C72" s="80" t="str">
        <f>'дод. 3'!B26</f>
        <v>0930</v>
      </c>
      <c r="D72" s="109" t="str">
        <f>'дод. 3'!C26</f>
        <v>Підготовка кадрів професійно-технічними закладами та іншими закладами освіти</v>
      </c>
      <c r="E72" s="82">
        <f t="shared" si="20"/>
        <v>94925900</v>
      </c>
      <c r="F72" s="82">
        <f>91735900+2000000+55000+179570+170430+300000+15000+100000+370000</f>
        <v>94925900</v>
      </c>
      <c r="G72" s="82">
        <v>52999200</v>
      </c>
      <c r="H72" s="82">
        <v>9089100</v>
      </c>
      <c r="I72" s="82">
        <v>0</v>
      </c>
      <c r="J72" s="82">
        <f t="shared" si="21"/>
        <v>11338970</v>
      </c>
      <c r="K72" s="82">
        <v>6514270</v>
      </c>
      <c r="L72" s="82">
        <v>2053494</v>
      </c>
      <c r="M72" s="82">
        <v>2334410</v>
      </c>
      <c r="N72" s="82">
        <f>194700+2300000+2700000-370000</f>
        <v>4824700</v>
      </c>
      <c r="O72" s="82">
        <f>2300000+2700000-370000</f>
        <v>4630000</v>
      </c>
      <c r="P72" s="82">
        <f>E72+J72</f>
        <v>106264870</v>
      </c>
      <c r="Q72" s="287"/>
      <c r="R72" s="158"/>
      <c r="S72" s="158"/>
      <c r="T72" s="158"/>
    </row>
    <row r="73" spans="1:20" s="4" customFormat="1" ht="24.75" customHeight="1">
      <c r="A73" s="80"/>
      <c r="B73" s="92"/>
      <c r="C73" s="92"/>
      <c r="D73" s="81" t="s">
        <v>416</v>
      </c>
      <c r="E73" s="82">
        <f t="shared" si="20"/>
        <v>9652000</v>
      </c>
      <c r="F73" s="82">
        <f>9182000+100000+370000</f>
        <v>9652000</v>
      </c>
      <c r="G73" s="82">
        <v>7526000</v>
      </c>
      <c r="H73" s="82"/>
      <c r="I73" s="82"/>
      <c r="J73" s="82">
        <f t="shared" si="21"/>
        <v>4630000</v>
      </c>
      <c r="K73" s="82"/>
      <c r="L73" s="82"/>
      <c r="M73" s="82"/>
      <c r="N73" s="82">
        <f>2300000+2700000-370000</f>
        <v>4630000</v>
      </c>
      <c r="O73" s="82">
        <f>2300000+2700000-370000</f>
        <v>4630000</v>
      </c>
      <c r="P73" s="82">
        <f t="shared" si="22"/>
        <v>14282000</v>
      </c>
      <c r="Q73" s="287"/>
      <c r="R73" s="158"/>
      <c r="S73" s="158"/>
      <c r="T73" s="158"/>
    </row>
    <row r="74" spans="1:20" s="4" customFormat="1" ht="35.25" customHeight="1">
      <c r="A74" s="80" t="s">
        <v>271</v>
      </c>
      <c r="B74" s="80" t="str">
        <f>'дод. 3'!A28</f>
        <v>1150</v>
      </c>
      <c r="C74" s="80" t="str">
        <f>'дод. 3'!B28</f>
        <v>0990</v>
      </c>
      <c r="D74" s="109" t="str">
        <f>'дод. 3'!C28</f>
        <v>Методичне забезпечення діяльності навчальних закладів  </v>
      </c>
      <c r="E74" s="82">
        <f t="shared" si="20"/>
        <v>2805917</v>
      </c>
      <c r="F74" s="82">
        <f>3118910-5000-175662-49736-84595+2000</f>
        <v>2805917</v>
      </c>
      <c r="G74" s="82">
        <f>2440000-4098-144000-40800-69340</f>
        <v>2181762</v>
      </c>
      <c r="H74" s="82">
        <v>103210</v>
      </c>
      <c r="I74" s="82"/>
      <c r="J74" s="82">
        <f t="shared" si="21"/>
        <v>13000</v>
      </c>
      <c r="K74" s="82"/>
      <c r="L74" s="82"/>
      <c r="M74" s="82"/>
      <c r="N74" s="82">
        <v>13000</v>
      </c>
      <c r="O74" s="82">
        <v>13000</v>
      </c>
      <c r="P74" s="82">
        <f t="shared" si="22"/>
        <v>2818917</v>
      </c>
      <c r="Q74" s="287"/>
      <c r="R74" s="158"/>
      <c r="S74" s="158"/>
      <c r="T74" s="158"/>
    </row>
    <row r="75" spans="1:20" s="4" customFormat="1" ht="31.5" customHeight="1">
      <c r="A75" s="80" t="s">
        <v>357</v>
      </c>
      <c r="B75" s="80" t="str">
        <f>'дод. 3'!A29</f>
        <v>1160</v>
      </c>
      <c r="C75" s="80">
        <f>'дод. 3'!B29</f>
        <v>0</v>
      </c>
      <c r="D75" s="109" t="str">
        <f>'дод. 3'!C29</f>
        <v>Інші програми, заклади та заходи у сфері освіти</v>
      </c>
      <c r="E75" s="82">
        <f>E77+E79</f>
        <v>7171123</v>
      </c>
      <c r="F75" s="82">
        <f aca="true" t="shared" si="23" ref="F75:P75">F77+F79</f>
        <v>7171123</v>
      </c>
      <c r="G75" s="82">
        <f t="shared" si="23"/>
        <v>5051740</v>
      </c>
      <c r="H75" s="82">
        <f t="shared" si="23"/>
        <v>460470</v>
      </c>
      <c r="I75" s="82">
        <f t="shared" si="23"/>
        <v>0</v>
      </c>
      <c r="J75" s="82">
        <f t="shared" si="23"/>
        <v>287950</v>
      </c>
      <c r="K75" s="82">
        <f t="shared" si="23"/>
        <v>0</v>
      </c>
      <c r="L75" s="82">
        <f t="shared" si="23"/>
        <v>0</v>
      </c>
      <c r="M75" s="82">
        <f t="shared" si="23"/>
        <v>0</v>
      </c>
      <c r="N75" s="82">
        <f t="shared" si="23"/>
        <v>287950</v>
      </c>
      <c r="O75" s="82">
        <f t="shared" si="23"/>
        <v>287950</v>
      </c>
      <c r="P75" s="82">
        <f t="shared" si="23"/>
        <v>7459073</v>
      </c>
      <c r="Q75" s="287"/>
      <c r="R75" s="159"/>
      <c r="S75" s="159"/>
      <c r="T75" s="159"/>
    </row>
    <row r="76" spans="1:20" s="4" customFormat="1" ht="15.75" customHeight="1">
      <c r="A76" s="80"/>
      <c r="B76" s="80"/>
      <c r="C76" s="80"/>
      <c r="D76" s="81" t="s">
        <v>416</v>
      </c>
      <c r="E76" s="82">
        <f>E78</f>
        <v>0</v>
      </c>
      <c r="F76" s="82">
        <f aca="true" t="shared" si="24" ref="F76:P76">F78</f>
        <v>0</v>
      </c>
      <c r="G76" s="82">
        <f t="shared" si="24"/>
        <v>0</v>
      </c>
      <c r="H76" s="82">
        <f t="shared" si="24"/>
        <v>0</v>
      </c>
      <c r="I76" s="82">
        <f t="shared" si="24"/>
        <v>0</v>
      </c>
      <c r="J76" s="82">
        <f t="shared" si="24"/>
        <v>107950</v>
      </c>
      <c r="K76" s="82">
        <f t="shared" si="24"/>
        <v>0</v>
      </c>
      <c r="L76" s="82">
        <f t="shared" si="24"/>
        <v>0</v>
      </c>
      <c r="M76" s="82">
        <f t="shared" si="24"/>
        <v>0</v>
      </c>
      <c r="N76" s="82">
        <f t="shared" si="24"/>
        <v>107950</v>
      </c>
      <c r="O76" s="82">
        <f>O78</f>
        <v>107950</v>
      </c>
      <c r="P76" s="82">
        <f t="shared" si="24"/>
        <v>107950</v>
      </c>
      <c r="Q76" s="287"/>
      <c r="R76" s="159"/>
      <c r="S76" s="159"/>
      <c r="T76" s="159"/>
    </row>
    <row r="77" spans="1:20" s="32" customFormat="1" ht="31.5" customHeight="1">
      <c r="A77" s="83" t="s">
        <v>480</v>
      </c>
      <c r="B77" s="83" t="str">
        <f>'дод. 3'!A31</f>
        <v>1161</v>
      </c>
      <c r="C77" s="83" t="str">
        <f>'дод. 3'!B31</f>
        <v>0990</v>
      </c>
      <c r="D77" s="106" t="str">
        <f>'дод. 3'!C31</f>
        <v>Забезпечення діяльності інших закладів у сфері освіти</v>
      </c>
      <c r="E77" s="85">
        <f>F77+I77</f>
        <v>7095323</v>
      </c>
      <c r="F77" s="85">
        <f>6712200+5000+175662+49736+84595+68130</f>
        <v>7095323</v>
      </c>
      <c r="G77" s="85">
        <f>4797600+144000+40800+69340</f>
        <v>5051740</v>
      </c>
      <c r="H77" s="85">
        <v>460470</v>
      </c>
      <c r="I77" s="85"/>
      <c r="J77" s="85">
        <f>K77+N77</f>
        <v>287950</v>
      </c>
      <c r="K77" s="85"/>
      <c r="L77" s="85"/>
      <c r="M77" s="85"/>
      <c r="N77" s="85">
        <f>180000+107950</f>
        <v>287950</v>
      </c>
      <c r="O77" s="85">
        <f>180000+107950</f>
        <v>287950</v>
      </c>
      <c r="P77" s="85">
        <f>E77+J77</f>
        <v>7383273</v>
      </c>
      <c r="Q77" s="287"/>
      <c r="R77" s="160"/>
      <c r="S77" s="160"/>
      <c r="T77" s="160"/>
    </row>
    <row r="78" spans="1:20" s="32" customFormat="1" ht="18.75" customHeight="1">
      <c r="A78" s="83"/>
      <c r="B78" s="83"/>
      <c r="C78" s="83"/>
      <c r="D78" s="84" t="s">
        <v>416</v>
      </c>
      <c r="E78" s="85">
        <f>F78+I78</f>
        <v>0</v>
      </c>
      <c r="F78" s="85"/>
      <c r="G78" s="85"/>
      <c r="H78" s="85"/>
      <c r="I78" s="85"/>
      <c r="J78" s="85">
        <f>K78+N78</f>
        <v>107950</v>
      </c>
      <c r="K78" s="85"/>
      <c r="L78" s="85"/>
      <c r="M78" s="85"/>
      <c r="N78" s="85">
        <v>107950</v>
      </c>
      <c r="O78" s="85">
        <v>107950</v>
      </c>
      <c r="P78" s="85">
        <f>E78+J78</f>
        <v>107950</v>
      </c>
      <c r="Q78" s="287"/>
      <c r="R78" s="160"/>
      <c r="S78" s="160"/>
      <c r="T78" s="160"/>
    </row>
    <row r="79" spans="1:20" s="32" customFormat="1" ht="20.25" customHeight="1">
      <c r="A79" s="83" t="s">
        <v>481</v>
      </c>
      <c r="B79" s="83" t="str">
        <f>'дод. 3'!A33</f>
        <v>1162</v>
      </c>
      <c r="C79" s="83" t="str">
        <f>'дод. 3'!B33</f>
        <v>0990</v>
      </c>
      <c r="D79" s="106" t="str">
        <f>'дод. 3'!C33</f>
        <v>Інші програми та заходи у сфері освіти</v>
      </c>
      <c r="E79" s="85">
        <f>F79+I79</f>
        <v>75800</v>
      </c>
      <c r="F79" s="85">
        <v>75800</v>
      </c>
      <c r="G79" s="85"/>
      <c r="H79" s="85"/>
      <c r="I79" s="85"/>
      <c r="J79" s="85">
        <f>K79+N79</f>
        <v>0</v>
      </c>
      <c r="K79" s="85"/>
      <c r="L79" s="85"/>
      <c r="M79" s="85"/>
      <c r="N79" s="85"/>
      <c r="O79" s="85"/>
      <c r="P79" s="85">
        <f>E79+J79</f>
        <v>75800</v>
      </c>
      <c r="Q79" s="287"/>
      <c r="R79" s="160"/>
      <c r="S79" s="160"/>
      <c r="T79" s="160"/>
    </row>
    <row r="80" spans="1:20" s="32" customFormat="1" ht="20.25" customHeight="1">
      <c r="A80" s="83"/>
      <c r="B80" s="83"/>
      <c r="C80" s="83"/>
      <c r="D80" s="87" t="s">
        <v>416</v>
      </c>
      <c r="E80" s="85">
        <f>F80+I80</f>
        <v>0</v>
      </c>
      <c r="F80" s="85"/>
      <c r="G80" s="85"/>
      <c r="H80" s="85"/>
      <c r="I80" s="85"/>
      <c r="J80" s="85">
        <f>K80+N80</f>
        <v>0</v>
      </c>
      <c r="K80" s="85"/>
      <c r="L80" s="85"/>
      <c r="M80" s="85"/>
      <c r="N80" s="85"/>
      <c r="O80" s="85"/>
      <c r="P80" s="85">
        <f>E80+J80</f>
        <v>0</v>
      </c>
      <c r="Q80" s="287"/>
      <c r="R80" s="160"/>
      <c r="S80" s="160"/>
      <c r="T80" s="160"/>
    </row>
    <row r="81" spans="1:20" s="4" customFormat="1" ht="68.25" customHeight="1">
      <c r="A81" s="80" t="s">
        <v>272</v>
      </c>
      <c r="B81" s="80" t="str">
        <f>'дод. 3'!A120</f>
        <v>3140</v>
      </c>
      <c r="C81" s="80" t="str">
        <f>'дод. 3'!B120</f>
        <v>1040</v>
      </c>
      <c r="D81" s="208" t="str">
        <f>'дод. 3'!C120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81" s="82">
        <f>F81+I81</f>
        <v>6697690</v>
      </c>
      <c r="F81" s="82">
        <f>7000000-302310</f>
        <v>6697690</v>
      </c>
      <c r="G81" s="82"/>
      <c r="H81" s="82"/>
      <c r="I81" s="82"/>
      <c r="J81" s="82">
        <f>K81+N81</f>
        <v>0</v>
      </c>
      <c r="K81" s="82"/>
      <c r="L81" s="82"/>
      <c r="M81" s="82"/>
      <c r="N81" s="82"/>
      <c r="O81" s="82"/>
      <c r="P81" s="82">
        <f>E81+J81</f>
        <v>6697690</v>
      </c>
      <c r="Q81" s="287"/>
      <c r="R81" s="158"/>
      <c r="S81" s="158"/>
      <c r="T81" s="158"/>
    </row>
    <row r="82" spans="1:20" s="4" customFormat="1" ht="24" customHeight="1">
      <c r="A82" s="80" t="s">
        <v>578</v>
      </c>
      <c r="B82" s="80" t="str">
        <f>'дод. 3'!A137</f>
        <v>3240</v>
      </c>
      <c r="C82" s="80">
        <f>'дод. 3'!B137</f>
        <v>0</v>
      </c>
      <c r="D82" s="107" t="str">
        <f>'дод. 3'!C137</f>
        <v>Інші заклади та заходи</v>
      </c>
      <c r="E82" s="82">
        <f aca="true" t="shared" si="25" ref="E82:P82">E83</f>
        <v>43440</v>
      </c>
      <c r="F82" s="82">
        <f t="shared" si="25"/>
        <v>43440</v>
      </c>
      <c r="G82" s="82">
        <f t="shared" si="25"/>
        <v>0</v>
      </c>
      <c r="H82" s="82">
        <f t="shared" si="25"/>
        <v>0</v>
      </c>
      <c r="I82" s="82">
        <f t="shared" si="25"/>
        <v>0</v>
      </c>
      <c r="J82" s="82">
        <f t="shared" si="25"/>
        <v>0</v>
      </c>
      <c r="K82" s="82">
        <f t="shared" si="25"/>
        <v>0</v>
      </c>
      <c r="L82" s="82">
        <f t="shared" si="25"/>
        <v>0</v>
      </c>
      <c r="M82" s="82">
        <f t="shared" si="25"/>
        <v>0</v>
      </c>
      <c r="N82" s="82">
        <f t="shared" si="25"/>
        <v>0</v>
      </c>
      <c r="O82" s="82">
        <f t="shared" si="25"/>
        <v>0</v>
      </c>
      <c r="P82" s="82">
        <f t="shared" si="25"/>
        <v>43440</v>
      </c>
      <c r="Q82" s="287"/>
      <c r="R82" s="163"/>
      <c r="S82" s="163"/>
      <c r="T82" s="163"/>
    </row>
    <row r="83" spans="1:20" s="115" customFormat="1" ht="36.75" customHeight="1">
      <c r="A83" s="83" t="s">
        <v>579</v>
      </c>
      <c r="B83" s="83" t="str">
        <f>'дод. 3'!A139</f>
        <v>3242</v>
      </c>
      <c r="C83" s="83" t="str">
        <f>'дод. 3'!B139</f>
        <v>1090</v>
      </c>
      <c r="D83" s="106" t="str">
        <f>'дод. 3'!C139</f>
        <v>Інші заходи у сфері соціального захисту і соціального забезпечення</v>
      </c>
      <c r="E83" s="85">
        <f>F83</f>
        <v>43440</v>
      </c>
      <c r="F83" s="85">
        <v>43440</v>
      </c>
      <c r="G83" s="85"/>
      <c r="H83" s="85"/>
      <c r="I83" s="85"/>
      <c r="J83" s="85">
        <f>K83+N83</f>
        <v>0</v>
      </c>
      <c r="K83" s="85"/>
      <c r="L83" s="85"/>
      <c r="M83" s="85"/>
      <c r="N83" s="85"/>
      <c r="O83" s="85"/>
      <c r="P83" s="85">
        <f>E83+J83</f>
        <v>43440</v>
      </c>
      <c r="Q83" s="287"/>
      <c r="R83" s="164"/>
      <c r="S83" s="164"/>
      <c r="T83" s="164"/>
    </row>
    <row r="84" spans="1:20" s="4" customFormat="1" ht="25.5" customHeight="1">
      <c r="A84" s="80" t="s">
        <v>273</v>
      </c>
      <c r="B84" s="80" t="str">
        <f>'дод. 3'!A150</f>
        <v>5030</v>
      </c>
      <c r="C84" s="80">
        <f>'дод. 3'!B150</f>
        <v>0</v>
      </c>
      <c r="D84" s="107" t="str">
        <f>'дод. 3'!C150</f>
        <v>Розвиток дитячо-юнацького та резервного спорту</v>
      </c>
      <c r="E84" s="82">
        <f>E85</f>
        <v>4620830</v>
      </c>
      <c r="F84" s="82">
        <f aca="true" t="shared" si="26" ref="F84:P84">F85</f>
        <v>4620830</v>
      </c>
      <c r="G84" s="82">
        <f t="shared" si="26"/>
        <v>3297400</v>
      </c>
      <c r="H84" s="82">
        <f t="shared" si="26"/>
        <v>198080</v>
      </c>
      <c r="I84" s="82">
        <f t="shared" si="26"/>
        <v>0</v>
      </c>
      <c r="J84" s="82">
        <f t="shared" si="26"/>
        <v>100000</v>
      </c>
      <c r="K84" s="82">
        <f t="shared" si="26"/>
        <v>0</v>
      </c>
      <c r="L84" s="82">
        <f t="shared" si="26"/>
        <v>0</v>
      </c>
      <c r="M84" s="82">
        <f t="shared" si="26"/>
        <v>0</v>
      </c>
      <c r="N84" s="82">
        <f t="shared" si="26"/>
        <v>100000</v>
      </c>
      <c r="O84" s="82">
        <f t="shared" si="26"/>
        <v>100000</v>
      </c>
      <c r="P84" s="82">
        <f t="shared" si="26"/>
        <v>4720830</v>
      </c>
      <c r="Q84" s="287"/>
      <c r="R84" s="159"/>
      <c r="S84" s="159"/>
      <c r="T84" s="159"/>
    </row>
    <row r="85" spans="1:20" s="115" customFormat="1" ht="33" customHeight="1">
      <c r="A85" s="83" t="s">
        <v>274</v>
      </c>
      <c r="B85" s="83" t="str">
        <f>'дод. 3'!A151</f>
        <v>5031</v>
      </c>
      <c r="C85" s="83" t="str">
        <f>'дод. 3'!B151</f>
        <v>0810</v>
      </c>
      <c r="D85" s="106" t="str">
        <f>'дод. 3'!C151</f>
        <v>Утримання та навчально-тренувальна робота комунальних дитячо-юнацьких спортивних шкіл</v>
      </c>
      <c r="E85" s="85">
        <f>F85+I85</f>
        <v>4620830</v>
      </c>
      <c r="F85" s="85">
        <f>4481090+123000+11740+5000</f>
        <v>4620830</v>
      </c>
      <c r="G85" s="85">
        <v>3297400</v>
      </c>
      <c r="H85" s="85">
        <v>198080</v>
      </c>
      <c r="I85" s="85"/>
      <c r="J85" s="85">
        <f>K85+N85</f>
        <v>100000</v>
      </c>
      <c r="K85" s="85"/>
      <c r="L85" s="85"/>
      <c r="M85" s="85"/>
      <c r="N85" s="85">
        <v>100000</v>
      </c>
      <c r="O85" s="85">
        <v>100000</v>
      </c>
      <c r="P85" s="85">
        <f>E85+J85</f>
        <v>4720830</v>
      </c>
      <c r="Q85" s="287"/>
      <c r="R85" s="160"/>
      <c r="S85" s="160"/>
      <c r="T85" s="160"/>
    </row>
    <row r="86" spans="1:20" s="4" customFormat="1" ht="33" customHeight="1">
      <c r="A86" s="80" t="s">
        <v>602</v>
      </c>
      <c r="B86" s="80" t="str">
        <f>'дод. 3'!A187</f>
        <v>7360</v>
      </c>
      <c r="C86" s="80">
        <f>'дод. 3'!B187</f>
        <v>0</v>
      </c>
      <c r="D86" s="107" t="str">
        <f>'дод. 3'!C187</f>
        <v>Виконання інвестиційних проектів</v>
      </c>
      <c r="E86" s="82">
        <f>E88</f>
        <v>0</v>
      </c>
      <c r="F86" s="82">
        <f aca="true" t="shared" si="27" ref="F86:O87">F88</f>
        <v>0</v>
      </c>
      <c r="G86" s="82">
        <f t="shared" si="27"/>
        <v>0</v>
      </c>
      <c r="H86" s="82">
        <f t="shared" si="27"/>
        <v>0</v>
      </c>
      <c r="I86" s="82">
        <f t="shared" si="27"/>
        <v>0</v>
      </c>
      <c r="J86" s="82">
        <f t="shared" si="27"/>
        <v>4935242.82</v>
      </c>
      <c r="K86" s="82">
        <f t="shared" si="27"/>
        <v>0</v>
      </c>
      <c r="L86" s="82">
        <f t="shared" si="27"/>
        <v>0</v>
      </c>
      <c r="M86" s="82">
        <f t="shared" si="27"/>
        <v>0</v>
      </c>
      <c r="N86" s="82">
        <f t="shared" si="27"/>
        <v>4935242.82</v>
      </c>
      <c r="O86" s="82">
        <f t="shared" si="27"/>
        <v>2389734.77</v>
      </c>
      <c r="P86" s="82">
        <f>P88</f>
        <v>4935242.82</v>
      </c>
      <c r="Q86" s="287"/>
      <c r="R86" s="158"/>
      <c r="S86" s="158"/>
      <c r="T86" s="158"/>
    </row>
    <row r="87" spans="1:20" s="4" customFormat="1" ht="24" customHeight="1">
      <c r="A87" s="80"/>
      <c r="B87" s="80"/>
      <c r="C87" s="80"/>
      <c r="D87" s="87" t="s">
        <v>416</v>
      </c>
      <c r="E87" s="82">
        <f>E89</f>
        <v>0</v>
      </c>
      <c r="F87" s="82">
        <f t="shared" si="27"/>
        <v>0</v>
      </c>
      <c r="G87" s="82">
        <f t="shared" si="27"/>
        <v>0</v>
      </c>
      <c r="H87" s="82">
        <f t="shared" si="27"/>
        <v>0</v>
      </c>
      <c r="I87" s="82">
        <f t="shared" si="27"/>
        <v>0</v>
      </c>
      <c r="J87" s="82">
        <f t="shared" si="27"/>
        <v>4479111.83</v>
      </c>
      <c r="K87" s="82">
        <f t="shared" si="27"/>
        <v>0</v>
      </c>
      <c r="L87" s="82">
        <f t="shared" si="27"/>
        <v>0</v>
      </c>
      <c r="M87" s="82">
        <f t="shared" si="27"/>
        <v>0</v>
      </c>
      <c r="N87" s="82">
        <f t="shared" si="27"/>
        <v>4479111.83</v>
      </c>
      <c r="O87" s="82">
        <f t="shared" si="27"/>
        <v>1933603.78</v>
      </c>
      <c r="P87" s="82">
        <f>P89</f>
        <v>4479111.83</v>
      </c>
      <c r="Q87" s="287"/>
      <c r="R87" s="158"/>
      <c r="S87" s="158"/>
      <c r="T87" s="158"/>
    </row>
    <row r="88" spans="1:20" s="115" customFormat="1" ht="53.25" customHeight="1">
      <c r="A88" s="83" t="s">
        <v>603</v>
      </c>
      <c r="B88" s="83" t="str">
        <f>'дод. 3'!A190</f>
        <v>7363</v>
      </c>
      <c r="C88" s="83" t="str">
        <f>'дод. 3'!B190</f>
        <v>0490</v>
      </c>
      <c r="D88" s="106" t="str">
        <f>'дод. 3'!C190</f>
        <v>Виконання інвестиційних проектів в рамках здійснення заходів щодо соціально-економічного розвитку окремих територій</v>
      </c>
      <c r="E88" s="85">
        <f>F88+I88</f>
        <v>0</v>
      </c>
      <c r="F88" s="85"/>
      <c r="G88" s="85"/>
      <c r="H88" s="85"/>
      <c r="I88" s="85"/>
      <c r="J88" s="85">
        <f>K88+N88</f>
        <v>4935242.82</v>
      </c>
      <c r="K88" s="85"/>
      <c r="L88" s="85"/>
      <c r="M88" s="85"/>
      <c r="N88" s="85">
        <f>150059.99+4265007.03+211702.2+3761+2402.6+302310</f>
        <v>4935242.82</v>
      </c>
      <c r="O88" s="85">
        <f>150059.99+1721901.58+211702.2+3761+302310</f>
        <v>2389734.77</v>
      </c>
      <c r="P88" s="85">
        <f>E88+J88</f>
        <v>4935242.82</v>
      </c>
      <c r="Q88" s="287"/>
      <c r="R88" s="160"/>
      <c r="S88" s="160"/>
      <c r="T88" s="160"/>
    </row>
    <row r="89" spans="1:20" s="115" customFormat="1" ht="25.5" customHeight="1">
      <c r="A89" s="83"/>
      <c r="B89" s="83"/>
      <c r="C89" s="83"/>
      <c r="D89" s="87" t="s">
        <v>416</v>
      </c>
      <c r="E89" s="85">
        <f>F89+I89</f>
        <v>0</v>
      </c>
      <c r="F89" s="85"/>
      <c r="G89" s="85"/>
      <c r="H89" s="85"/>
      <c r="I89" s="85"/>
      <c r="J89" s="85">
        <f>K89+N89</f>
        <v>4479111.83</v>
      </c>
      <c r="K89" s="85"/>
      <c r="L89" s="85"/>
      <c r="M89" s="85"/>
      <c r="N89" s="85">
        <f>4265007.03+211702.2+2402.6</f>
        <v>4479111.83</v>
      </c>
      <c r="O89" s="85">
        <f>1721901.58+211702.2</f>
        <v>1933603.78</v>
      </c>
      <c r="P89" s="85">
        <f>E89+J89</f>
        <v>4479111.83</v>
      </c>
      <c r="Q89" s="287"/>
      <c r="R89" s="160"/>
      <c r="S89" s="160"/>
      <c r="T89" s="160"/>
    </row>
    <row r="90" spans="1:20" s="115" customFormat="1" ht="25.5" customHeight="1">
      <c r="A90" s="86" t="s">
        <v>275</v>
      </c>
      <c r="B90" s="86" t="str">
        <f>'дод. 3'!A210</f>
        <v>7640</v>
      </c>
      <c r="C90" s="86" t="str">
        <f>'дод. 3'!B210</f>
        <v>0470</v>
      </c>
      <c r="D90" s="107" t="str">
        <f>'дод. 3'!C210</f>
        <v>Заходи з енергозбереження</v>
      </c>
      <c r="E90" s="88">
        <f>F90+I90</f>
        <v>790500</v>
      </c>
      <c r="F90" s="88">
        <v>790500</v>
      </c>
      <c r="G90" s="88"/>
      <c r="H90" s="88"/>
      <c r="I90" s="88"/>
      <c r="J90" s="88">
        <f>K90+N90</f>
        <v>12951419</v>
      </c>
      <c r="K90" s="88"/>
      <c r="L90" s="88"/>
      <c r="M90" s="88"/>
      <c r="N90" s="88">
        <f>11768000+900000+283419</f>
        <v>12951419</v>
      </c>
      <c r="O90" s="88">
        <f>11768000+900000+283419</f>
        <v>12951419</v>
      </c>
      <c r="P90" s="88">
        <f>E90+J90</f>
        <v>13741919</v>
      </c>
      <c r="Q90" s="287"/>
      <c r="R90" s="158"/>
      <c r="S90" s="158"/>
      <c r="T90" s="158"/>
    </row>
    <row r="91" spans="1:20" s="115" customFormat="1" ht="27" customHeight="1">
      <c r="A91" s="86" t="s">
        <v>276</v>
      </c>
      <c r="B91" s="86" t="str">
        <f>'дод. 3'!A226</f>
        <v>8340</v>
      </c>
      <c r="C91" s="86" t="str">
        <f>'дод. 3'!B226</f>
        <v>0540</v>
      </c>
      <c r="D91" s="107" t="str">
        <f>'дод. 3'!C226</f>
        <v>Природоохоронні заходи за рахунок цільових фондів</v>
      </c>
      <c r="E91" s="88">
        <f>F91+I91</f>
        <v>0</v>
      </c>
      <c r="F91" s="88"/>
      <c r="G91" s="88"/>
      <c r="H91" s="88"/>
      <c r="I91" s="88"/>
      <c r="J91" s="88">
        <f>K91+N91</f>
        <v>396400</v>
      </c>
      <c r="K91" s="88">
        <f>338000+11400</f>
        <v>349400</v>
      </c>
      <c r="L91" s="88"/>
      <c r="M91" s="88"/>
      <c r="N91" s="88">
        <v>47000</v>
      </c>
      <c r="O91" s="88"/>
      <c r="P91" s="88">
        <f>E91+J91</f>
        <v>396400</v>
      </c>
      <c r="Q91" s="287"/>
      <c r="R91" s="158"/>
      <c r="S91" s="158"/>
      <c r="T91" s="158"/>
    </row>
    <row r="92" spans="1:20" s="115" customFormat="1" ht="52.5" customHeight="1">
      <c r="A92" s="86" t="s">
        <v>593</v>
      </c>
      <c r="B92" s="86" t="str">
        <f>'дод. 3'!A242</f>
        <v>9800</v>
      </c>
      <c r="C92" s="86" t="str">
        <f>'дод. 3'!B242</f>
        <v>0180</v>
      </c>
      <c r="D92" s="208" t="str">
        <f>'дод. 3'!C242</f>
        <v>Субвенція з місцевого бюджету державному бюджету на виконання програм соціально-економічного розвитку регіонів </v>
      </c>
      <c r="E92" s="88">
        <f>F92+I92</f>
        <v>85500</v>
      </c>
      <c r="F92" s="88">
        <v>85500</v>
      </c>
      <c r="G92" s="88"/>
      <c r="H92" s="88"/>
      <c r="I92" s="88"/>
      <c r="J92" s="88">
        <f>K92+N92</f>
        <v>2000000</v>
      </c>
      <c r="K92" s="88"/>
      <c r="L92" s="88"/>
      <c r="M92" s="88"/>
      <c r="N92" s="88">
        <v>2000000</v>
      </c>
      <c r="O92" s="88">
        <v>2000000</v>
      </c>
      <c r="P92" s="88">
        <f>E92+J92</f>
        <v>2085500</v>
      </c>
      <c r="Q92" s="287"/>
      <c r="R92" s="158"/>
      <c r="S92" s="158"/>
      <c r="T92" s="158"/>
    </row>
    <row r="93" spans="1:20" s="112" customFormat="1" ht="21" customHeight="1">
      <c r="A93" s="111" t="s">
        <v>277</v>
      </c>
      <c r="B93" s="36"/>
      <c r="C93" s="36"/>
      <c r="D93" s="35" t="s">
        <v>51</v>
      </c>
      <c r="E93" s="46">
        <f>E94</f>
        <v>331702166</v>
      </c>
      <c r="F93" s="46">
        <f aca="true" t="shared" si="28" ref="F93:P93">F94</f>
        <v>331702166</v>
      </c>
      <c r="G93" s="46">
        <f t="shared" si="28"/>
        <v>1219700</v>
      </c>
      <c r="H93" s="46">
        <f t="shared" si="28"/>
        <v>23500</v>
      </c>
      <c r="I93" s="46">
        <f t="shared" si="28"/>
        <v>0</v>
      </c>
      <c r="J93" s="46">
        <f t="shared" si="28"/>
        <v>60400117.6</v>
      </c>
      <c r="K93" s="46">
        <f t="shared" si="28"/>
        <v>16983749</v>
      </c>
      <c r="L93" s="46">
        <f t="shared" si="28"/>
        <v>0</v>
      </c>
      <c r="M93" s="46">
        <f t="shared" si="28"/>
        <v>0</v>
      </c>
      <c r="N93" s="46">
        <f t="shared" si="28"/>
        <v>43416368.6</v>
      </c>
      <c r="O93" s="46">
        <f t="shared" si="28"/>
        <v>43416368.6</v>
      </c>
      <c r="P93" s="46">
        <f t="shared" si="28"/>
        <v>392102283.6</v>
      </c>
      <c r="Q93" s="287"/>
      <c r="R93" s="156"/>
      <c r="S93" s="156"/>
      <c r="T93" s="156"/>
    </row>
    <row r="94" spans="1:20" s="114" customFormat="1" ht="18.75" customHeight="1">
      <c r="A94" s="113" t="s">
        <v>278</v>
      </c>
      <c r="B94" s="124"/>
      <c r="C94" s="124"/>
      <c r="D94" s="123" t="s">
        <v>51</v>
      </c>
      <c r="E94" s="79">
        <f>E96+E97+E99+E101+E103+E105+E111+E117+E127+E123+E128</f>
        <v>331702166</v>
      </c>
      <c r="F94" s="79">
        <f>F96+F97+F99+F101+F103+F105+F111+F117+F127+F123+F128</f>
        <v>331702166</v>
      </c>
      <c r="G94" s="79">
        <f aca="true" t="shared" si="29" ref="G94:O94">G96+G97+G99+G101+G103+G105+G111+G117+G127+G123</f>
        <v>1219700</v>
      </c>
      <c r="H94" s="79">
        <f t="shared" si="29"/>
        <v>23500</v>
      </c>
      <c r="I94" s="79">
        <f t="shared" si="29"/>
        <v>0</v>
      </c>
      <c r="J94" s="79">
        <f t="shared" si="29"/>
        <v>60400117.6</v>
      </c>
      <c r="K94" s="79">
        <f t="shared" si="29"/>
        <v>16983749</v>
      </c>
      <c r="L94" s="79">
        <f t="shared" si="29"/>
        <v>0</v>
      </c>
      <c r="M94" s="79">
        <f t="shared" si="29"/>
        <v>0</v>
      </c>
      <c r="N94" s="79">
        <f t="shared" si="29"/>
        <v>43416368.6</v>
      </c>
      <c r="O94" s="79">
        <f t="shared" si="29"/>
        <v>43416368.6</v>
      </c>
      <c r="P94" s="79">
        <f>P96+P97+P99+P101+P103+P105+P111+P117+P127+P123+P128</f>
        <v>392102283.6</v>
      </c>
      <c r="Q94" s="287"/>
      <c r="R94" s="165"/>
      <c r="S94" s="165"/>
      <c r="T94" s="165"/>
    </row>
    <row r="95" spans="1:20" s="114" customFormat="1" ht="18.75" customHeight="1">
      <c r="A95" s="113"/>
      <c r="B95" s="124"/>
      <c r="C95" s="124"/>
      <c r="D95" s="123" t="s">
        <v>416</v>
      </c>
      <c r="E95" s="79">
        <f>E98+E100+E102+E104+E106+E112+E118+E124</f>
        <v>239913470</v>
      </c>
      <c r="F95" s="79">
        <f aca="true" t="shared" si="30" ref="F95:P95">F98+F100+F102+F104+F106+F112+F118+F124</f>
        <v>239913470</v>
      </c>
      <c r="G95" s="79">
        <f t="shared" si="30"/>
        <v>0</v>
      </c>
      <c r="H95" s="79">
        <f t="shared" si="30"/>
        <v>0</v>
      </c>
      <c r="I95" s="79">
        <f t="shared" si="30"/>
        <v>0</v>
      </c>
      <c r="J95" s="79">
        <f t="shared" si="30"/>
        <v>1335964.66</v>
      </c>
      <c r="K95" s="79">
        <f t="shared" si="30"/>
        <v>0</v>
      </c>
      <c r="L95" s="79">
        <f t="shared" si="30"/>
        <v>0</v>
      </c>
      <c r="M95" s="79">
        <f t="shared" si="30"/>
        <v>0</v>
      </c>
      <c r="N95" s="79">
        <f t="shared" si="30"/>
        <v>1335964.66</v>
      </c>
      <c r="O95" s="79">
        <f t="shared" si="30"/>
        <v>1335964.66</v>
      </c>
      <c r="P95" s="79">
        <f t="shared" si="30"/>
        <v>241249434.66</v>
      </c>
      <c r="Q95" s="287"/>
      <c r="R95" s="157"/>
      <c r="S95" s="157"/>
      <c r="T95" s="157"/>
    </row>
    <row r="96" spans="1:20" s="4" customFormat="1" ht="45">
      <c r="A96" s="80" t="s">
        <v>279</v>
      </c>
      <c r="B96" s="80" t="str">
        <f>'дод. 3'!A13</f>
        <v>0160</v>
      </c>
      <c r="C96" s="80" t="str">
        <f>'дод. 3'!B13</f>
        <v>0111</v>
      </c>
      <c r="D96" s="81" t="str">
        <f>'дод. 3'!C13</f>
        <v>Керівництво і управління у відповідній сфері у містах (місті Києві), селищах, селах, об’єднаних територіальних громадах</v>
      </c>
      <c r="E96" s="82">
        <f aca="true" t="shared" si="31" ref="E96:E104">F96+I96</f>
        <v>1582100</v>
      </c>
      <c r="F96" s="82">
        <f>1600900-28800+10000</f>
        <v>1582100</v>
      </c>
      <c r="G96" s="82">
        <v>1219700</v>
      </c>
      <c r="H96" s="82">
        <v>23500</v>
      </c>
      <c r="I96" s="82"/>
      <c r="J96" s="82">
        <f aca="true" t="shared" si="32" ref="J96:J104">K96+N96</f>
        <v>0</v>
      </c>
      <c r="K96" s="82"/>
      <c r="L96" s="82"/>
      <c r="M96" s="82"/>
      <c r="N96" s="82">
        <f>20500-20500</f>
        <v>0</v>
      </c>
      <c r="O96" s="82">
        <f>20500-20500</f>
        <v>0</v>
      </c>
      <c r="P96" s="82">
        <f aca="true" t="shared" si="33" ref="P96:P104">E96+J96</f>
        <v>1582100</v>
      </c>
      <c r="Q96" s="287"/>
      <c r="R96" s="158"/>
      <c r="S96" s="158"/>
      <c r="T96" s="158"/>
    </row>
    <row r="97" spans="1:20" s="4" customFormat="1" ht="31.5" customHeight="1">
      <c r="A97" s="80" t="s">
        <v>280</v>
      </c>
      <c r="B97" s="80" t="str">
        <f>'дод. 3'!A36</f>
        <v>2010</v>
      </c>
      <c r="C97" s="80" t="str">
        <f>'дод. 3'!B36</f>
        <v>0731</v>
      </c>
      <c r="D97" s="109" t="str">
        <f>'дод. 3'!C36</f>
        <v>Багатопрофільна стаціонарна медична допомога населенню</v>
      </c>
      <c r="E97" s="82">
        <f t="shared" si="31"/>
        <v>229074953</v>
      </c>
      <c r="F97" s="82">
        <f>227372854+900000+130790+60000+5000-1161400+1161400+19000-400000+35000+70000+10000+108000+1098309+200000-915000+366000+15000</f>
        <v>229074953</v>
      </c>
      <c r="G97" s="82"/>
      <c r="H97" s="82"/>
      <c r="I97" s="82"/>
      <c r="J97" s="82">
        <f t="shared" si="32"/>
        <v>39809769</v>
      </c>
      <c r="K97" s="82">
        <f>11318360</f>
        <v>11318360</v>
      </c>
      <c r="L97" s="82"/>
      <c r="M97" s="82"/>
      <c r="N97" s="82">
        <f>20000000+350000+5500000+15000+7000+160000+1302000+214800+12000+181429+15000+950000+144000-264000+15000-95820-15000</f>
        <v>28491409</v>
      </c>
      <c r="O97" s="82">
        <f>20000000+350000+5500000+15000+7000+160000+1302000+214800+12000+181429+15000+950000+144000-264000+15000-95820-15000</f>
        <v>28491409</v>
      </c>
      <c r="P97" s="82">
        <f t="shared" si="33"/>
        <v>268884722</v>
      </c>
      <c r="Q97" s="287"/>
      <c r="R97" s="158"/>
      <c r="S97" s="158"/>
      <c r="T97" s="158"/>
    </row>
    <row r="98" spans="1:20" s="4" customFormat="1" ht="22.5" customHeight="1">
      <c r="A98" s="80"/>
      <c r="B98" s="92"/>
      <c r="C98" s="92"/>
      <c r="D98" s="81" t="s">
        <v>416</v>
      </c>
      <c r="E98" s="82">
        <f t="shared" si="31"/>
        <v>155879126</v>
      </c>
      <c r="F98" s="82">
        <f>156832009-1161400+102963+1020554-915000</f>
        <v>155879126</v>
      </c>
      <c r="G98" s="79"/>
      <c r="H98" s="82"/>
      <c r="I98" s="82"/>
      <c r="J98" s="82">
        <f t="shared" si="32"/>
        <v>0</v>
      </c>
      <c r="K98" s="82"/>
      <c r="L98" s="82"/>
      <c r="M98" s="82"/>
      <c r="N98" s="82"/>
      <c r="O98" s="82"/>
      <c r="P98" s="82">
        <f t="shared" si="33"/>
        <v>155879126</v>
      </c>
      <c r="Q98" s="287"/>
      <c r="R98" s="158"/>
      <c r="S98" s="158"/>
      <c r="T98" s="158"/>
    </row>
    <row r="99" spans="1:20" s="4" customFormat="1" ht="36.75" customHeight="1">
      <c r="A99" s="80" t="s">
        <v>289</v>
      </c>
      <c r="B99" s="80" t="str">
        <f>'дод. 3'!A38</f>
        <v>2030</v>
      </c>
      <c r="C99" s="80" t="str">
        <f>'дод. 3'!B38</f>
        <v>0733</v>
      </c>
      <c r="D99" s="109" t="str">
        <f>'дод. 3'!C38</f>
        <v>Лікарсько-акушерська допомога вагітним, породіллям та новонародженим</v>
      </c>
      <c r="E99" s="82">
        <f t="shared" si="31"/>
        <v>34056517</v>
      </c>
      <c r="F99" s="82">
        <f>34553891+25935+50000+30000+115000+148191-361100-115000-122000-268400</f>
        <v>34056517</v>
      </c>
      <c r="G99" s="82"/>
      <c r="H99" s="82"/>
      <c r="I99" s="82"/>
      <c r="J99" s="82">
        <f t="shared" si="32"/>
        <v>157300</v>
      </c>
      <c r="K99" s="82">
        <v>27300</v>
      </c>
      <c r="L99" s="82"/>
      <c r="M99" s="82"/>
      <c r="N99" s="82">
        <f>15000+115000</f>
        <v>130000</v>
      </c>
      <c r="O99" s="82">
        <f>15000+115000</f>
        <v>130000</v>
      </c>
      <c r="P99" s="82">
        <f t="shared" si="33"/>
        <v>34213817</v>
      </c>
      <c r="Q99" s="287"/>
      <c r="R99" s="158"/>
      <c r="S99" s="158"/>
      <c r="T99" s="158"/>
    </row>
    <row r="100" spans="1:20" s="4" customFormat="1" ht="19.5" customHeight="1">
      <c r="A100" s="80"/>
      <c r="B100" s="92"/>
      <c r="C100" s="92"/>
      <c r="D100" s="81" t="s">
        <v>416</v>
      </c>
      <c r="E100" s="82">
        <f t="shared" si="31"/>
        <v>24253709</v>
      </c>
      <c r="F100" s="82">
        <f>24119993+133716</f>
        <v>24253709</v>
      </c>
      <c r="G100" s="82"/>
      <c r="H100" s="82"/>
      <c r="I100" s="82"/>
      <c r="J100" s="82">
        <f t="shared" si="32"/>
        <v>0</v>
      </c>
      <c r="K100" s="82"/>
      <c r="L100" s="82"/>
      <c r="M100" s="82"/>
      <c r="N100" s="82"/>
      <c r="O100" s="82"/>
      <c r="P100" s="82">
        <f t="shared" si="33"/>
        <v>24253709</v>
      </c>
      <c r="Q100" s="287"/>
      <c r="R100" s="158"/>
      <c r="S100" s="158"/>
      <c r="T100" s="158"/>
    </row>
    <row r="101" spans="1:20" s="4" customFormat="1" ht="33.75" customHeight="1">
      <c r="A101" s="90" t="s">
        <v>288</v>
      </c>
      <c r="B101" s="90" t="str">
        <f>'дод. 3'!A40</f>
        <v>2080</v>
      </c>
      <c r="C101" s="90" t="str">
        <f>'дод. 3'!B40</f>
        <v>0721</v>
      </c>
      <c r="D101" s="108" t="str">
        <f>'дод. 3'!C40</f>
        <v>Амбулаторно-поліклінічна допомога населенню, крім первинної медичної допомоги</v>
      </c>
      <c r="E101" s="82">
        <f t="shared" si="31"/>
        <v>1058928</v>
      </c>
      <c r="F101" s="82">
        <f>1039928+19000</f>
        <v>1058928</v>
      </c>
      <c r="G101" s="82"/>
      <c r="H101" s="82"/>
      <c r="I101" s="82"/>
      <c r="J101" s="82">
        <f t="shared" si="32"/>
        <v>412100</v>
      </c>
      <c r="K101" s="82">
        <v>412100</v>
      </c>
      <c r="L101" s="82"/>
      <c r="M101" s="82"/>
      <c r="N101" s="82"/>
      <c r="O101" s="82"/>
      <c r="P101" s="82">
        <f>E101+J101</f>
        <v>1471028</v>
      </c>
      <c r="Q101" s="287"/>
      <c r="R101" s="158"/>
      <c r="S101" s="158"/>
      <c r="T101" s="158"/>
    </row>
    <row r="102" spans="1:20" s="4" customFormat="1" ht="22.5" customHeight="1">
      <c r="A102" s="90"/>
      <c r="B102" s="105"/>
      <c r="C102" s="105"/>
      <c r="D102" s="81" t="s">
        <v>416</v>
      </c>
      <c r="E102" s="82">
        <f t="shared" si="31"/>
        <v>925907</v>
      </c>
      <c r="F102" s="82">
        <v>925907</v>
      </c>
      <c r="G102" s="82"/>
      <c r="H102" s="82"/>
      <c r="I102" s="82"/>
      <c r="J102" s="82">
        <f t="shared" si="32"/>
        <v>0</v>
      </c>
      <c r="K102" s="82"/>
      <c r="L102" s="82"/>
      <c r="M102" s="82"/>
      <c r="N102" s="82"/>
      <c r="O102" s="82"/>
      <c r="P102" s="82">
        <f t="shared" si="33"/>
        <v>925907</v>
      </c>
      <c r="Q102" s="287"/>
      <c r="R102" s="158"/>
      <c r="S102" s="158"/>
      <c r="T102" s="158"/>
    </row>
    <row r="103" spans="1:20" s="4" customFormat="1" ht="24" customHeight="1">
      <c r="A103" s="80" t="s">
        <v>287</v>
      </c>
      <c r="B103" s="80" t="str">
        <f>'дод. 3'!A42</f>
        <v>2100</v>
      </c>
      <c r="C103" s="80" t="str">
        <f>'дод. 3'!B42</f>
        <v>0722</v>
      </c>
      <c r="D103" s="109" t="str">
        <f>'дод. 3'!C42</f>
        <v>Стоматологічна допомога населенню</v>
      </c>
      <c r="E103" s="82">
        <f t="shared" si="31"/>
        <v>6369842</v>
      </c>
      <c r="F103" s="82">
        <f>5454842+915000</f>
        <v>6369842</v>
      </c>
      <c r="G103" s="82"/>
      <c r="H103" s="82"/>
      <c r="I103" s="82"/>
      <c r="J103" s="82">
        <f t="shared" si="32"/>
        <v>5058989</v>
      </c>
      <c r="K103" s="82">
        <v>5058989</v>
      </c>
      <c r="L103" s="82"/>
      <c r="M103" s="82"/>
      <c r="N103" s="82"/>
      <c r="O103" s="82"/>
      <c r="P103" s="82">
        <f t="shared" si="33"/>
        <v>11428831</v>
      </c>
      <c r="Q103" s="287"/>
      <c r="R103" s="158"/>
      <c r="S103" s="158"/>
      <c r="T103" s="158"/>
    </row>
    <row r="104" spans="1:20" s="4" customFormat="1" ht="24.75" customHeight="1">
      <c r="A104" s="80"/>
      <c r="B104" s="92"/>
      <c r="C104" s="92"/>
      <c r="D104" s="81" t="s">
        <v>416</v>
      </c>
      <c r="E104" s="82">
        <f t="shared" si="31"/>
        <v>5240025</v>
      </c>
      <c r="F104" s="82">
        <f>4325025+915000</f>
        <v>5240025</v>
      </c>
      <c r="G104" s="82"/>
      <c r="H104" s="82"/>
      <c r="I104" s="82"/>
      <c r="J104" s="82">
        <f t="shared" si="32"/>
        <v>0</v>
      </c>
      <c r="K104" s="82"/>
      <c r="L104" s="82"/>
      <c r="M104" s="82"/>
      <c r="N104" s="82"/>
      <c r="O104" s="82"/>
      <c r="P104" s="82">
        <f t="shared" si="33"/>
        <v>5240025</v>
      </c>
      <c r="Q104" s="287">
        <v>8</v>
      </c>
      <c r="R104" s="158"/>
      <c r="S104" s="158"/>
      <c r="T104" s="158"/>
    </row>
    <row r="105" spans="1:20" s="4" customFormat="1" ht="24.75" customHeight="1">
      <c r="A105" s="80" t="s">
        <v>286</v>
      </c>
      <c r="B105" s="80" t="str">
        <f>'дод. 3'!A44</f>
        <v>2110</v>
      </c>
      <c r="C105" s="80">
        <f>'дод. 3'!B44</f>
        <v>0</v>
      </c>
      <c r="D105" s="109" t="str">
        <f>'дод. 3'!C44</f>
        <v>Первинна медична допомога населенню</v>
      </c>
      <c r="E105" s="82">
        <f>E107+E109</f>
        <v>37677378</v>
      </c>
      <c r="F105" s="82">
        <f aca="true" t="shared" si="34" ref="F105:P105">F107+F109</f>
        <v>37677378</v>
      </c>
      <c r="G105" s="82">
        <f t="shared" si="34"/>
        <v>0</v>
      </c>
      <c r="H105" s="82">
        <f t="shared" si="34"/>
        <v>0</v>
      </c>
      <c r="I105" s="82">
        <f t="shared" si="34"/>
        <v>0</v>
      </c>
      <c r="J105" s="82">
        <f t="shared" si="34"/>
        <v>236600</v>
      </c>
      <c r="K105" s="82">
        <f t="shared" si="34"/>
        <v>167000</v>
      </c>
      <c r="L105" s="82">
        <f t="shared" si="34"/>
        <v>0</v>
      </c>
      <c r="M105" s="82">
        <f t="shared" si="34"/>
        <v>0</v>
      </c>
      <c r="N105" s="82">
        <f t="shared" si="34"/>
        <v>69600</v>
      </c>
      <c r="O105" s="82">
        <f t="shared" si="34"/>
        <v>69600</v>
      </c>
      <c r="P105" s="82">
        <f t="shared" si="34"/>
        <v>37913978</v>
      </c>
      <c r="Q105" s="287"/>
      <c r="R105" s="159"/>
      <c r="S105" s="159"/>
      <c r="T105" s="159"/>
    </row>
    <row r="106" spans="1:20" s="4" customFormat="1" ht="24.75" customHeight="1">
      <c r="A106" s="80"/>
      <c r="B106" s="92"/>
      <c r="C106" s="92"/>
      <c r="D106" s="81" t="s">
        <v>416</v>
      </c>
      <c r="E106" s="82">
        <f>E108+E110</f>
        <v>35777500</v>
      </c>
      <c r="F106" s="82">
        <f aca="true" t="shared" si="35" ref="F106:P106">F108+F110</f>
        <v>35777500</v>
      </c>
      <c r="G106" s="82"/>
      <c r="H106" s="82">
        <f t="shared" si="35"/>
        <v>0</v>
      </c>
      <c r="I106" s="82">
        <f t="shared" si="35"/>
        <v>0</v>
      </c>
      <c r="J106" s="82">
        <f t="shared" si="35"/>
        <v>0</v>
      </c>
      <c r="K106" s="82">
        <f t="shared" si="35"/>
        <v>0</v>
      </c>
      <c r="L106" s="82">
        <f t="shared" si="35"/>
        <v>0</v>
      </c>
      <c r="M106" s="82">
        <f t="shared" si="35"/>
        <v>0</v>
      </c>
      <c r="N106" s="82">
        <f t="shared" si="35"/>
        <v>0</v>
      </c>
      <c r="O106" s="82">
        <f t="shared" si="35"/>
        <v>0</v>
      </c>
      <c r="P106" s="82">
        <f t="shared" si="35"/>
        <v>35777500</v>
      </c>
      <c r="Q106" s="287"/>
      <c r="R106" s="159"/>
      <c r="S106" s="159"/>
      <c r="T106" s="159"/>
    </row>
    <row r="107" spans="1:20" s="115" customFormat="1" ht="45" customHeight="1">
      <c r="A107" s="83" t="s">
        <v>285</v>
      </c>
      <c r="B107" s="83" t="str">
        <f>'дод. 3'!A46</f>
        <v>2111</v>
      </c>
      <c r="C107" s="83" t="str">
        <f>'дод. 3'!B46</f>
        <v>0726</v>
      </c>
      <c r="D107" s="106" t="str">
        <f>'дод. 3'!C46</f>
        <v>Первинна медична допомога населенню, що надається центрами первинної медичної (медико-санітарної) допомоги</v>
      </c>
      <c r="E107" s="85">
        <f>F107+I107</f>
        <v>9014905</v>
      </c>
      <c r="F107" s="85">
        <f>8672485+65000+361100+13920-97600</f>
        <v>9014905</v>
      </c>
      <c r="G107" s="85"/>
      <c r="H107" s="85"/>
      <c r="I107" s="85"/>
      <c r="J107" s="85">
        <f>K107+N107</f>
        <v>202000</v>
      </c>
      <c r="K107" s="85">
        <v>167000</v>
      </c>
      <c r="L107" s="85"/>
      <c r="M107" s="85"/>
      <c r="N107" s="85">
        <v>35000</v>
      </c>
      <c r="O107" s="85">
        <v>35000</v>
      </c>
      <c r="P107" s="85">
        <f>E107+J107</f>
        <v>9216905</v>
      </c>
      <c r="Q107" s="287"/>
      <c r="R107" s="160"/>
      <c r="S107" s="160"/>
      <c r="T107" s="160"/>
    </row>
    <row r="108" spans="1:20" s="115" customFormat="1" ht="24" customHeight="1">
      <c r="A108" s="83"/>
      <c r="B108" s="93"/>
      <c r="C108" s="93"/>
      <c r="D108" s="84" t="s">
        <v>416</v>
      </c>
      <c r="E108" s="85">
        <f>F108+I108</f>
        <v>8129599</v>
      </c>
      <c r="F108" s="85">
        <f>7871679+257920</f>
        <v>8129599</v>
      </c>
      <c r="G108" s="85"/>
      <c r="H108" s="85"/>
      <c r="I108" s="85"/>
      <c r="J108" s="85">
        <f aca="true" t="shared" si="36" ref="J108:J128">K108+N108</f>
        <v>0</v>
      </c>
      <c r="K108" s="85"/>
      <c r="L108" s="85"/>
      <c r="M108" s="85"/>
      <c r="N108" s="85"/>
      <c r="O108" s="85"/>
      <c r="P108" s="85">
        <f>E108+J108</f>
        <v>8129599</v>
      </c>
      <c r="Q108" s="287"/>
      <c r="R108" s="160"/>
      <c r="S108" s="160"/>
      <c r="T108" s="160"/>
    </row>
    <row r="109" spans="1:20" s="115" customFormat="1" ht="45">
      <c r="A109" s="83" t="s">
        <v>583</v>
      </c>
      <c r="B109" s="83" t="str">
        <f>'дод. 3'!A48</f>
        <v>2113</v>
      </c>
      <c r="C109" s="83" t="str">
        <f>'дод. 3'!B48</f>
        <v>0721</v>
      </c>
      <c r="D109" s="106" t="str">
        <f>'дод. 3'!C48</f>
        <v>Первинна медична допомога населенню, що надається амбулаторно-поліклінічними закладами (відділеннями)</v>
      </c>
      <c r="E109" s="85">
        <f>F109+I109</f>
        <v>28662473</v>
      </c>
      <c r="F109" s="85">
        <f>27905821+20000+335000+5772+3800+372080+20000</f>
        <v>28662473</v>
      </c>
      <c r="G109" s="85"/>
      <c r="H109" s="85"/>
      <c r="I109" s="85"/>
      <c r="J109" s="85">
        <f>K109+N109</f>
        <v>34600</v>
      </c>
      <c r="K109" s="85"/>
      <c r="L109" s="85"/>
      <c r="M109" s="85"/>
      <c r="N109" s="85">
        <f>22600+12000+20000-20000</f>
        <v>34600</v>
      </c>
      <c r="O109" s="85">
        <f>22600+12000+20000-20000</f>
        <v>34600</v>
      </c>
      <c r="P109" s="85">
        <f>E109+J109</f>
        <v>28697073</v>
      </c>
      <c r="Q109" s="287"/>
      <c r="R109" s="160"/>
      <c r="S109" s="160"/>
      <c r="T109" s="160"/>
    </row>
    <row r="110" spans="1:20" s="115" customFormat="1" ht="15">
      <c r="A110" s="83"/>
      <c r="B110" s="93"/>
      <c r="C110" s="93"/>
      <c r="D110" s="84" t="s">
        <v>416</v>
      </c>
      <c r="E110" s="85">
        <f>F110+I110</f>
        <v>27647901</v>
      </c>
      <c r="F110" s="85">
        <f>27905821-257920</f>
        <v>27647901</v>
      </c>
      <c r="G110" s="85"/>
      <c r="H110" s="85"/>
      <c r="I110" s="85"/>
      <c r="J110" s="85">
        <f>K110+N110</f>
        <v>0</v>
      </c>
      <c r="K110" s="85"/>
      <c r="L110" s="85"/>
      <c r="M110" s="85"/>
      <c r="N110" s="85"/>
      <c r="O110" s="85"/>
      <c r="P110" s="85">
        <f>E110+J110</f>
        <v>27647901</v>
      </c>
      <c r="Q110" s="287"/>
      <c r="R110" s="160"/>
      <c r="S110" s="160"/>
      <c r="T110" s="160"/>
    </row>
    <row r="111" spans="1:20" s="4" customFormat="1" ht="30" customHeight="1">
      <c r="A111" s="86" t="s">
        <v>284</v>
      </c>
      <c r="B111" s="91">
        <f>'дод. 3'!A50</f>
        <v>2140</v>
      </c>
      <c r="C111" s="91">
        <f>'дод. 3'!B50</f>
        <v>0</v>
      </c>
      <c r="D111" s="140" t="str">
        <f>'дод. 3'!C50</f>
        <v>Програми і централізовані заходи у галузі охорони здоров’я</v>
      </c>
      <c r="E111" s="88">
        <f aca="true" t="shared" si="37" ref="E111:P111">E113+E115</f>
        <v>14043000</v>
      </c>
      <c r="F111" s="88">
        <f t="shared" si="37"/>
        <v>14043000</v>
      </c>
      <c r="G111" s="88">
        <f t="shared" si="37"/>
        <v>0</v>
      </c>
      <c r="H111" s="88">
        <f t="shared" si="37"/>
        <v>0</v>
      </c>
      <c r="I111" s="88">
        <f t="shared" si="37"/>
        <v>0</v>
      </c>
      <c r="J111" s="88">
        <f t="shared" si="37"/>
        <v>0</v>
      </c>
      <c r="K111" s="88">
        <f t="shared" si="37"/>
        <v>0</v>
      </c>
      <c r="L111" s="88">
        <f t="shared" si="37"/>
        <v>0</v>
      </c>
      <c r="M111" s="88">
        <f t="shared" si="37"/>
        <v>0</v>
      </c>
      <c r="N111" s="88">
        <f t="shared" si="37"/>
        <v>0</v>
      </c>
      <c r="O111" s="88">
        <f t="shared" si="37"/>
        <v>0</v>
      </c>
      <c r="P111" s="88">
        <f t="shared" si="37"/>
        <v>14043000</v>
      </c>
      <c r="Q111" s="287"/>
      <c r="R111" s="166"/>
      <c r="S111" s="166"/>
      <c r="T111" s="166"/>
    </row>
    <row r="112" spans="1:20" s="118" customFormat="1" ht="24" customHeight="1">
      <c r="A112" s="80"/>
      <c r="B112" s="91">
        <f>'дод. 3'!A51</f>
        <v>0</v>
      </c>
      <c r="C112" s="91">
        <f>'дод. 3'!B51</f>
        <v>0</v>
      </c>
      <c r="D112" s="140" t="str">
        <f>'дод. 3'!C51</f>
        <v>у т.ч. за рахунок субвенцій з держбюджету</v>
      </c>
      <c r="E112" s="88">
        <f aca="true" t="shared" si="38" ref="E112:P112">E114+E116</f>
        <v>14043000</v>
      </c>
      <c r="F112" s="88">
        <f t="shared" si="38"/>
        <v>14043000</v>
      </c>
      <c r="G112" s="88">
        <f t="shared" si="38"/>
        <v>0</v>
      </c>
      <c r="H112" s="88">
        <f t="shared" si="38"/>
        <v>0</v>
      </c>
      <c r="I112" s="88">
        <f t="shared" si="38"/>
        <v>0</v>
      </c>
      <c r="J112" s="88">
        <f t="shared" si="38"/>
        <v>0</v>
      </c>
      <c r="K112" s="88">
        <f t="shared" si="38"/>
        <v>0</v>
      </c>
      <c r="L112" s="88">
        <f t="shared" si="38"/>
        <v>0</v>
      </c>
      <c r="M112" s="88">
        <f t="shared" si="38"/>
        <v>0</v>
      </c>
      <c r="N112" s="88">
        <f t="shared" si="38"/>
        <v>0</v>
      </c>
      <c r="O112" s="88">
        <f t="shared" si="38"/>
        <v>0</v>
      </c>
      <c r="P112" s="88">
        <f t="shared" si="38"/>
        <v>14043000</v>
      </c>
      <c r="Q112" s="287"/>
      <c r="R112" s="166"/>
      <c r="S112" s="166"/>
      <c r="T112" s="166"/>
    </row>
    <row r="113" spans="1:20" s="115" customFormat="1" ht="32.25" customHeight="1">
      <c r="A113" s="83" t="s">
        <v>283</v>
      </c>
      <c r="B113" s="93">
        <f>'дод. 3'!A52</f>
        <v>2144</v>
      </c>
      <c r="C113" s="93" t="str">
        <f>'дод. 3'!B52</f>
        <v>0763</v>
      </c>
      <c r="D113" s="141" t="str">
        <f>'дод. 3'!C52</f>
        <v>Централізовані заходи з лікування хворих на цукровий та нецукровий діабет</v>
      </c>
      <c r="E113" s="85">
        <f>F113+I113</f>
        <v>7131500</v>
      </c>
      <c r="F113" s="85">
        <v>7131500</v>
      </c>
      <c r="G113" s="85"/>
      <c r="H113" s="85"/>
      <c r="I113" s="85"/>
      <c r="J113" s="85">
        <f t="shared" si="36"/>
        <v>0</v>
      </c>
      <c r="K113" s="85"/>
      <c r="L113" s="85"/>
      <c r="M113" s="85"/>
      <c r="N113" s="85"/>
      <c r="O113" s="85"/>
      <c r="P113" s="85">
        <f aca="true" t="shared" si="39" ref="P113:P128">E113+J113</f>
        <v>7131500</v>
      </c>
      <c r="Q113" s="287"/>
      <c r="R113" s="160"/>
      <c r="S113" s="160"/>
      <c r="T113" s="160"/>
    </row>
    <row r="114" spans="1:20" s="115" customFormat="1" ht="20.25" customHeight="1">
      <c r="A114" s="83"/>
      <c r="B114" s="93">
        <f>'дод. 3'!A53</f>
        <v>0</v>
      </c>
      <c r="C114" s="93">
        <f>'дод. 3'!B53</f>
        <v>0</v>
      </c>
      <c r="D114" s="141" t="str">
        <f>'дод. 3'!C53</f>
        <v>у т.ч. за рахунок субвенцій з держбюджету</v>
      </c>
      <c r="E114" s="85">
        <f>F114+I114</f>
        <v>7131500</v>
      </c>
      <c r="F114" s="85">
        <v>7131500</v>
      </c>
      <c r="G114" s="85"/>
      <c r="H114" s="85"/>
      <c r="I114" s="85"/>
      <c r="J114" s="85">
        <f t="shared" si="36"/>
        <v>0</v>
      </c>
      <c r="K114" s="85"/>
      <c r="L114" s="85"/>
      <c r="M114" s="85"/>
      <c r="N114" s="85"/>
      <c r="O114" s="85"/>
      <c r="P114" s="85">
        <f t="shared" si="39"/>
        <v>7131500</v>
      </c>
      <c r="Q114" s="287"/>
      <c r="R114" s="160"/>
      <c r="S114" s="160"/>
      <c r="T114" s="160"/>
    </row>
    <row r="115" spans="1:20" s="115" customFormat="1" ht="31.5" customHeight="1">
      <c r="A115" s="83" t="s">
        <v>514</v>
      </c>
      <c r="B115" s="93">
        <f>'дод. 3'!A54</f>
        <v>2146</v>
      </c>
      <c r="C115" s="93" t="str">
        <f>'дод. 3'!B54</f>
        <v>0763</v>
      </c>
      <c r="D115" s="141" t="str">
        <f>'дод. 3'!C54</f>
        <v>Відшкодування вартості лікарських засобів для лікування окремих захворювань</v>
      </c>
      <c r="E115" s="85">
        <f>F115+I115</f>
        <v>6911500</v>
      </c>
      <c r="F115" s="85">
        <v>6911500</v>
      </c>
      <c r="G115" s="85"/>
      <c r="H115" s="85"/>
      <c r="I115" s="85"/>
      <c r="J115" s="85">
        <f t="shared" si="36"/>
        <v>0</v>
      </c>
      <c r="K115" s="85"/>
      <c r="L115" s="85"/>
      <c r="M115" s="85"/>
      <c r="N115" s="85"/>
      <c r="O115" s="85"/>
      <c r="P115" s="85">
        <f t="shared" si="39"/>
        <v>6911500</v>
      </c>
      <c r="Q115" s="287"/>
      <c r="R115" s="160"/>
      <c r="S115" s="160"/>
      <c r="T115" s="160"/>
    </row>
    <row r="116" spans="1:20" s="115" customFormat="1" ht="24.75" customHeight="1">
      <c r="A116" s="83"/>
      <c r="B116" s="93">
        <f>'дод. 3'!A55</f>
        <v>0</v>
      </c>
      <c r="C116" s="93">
        <f>'дод. 3'!B55</f>
        <v>0</v>
      </c>
      <c r="D116" s="141" t="str">
        <f>'дод. 3'!C55</f>
        <v>у т.ч. за рахунок субвенцій з держбюджету</v>
      </c>
      <c r="E116" s="85">
        <f>F116+I116</f>
        <v>6911500</v>
      </c>
      <c r="F116" s="85">
        <v>6911500</v>
      </c>
      <c r="G116" s="85"/>
      <c r="H116" s="85"/>
      <c r="I116" s="85"/>
      <c r="J116" s="85">
        <f t="shared" si="36"/>
        <v>0</v>
      </c>
      <c r="K116" s="85"/>
      <c r="L116" s="85"/>
      <c r="M116" s="85"/>
      <c r="N116" s="85"/>
      <c r="O116" s="85"/>
      <c r="P116" s="85">
        <f t="shared" si="39"/>
        <v>6911500</v>
      </c>
      <c r="Q116" s="287"/>
      <c r="R116" s="160"/>
      <c r="S116" s="160"/>
      <c r="T116" s="160"/>
    </row>
    <row r="117" spans="1:20" s="4" customFormat="1" ht="35.25" customHeight="1">
      <c r="A117" s="86" t="s">
        <v>282</v>
      </c>
      <c r="B117" s="86" t="str">
        <f>'дод. 3'!A56</f>
        <v>2150</v>
      </c>
      <c r="C117" s="86">
        <f>'дод. 3'!B56</f>
        <v>0</v>
      </c>
      <c r="D117" s="107" t="str">
        <f>'дод. 3'!C56</f>
        <v>Інші програми, заклади та заходи у сфері охорони здоров’я</v>
      </c>
      <c r="E117" s="88">
        <f>E119+E121</f>
        <v>7027448</v>
      </c>
      <c r="F117" s="88">
        <f aca="true" t="shared" si="40" ref="F117:O117">F119+F121</f>
        <v>7027448</v>
      </c>
      <c r="G117" s="88">
        <f t="shared" si="40"/>
        <v>0</v>
      </c>
      <c r="H117" s="88">
        <f t="shared" si="40"/>
        <v>0</v>
      </c>
      <c r="I117" s="88">
        <f t="shared" si="40"/>
        <v>0</v>
      </c>
      <c r="J117" s="82">
        <f t="shared" si="36"/>
        <v>3406496</v>
      </c>
      <c r="K117" s="88">
        <f t="shared" si="40"/>
        <v>0</v>
      </c>
      <c r="L117" s="88">
        <f t="shared" si="40"/>
        <v>0</v>
      </c>
      <c r="M117" s="88">
        <f t="shared" si="40"/>
        <v>0</v>
      </c>
      <c r="N117" s="88">
        <f t="shared" si="40"/>
        <v>3406496</v>
      </c>
      <c r="O117" s="88">
        <f t="shared" si="40"/>
        <v>3406496</v>
      </c>
      <c r="P117" s="82">
        <f t="shared" si="39"/>
        <v>10433944</v>
      </c>
      <c r="Q117" s="287"/>
      <c r="R117" s="159"/>
      <c r="S117" s="159"/>
      <c r="T117" s="159"/>
    </row>
    <row r="118" spans="1:20" s="4" customFormat="1" ht="21.75" customHeight="1">
      <c r="A118" s="86"/>
      <c r="B118" s="91"/>
      <c r="C118" s="91"/>
      <c r="D118" s="87" t="s">
        <v>416</v>
      </c>
      <c r="E118" s="88">
        <f>E120+E122</f>
        <v>3794203</v>
      </c>
      <c r="F118" s="88">
        <f aca="true" t="shared" si="41" ref="F118:O118">F120+F122</f>
        <v>3794203</v>
      </c>
      <c r="G118" s="88">
        <f t="shared" si="41"/>
        <v>0</v>
      </c>
      <c r="H118" s="88">
        <f t="shared" si="41"/>
        <v>0</v>
      </c>
      <c r="I118" s="88">
        <f t="shared" si="41"/>
        <v>0</v>
      </c>
      <c r="J118" s="85">
        <f t="shared" si="36"/>
        <v>0</v>
      </c>
      <c r="K118" s="88">
        <f t="shared" si="41"/>
        <v>0</v>
      </c>
      <c r="L118" s="88">
        <f t="shared" si="41"/>
        <v>0</v>
      </c>
      <c r="M118" s="88">
        <f t="shared" si="41"/>
        <v>0</v>
      </c>
      <c r="N118" s="88">
        <f t="shared" si="41"/>
        <v>0</v>
      </c>
      <c r="O118" s="88">
        <f t="shared" si="41"/>
        <v>0</v>
      </c>
      <c r="P118" s="82">
        <f t="shared" si="39"/>
        <v>3794203</v>
      </c>
      <c r="Q118" s="287"/>
      <c r="R118" s="159"/>
      <c r="S118" s="159"/>
      <c r="T118" s="159"/>
    </row>
    <row r="119" spans="1:20" s="115" customFormat="1" ht="30" customHeight="1">
      <c r="A119" s="83" t="s">
        <v>604</v>
      </c>
      <c r="B119" s="116" t="str">
        <f>'дод. 3'!A58</f>
        <v>2151</v>
      </c>
      <c r="C119" s="116" t="str">
        <f>'дод. 3'!B58</f>
        <v>0763</v>
      </c>
      <c r="D119" s="106" t="str">
        <f>'дод. 3'!C58</f>
        <v>Забезпечення діяльності інших закладів у сфері охорони здоров’я</v>
      </c>
      <c r="E119" s="85">
        <f>F119+I119</f>
        <v>1975455</v>
      </c>
      <c r="F119" s="85">
        <f>1974877+578</f>
        <v>1975455</v>
      </c>
      <c r="G119" s="85"/>
      <c r="H119" s="85"/>
      <c r="I119" s="85"/>
      <c r="J119" s="85">
        <f t="shared" si="36"/>
        <v>0</v>
      </c>
      <c r="K119" s="85"/>
      <c r="L119" s="85"/>
      <c r="M119" s="85"/>
      <c r="N119" s="85"/>
      <c r="O119" s="85"/>
      <c r="P119" s="85">
        <f t="shared" si="39"/>
        <v>1975455</v>
      </c>
      <c r="Q119" s="287"/>
      <c r="R119" s="160"/>
      <c r="S119" s="160"/>
      <c r="T119" s="160"/>
    </row>
    <row r="120" spans="1:20" s="115" customFormat="1" ht="21.75" customHeight="1">
      <c r="A120" s="83"/>
      <c r="B120" s="116"/>
      <c r="C120" s="116"/>
      <c r="D120" s="84" t="s">
        <v>416</v>
      </c>
      <c r="E120" s="85">
        <f>F120+I120</f>
        <v>1938677</v>
      </c>
      <c r="F120" s="85">
        <v>1938677</v>
      </c>
      <c r="G120" s="85"/>
      <c r="H120" s="85"/>
      <c r="I120" s="85"/>
      <c r="J120" s="85">
        <f t="shared" si="36"/>
        <v>0</v>
      </c>
      <c r="K120" s="85"/>
      <c r="L120" s="85"/>
      <c r="M120" s="85"/>
      <c r="N120" s="85"/>
      <c r="O120" s="85"/>
      <c r="P120" s="85">
        <f t="shared" si="39"/>
        <v>1938677</v>
      </c>
      <c r="Q120" s="287"/>
      <c r="R120" s="160"/>
      <c r="S120" s="160"/>
      <c r="T120" s="160"/>
    </row>
    <row r="121" spans="1:20" s="115" customFormat="1" ht="33" customHeight="1">
      <c r="A121" s="83" t="s">
        <v>605</v>
      </c>
      <c r="B121" s="116" t="str">
        <f>'дод. 3'!A60</f>
        <v>2152</v>
      </c>
      <c r="C121" s="116" t="str">
        <f>'дод. 3'!B60</f>
        <v>0763</v>
      </c>
      <c r="D121" s="117" t="str">
        <f>'дод. 3'!C60</f>
        <v>Інші програми та заходи у сфері охорони здоров’я</v>
      </c>
      <c r="E121" s="85">
        <f>F121+I121</f>
        <v>5051993</v>
      </c>
      <c r="F121" s="85">
        <f>1958489+108000-108000+3093504</f>
        <v>5051993</v>
      </c>
      <c r="G121" s="85"/>
      <c r="H121" s="85"/>
      <c r="I121" s="85"/>
      <c r="J121" s="85">
        <f t="shared" si="36"/>
        <v>3406496</v>
      </c>
      <c r="K121" s="85"/>
      <c r="L121" s="85"/>
      <c r="M121" s="85"/>
      <c r="N121" s="85">
        <v>3406496</v>
      </c>
      <c r="O121" s="85">
        <v>3406496</v>
      </c>
      <c r="P121" s="85">
        <f t="shared" si="39"/>
        <v>8458489</v>
      </c>
      <c r="Q121" s="287"/>
      <c r="R121" s="160"/>
      <c r="S121" s="160"/>
      <c r="T121" s="160"/>
    </row>
    <row r="122" spans="1:20" s="115" customFormat="1" ht="21.75" customHeight="1">
      <c r="A122" s="83"/>
      <c r="B122" s="116"/>
      <c r="C122" s="116"/>
      <c r="D122" s="84" t="s">
        <v>416</v>
      </c>
      <c r="E122" s="85">
        <f>F122+I122</f>
        <v>1855526</v>
      </c>
      <c r="F122" s="85">
        <f>1958489-102963</f>
        <v>1855526</v>
      </c>
      <c r="G122" s="85"/>
      <c r="H122" s="85"/>
      <c r="I122" s="85"/>
      <c r="J122" s="85">
        <f t="shared" si="36"/>
        <v>0</v>
      </c>
      <c r="K122" s="85"/>
      <c r="L122" s="85"/>
      <c r="M122" s="85"/>
      <c r="N122" s="85"/>
      <c r="O122" s="85"/>
      <c r="P122" s="85">
        <f t="shared" si="39"/>
        <v>1855526</v>
      </c>
      <c r="Q122" s="287"/>
      <c r="R122" s="160"/>
      <c r="S122" s="160"/>
      <c r="T122" s="160"/>
    </row>
    <row r="123" spans="1:20" s="4" customFormat="1" ht="30.75" customHeight="1">
      <c r="A123" s="80" t="s">
        <v>606</v>
      </c>
      <c r="B123" s="90" t="str">
        <f>'дод. 3'!A187</f>
        <v>7360</v>
      </c>
      <c r="C123" s="90">
        <f>'дод. 3'!B187</f>
        <v>0</v>
      </c>
      <c r="D123" s="257" t="str">
        <f>'дод. 3'!C187</f>
        <v>Виконання інвестиційних проектів</v>
      </c>
      <c r="E123" s="82">
        <f>E125</f>
        <v>0</v>
      </c>
      <c r="F123" s="82">
        <f aca="true" t="shared" si="42" ref="F123:P124">F125</f>
        <v>0</v>
      </c>
      <c r="G123" s="82">
        <f t="shared" si="42"/>
        <v>0</v>
      </c>
      <c r="H123" s="82">
        <f t="shared" si="42"/>
        <v>0</v>
      </c>
      <c r="I123" s="82">
        <f t="shared" si="42"/>
        <v>0</v>
      </c>
      <c r="J123" s="82">
        <f t="shared" si="42"/>
        <v>1471863.5999999999</v>
      </c>
      <c r="K123" s="82">
        <f t="shared" si="42"/>
        <v>0</v>
      </c>
      <c r="L123" s="82">
        <f t="shared" si="42"/>
        <v>0</v>
      </c>
      <c r="M123" s="82">
        <f t="shared" si="42"/>
        <v>0</v>
      </c>
      <c r="N123" s="82">
        <f t="shared" si="42"/>
        <v>1471863.5999999999</v>
      </c>
      <c r="O123" s="82">
        <f t="shared" si="42"/>
        <v>1471863.5999999999</v>
      </c>
      <c r="P123" s="82">
        <f t="shared" si="42"/>
        <v>1471863.5999999999</v>
      </c>
      <c r="Q123" s="287"/>
      <c r="R123" s="158"/>
      <c r="S123" s="158"/>
      <c r="T123" s="158"/>
    </row>
    <row r="124" spans="1:20" s="115" customFormat="1" ht="21.75" customHeight="1">
      <c r="A124" s="83"/>
      <c r="B124" s="116"/>
      <c r="C124" s="116"/>
      <c r="D124" s="141" t="str">
        <f>'дод. 3'!C63</f>
        <v>у т.ч. за рахунок субвенцій з держбюджету</v>
      </c>
      <c r="E124" s="85">
        <f>E126</f>
        <v>0</v>
      </c>
      <c r="F124" s="85">
        <f t="shared" si="42"/>
        <v>0</v>
      </c>
      <c r="G124" s="85">
        <f t="shared" si="42"/>
        <v>0</v>
      </c>
      <c r="H124" s="85">
        <f t="shared" si="42"/>
        <v>0</v>
      </c>
      <c r="I124" s="85">
        <f t="shared" si="42"/>
        <v>0</v>
      </c>
      <c r="J124" s="85">
        <f t="shared" si="42"/>
        <v>1335964.66</v>
      </c>
      <c r="K124" s="85">
        <f t="shared" si="42"/>
        <v>0</v>
      </c>
      <c r="L124" s="85">
        <f t="shared" si="42"/>
        <v>0</v>
      </c>
      <c r="M124" s="85">
        <f t="shared" si="42"/>
        <v>0</v>
      </c>
      <c r="N124" s="85">
        <f t="shared" si="42"/>
        <v>1335964.66</v>
      </c>
      <c r="O124" s="85">
        <f t="shared" si="42"/>
        <v>1335964.66</v>
      </c>
      <c r="P124" s="85">
        <f t="shared" si="42"/>
        <v>1335964.66</v>
      </c>
      <c r="Q124" s="287"/>
      <c r="R124" s="160"/>
      <c r="S124" s="160"/>
      <c r="T124" s="160"/>
    </row>
    <row r="125" spans="1:20" s="115" customFormat="1" ht="55.5" customHeight="1">
      <c r="A125" s="83" t="s">
        <v>607</v>
      </c>
      <c r="B125" s="116" t="str">
        <f>'дод. 3'!A190</f>
        <v>7363</v>
      </c>
      <c r="C125" s="116" t="str">
        <f>'дод. 3'!B190</f>
        <v>0490</v>
      </c>
      <c r="D125" s="217" t="str">
        <f>'дод. 3'!C190</f>
        <v>Виконання інвестиційних проектів в рамках здійснення заходів щодо соціально-економічного розвитку окремих територій</v>
      </c>
      <c r="E125" s="85">
        <f>F125+I125</f>
        <v>0</v>
      </c>
      <c r="F125" s="85"/>
      <c r="G125" s="85"/>
      <c r="H125" s="85"/>
      <c r="I125" s="85"/>
      <c r="J125" s="85">
        <f>K125+N125</f>
        <v>1471863.5999999999</v>
      </c>
      <c r="K125" s="85"/>
      <c r="L125" s="85"/>
      <c r="M125" s="85"/>
      <c r="N125" s="85">
        <f>40078.94+1335964.66+95820</f>
        <v>1471863.5999999999</v>
      </c>
      <c r="O125" s="85">
        <f>40078.94+1335964.66+95820</f>
        <v>1471863.5999999999</v>
      </c>
      <c r="P125" s="85">
        <f>E125+J125</f>
        <v>1471863.5999999999</v>
      </c>
      <c r="Q125" s="287"/>
      <c r="R125" s="160"/>
      <c r="S125" s="160"/>
      <c r="T125" s="160"/>
    </row>
    <row r="126" spans="1:20" s="115" customFormat="1" ht="26.25" customHeight="1">
      <c r="A126" s="83"/>
      <c r="B126" s="116"/>
      <c r="C126" s="116"/>
      <c r="D126" s="141" t="str">
        <f>'дод. 3'!C65</f>
        <v>у т.ч. за рахунок субвенцій з держбюджету</v>
      </c>
      <c r="E126" s="85">
        <f>F126+I126</f>
        <v>0</v>
      </c>
      <c r="F126" s="85"/>
      <c r="G126" s="85"/>
      <c r="H126" s="85"/>
      <c r="I126" s="85"/>
      <c r="J126" s="85">
        <f>K126+N126</f>
        <v>1335964.66</v>
      </c>
      <c r="K126" s="85"/>
      <c r="L126" s="85"/>
      <c r="M126" s="85"/>
      <c r="N126" s="85">
        <v>1335964.66</v>
      </c>
      <c r="O126" s="85">
        <v>1335964.66</v>
      </c>
      <c r="P126" s="85">
        <f>E126+J126</f>
        <v>1335964.66</v>
      </c>
      <c r="Q126" s="287"/>
      <c r="R126" s="160"/>
      <c r="S126" s="160"/>
      <c r="T126" s="160"/>
    </row>
    <row r="127" spans="1:20" s="4" customFormat="1" ht="33" customHeight="1">
      <c r="A127" s="86" t="s">
        <v>281</v>
      </c>
      <c r="B127" s="86" t="str">
        <f>'дод. 3'!A210</f>
        <v>7640</v>
      </c>
      <c r="C127" s="86" t="str">
        <f>'дод. 3'!B210</f>
        <v>0470</v>
      </c>
      <c r="D127" s="107" t="str">
        <f>'дод. 3'!C210</f>
        <v>Заходи з енергозбереження</v>
      </c>
      <c r="E127" s="88">
        <f>F127+I127</f>
        <v>792000</v>
      </c>
      <c r="F127" s="88">
        <f>420000+48000+300000+12000+12000</f>
        <v>792000</v>
      </c>
      <c r="G127" s="88"/>
      <c r="H127" s="88"/>
      <c r="I127" s="88"/>
      <c r="J127" s="85">
        <f t="shared" si="36"/>
        <v>9847000</v>
      </c>
      <c r="K127" s="88"/>
      <c r="L127" s="88"/>
      <c r="M127" s="88"/>
      <c r="N127" s="88">
        <f>6847000+3000000</f>
        <v>9847000</v>
      </c>
      <c r="O127" s="88">
        <f>6847000+3000000</f>
        <v>9847000</v>
      </c>
      <c r="P127" s="88">
        <f t="shared" si="39"/>
        <v>10639000</v>
      </c>
      <c r="Q127" s="287"/>
      <c r="R127" s="158"/>
      <c r="S127" s="158"/>
      <c r="T127" s="158"/>
    </row>
    <row r="128" spans="1:20" s="4" customFormat="1" ht="33" customHeight="1">
      <c r="A128" s="86" t="s">
        <v>647</v>
      </c>
      <c r="B128" s="86" t="s">
        <v>28</v>
      </c>
      <c r="C128" s="86" t="s">
        <v>648</v>
      </c>
      <c r="D128" s="258" t="s">
        <v>415</v>
      </c>
      <c r="E128" s="88">
        <f>F128+I128</f>
        <v>20000</v>
      </c>
      <c r="F128" s="88">
        <v>20000</v>
      </c>
      <c r="G128" s="88"/>
      <c r="H128" s="88"/>
      <c r="I128" s="88"/>
      <c r="J128" s="85">
        <f t="shared" si="36"/>
        <v>0</v>
      </c>
      <c r="K128" s="88"/>
      <c r="L128" s="88"/>
      <c r="M128" s="88"/>
      <c r="N128" s="88"/>
      <c r="O128" s="88"/>
      <c r="P128" s="88">
        <f t="shared" si="39"/>
        <v>20000</v>
      </c>
      <c r="Q128" s="287"/>
      <c r="R128" s="158"/>
      <c r="S128" s="158"/>
      <c r="T128" s="158"/>
    </row>
    <row r="129" spans="1:20" s="112" customFormat="1" ht="28.5">
      <c r="A129" s="111" t="s">
        <v>290</v>
      </c>
      <c r="B129" s="36"/>
      <c r="C129" s="36"/>
      <c r="D129" s="35" t="s">
        <v>70</v>
      </c>
      <c r="E129" s="46">
        <f>E130</f>
        <v>1277888836.5900002</v>
      </c>
      <c r="F129" s="46">
        <f aca="true" t="shared" si="43" ref="F129:P129">F130</f>
        <v>1277888836.5900002</v>
      </c>
      <c r="G129" s="46">
        <f t="shared" si="43"/>
        <v>41420650</v>
      </c>
      <c r="H129" s="46">
        <f t="shared" si="43"/>
        <v>1542626</v>
      </c>
      <c r="I129" s="46">
        <f t="shared" si="43"/>
        <v>0</v>
      </c>
      <c r="J129" s="46">
        <f t="shared" si="43"/>
        <v>6076981.21</v>
      </c>
      <c r="K129" s="46">
        <f t="shared" si="43"/>
        <v>57900</v>
      </c>
      <c r="L129" s="46">
        <f t="shared" si="43"/>
        <v>44700</v>
      </c>
      <c r="M129" s="46">
        <f t="shared" si="43"/>
        <v>0</v>
      </c>
      <c r="N129" s="46">
        <f t="shared" si="43"/>
        <v>6019081.21</v>
      </c>
      <c r="O129" s="46">
        <f t="shared" si="43"/>
        <v>6019081.21</v>
      </c>
      <c r="P129" s="46">
        <f t="shared" si="43"/>
        <v>1283965817.8000002</v>
      </c>
      <c r="Q129" s="287"/>
      <c r="R129" s="156"/>
      <c r="S129" s="156"/>
      <c r="T129" s="156"/>
    </row>
    <row r="130" spans="1:20" s="114" customFormat="1" ht="36" customHeight="1">
      <c r="A130" s="113" t="s">
        <v>291</v>
      </c>
      <c r="B130" s="124"/>
      <c r="C130" s="124"/>
      <c r="D130" s="123" t="s">
        <v>70</v>
      </c>
      <c r="E130" s="79">
        <f>E132+E145+E167+E181+E183+E187+E188+E191+E192+E199+E202+E204+E180+E184+E133+E139+E151+E168+E197+E203+E193</f>
        <v>1277888836.5900002</v>
      </c>
      <c r="F130" s="79">
        <f aca="true" t="shared" si="44" ref="F130:P130">F132+F145+F167+F181+F183+F187+F188+F191+F192+F199+F202+F204+F180+F184+F133+F139+F151+F168+F197+F203+F193</f>
        <v>1277888836.5900002</v>
      </c>
      <c r="G130" s="79">
        <f t="shared" si="44"/>
        <v>41420650</v>
      </c>
      <c r="H130" s="79">
        <f t="shared" si="44"/>
        <v>1542626</v>
      </c>
      <c r="I130" s="79">
        <f t="shared" si="44"/>
        <v>0</v>
      </c>
      <c r="J130" s="79">
        <f t="shared" si="44"/>
        <v>6076981.21</v>
      </c>
      <c r="K130" s="79">
        <f t="shared" si="44"/>
        <v>57900</v>
      </c>
      <c r="L130" s="79">
        <f t="shared" si="44"/>
        <v>44700</v>
      </c>
      <c r="M130" s="79">
        <f t="shared" si="44"/>
        <v>0</v>
      </c>
      <c r="N130" s="79">
        <f t="shared" si="44"/>
        <v>6019081.21</v>
      </c>
      <c r="O130" s="79">
        <f t="shared" si="44"/>
        <v>6019081.21</v>
      </c>
      <c r="P130" s="79">
        <f t="shared" si="44"/>
        <v>1283965817.8000002</v>
      </c>
      <c r="Q130" s="287"/>
      <c r="R130" s="162"/>
      <c r="S130" s="162"/>
      <c r="T130" s="162"/>
    </row>
    <row r="131" spans="1:20" s="114" customFormat="1" ht="23.25" customHeight="1">
      <c r="A131" s="113"/>
      <c r="B131" s="124"/>
      <c r="C131" s="124"/>
      <c r="D131" s="123" t="s">
        <v>416</v>
      </c>
      <c r="E131" s="79">
        <f>E134+E140+E152+E169+E198+E194</f>
        <v>1129586900</v>
      </c>
      <c r="F131" s="79">
        <f aca="true" t="shared" si="45" ref="F131:P131">F134+F140+F152+F169+F198+F194</f>
        <v>1129586900</v>
      </c>
      <c r="G131" s="79">
        <f t="shared" si="45"/>
        <v>0</v>
      </c>
      <c r="H131" s="79">
        <f t="shared" si="45"/>
        <v>0</v>
      </c>
      <c r="I131" s="79">
        <f t="shared" si="45"/>
        <v>0</v>
      </c>
      <c r="J131" s="79">
        <f t="shared" si="45"/>
        <v>4839581.21</v>
      </c>
      <c r="K131" s="79">
        <f t="shared" si="45"/>
        <v>0</v>
      </c>
      <c r="L131" s="79">
        <f t="shared" si="45"/>
        <v>0</v>
      </c>
      <c r="M131" s="79">
        <f t="shared" si="45"/>
        <v>0</v>
      </c>
      <c r="N131" s="79">
        <f t="shared" si="45"/>
        <v>4839581.21</v>
      </c>
      <c r="O131" s="79">
        <f t="shared" si="45"/>
        <v>4839581.21</v>
      </c>
      <c r="P131" s="79">
        <f t="shared" si="45"/>
        <v>1134426481.21</v>
      </c>
      <c r="Q131" s="287"/>
      <c r="R131" s="162"/>
      <c r="S131" s="162"/>
      <c r="T131" s="162"/>
    </row>
    <row r="132" spans="1:20" s="4" customFormat="1" ht="52.5" customHeight="1">
      <c r="A132" s="80" t="s">
        <v>292</v>
      </c>
      <c r="B132" s="80" t="str">
        <f>'дод. 3'!A13</f>
        <v>0160</v>
      </c>
      <c r="C132" s="80" t="str">
        <f>'дод. 3'!B13</f>
        <v>0111</v>
      </c>
      <c r="D132" s="81" t="str">
        <f>'дод. 3'!C13</f>
        <v>Керівництво і управління у відповідній сфері у містах (місті Києві), селищах, селах, об’єднаних територіальних громадах</v>
      </c>
      <c r="E132" s="82">
        <f>F132+I132</f>
        <v>40046818</v>
      </c>
      <c r="F132" s="82">
        <f>40471900-288000+100000-287082+50000</f>
        <v>40046818</v>
      </c>
      <c r="G132" s="82">
        <f>31781350-235313</f>
        <v>31546037</v>
      </c>
      <c r="H132" s="82">
        <v>676100</v>
      </c>
      <c r="I132" s="82"/>
      <c r="J132" s="82">
        <f>K132+N132</f>
        <v>572000</v>
      </c>
      <c r="K132" s="82"/>
      <c r="L132" s="82"/>
      <c r="M132" s="82"/>
      <c r="N132" s="82">
        <f>700000-128000</f>
        <v>572000</v>
      </c>
      <c r="O132" s="82">
        <f>700000-128000</f>
        <v>572000</v>
      </c>
      <c r="P132" s="82">
        <f>E132+J132</f>
        <v>40618818</v>
      </c>
      <c r="Q132" s="287"/>
      <c r="R132" s="158"/>
      <c r="S132" s="158"/>
      <c r="T132" s="158"/>
    </row>
    <row r="133" spans="1:20" s="4" customFormat="1" ht="78" customHeight="1">
      <c r="A133" s="80" t="s">
        <v>527</v>
      </c>
      <c r="B133" s="137" t="str">
        <f>'дод. 3'!A64</f>
        <v>3010</v>
      </c>
      <c r="C133" s="137">
        <f>'дод. 3'!B64</f>
        <v>0</v>
      </c>
      <c r="D133" s="109" t="str">
        <f>'дод. 3'!C64</f>
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</c>
      <c r="E133" s="82">
        <f aca="true" t="shared" si="46" ref="E133:P133">E135+E137</f>
        <v>772232100</v>
      </c>
      <c r="F133" s="82">
        <f>F135+F137</f>
        <v>772232100</v>
      </c>
      <c r="G133" s="82">
        <f t="shared" si="46"/>
        <v>0</v>
      </c>
      <c r="H133" s="82">
        <f t="shared" si="46"/>
        <v>0</v>
      </c>
      <c r="I133" s="82">
        <f t="shared" si="46"/>
        <v>0</v>
      </c>
      <c r="J133" s="82">
        <f t="shared" si="46"/>
        <v>0</v>
      </c>
      <c r="K133" s="82">
        <f t="shared" si="46"/>
        <v>0</v>
      </c>
      <c r="L133" s="82">
        <f t="shared" si="46"/>
        <v>0</v>
      </c>
      <c r="M133" s="82">
        <f t="shared" si="46"/>
        <v>0</v>
      </c>
      <c r="N133" s="82">
        <f t="shared" si="46"/>
        <v>0</v>
      </c>
      <c r="O133" s="82">
        <f t="shared" si="46"/>
        <v>0</v>
      </c>
      <c r="P133" s="82">
        <f t="shared" si="46"/>
        <v>772232100</v>
      </c>
      <c r="Q133" s="287"/>
      <c r="R133" s="163"/>
      <c r="S133" s="163"/>
      <c r="T133" s="163"/>
    </row>
    <row r="134" spans="1:20" s="4" customFormat="1" ht="15">
      <c r="A134" s="80"/>
      <c r="B134" s="137">
        <f>'дод. 3'!A65</f>
        <v>0</v>
      </c>
      <c r="C134" s="137">
        <f>'дод. 3'!B65</f>
        <v>0</v>
      </c>
      <c r="D134" s="109" t="str">
        <f>'дод. 3'!C65</f>
        <v>у т.ч. за рахунок субвенцій з держбюджету</v>
      </c>
      <c r="E134" s="82">
        <f aca="true" t="shared" si="47" ref="E134:P134">E136+E138</f>
        <v>772232100</v>
      </c>
      <c r="F134" s="82">
        <f t="shared" si="47"/>
        <v>772232100</v>
      </c>
      <c r="G134" s="82">
        <f t="shared" si="47"/>
        <v>0</v>
      </c>
      <c r="H134" s="82">
        <f t="shared" si="47"/>
        <v>0</v>
      </c>
      <c r="I134" s="82">
        <f t="shared" si="47"/>
        <v>0</v>
      </c>
      <c r="J134" s="82">
        <f t="shared" si="47"/>
        <v>0</v>
      </c>
      <c r="K134" s="82">
        <f t="shared" si="47"/>
        <v>0</v>
      </c>
      <c r="L134" s="82">
        <f t="shared" si="47"/>
        <v>0</v>
      </c>
      <c r="M134" s="82">
        <f t="shared" si="47"/>
        <v>0</v>
      </c>
      <c r="N134" s="82">
        <f t="shared" si="47"/>
        <v>0</v>
      </c>
      <c r="O134" s="82">
        <f t="shared" si="47"/>
        <v>0</v>
      </c>
      <c r="P134" s="82">
        <f t="shared" si="47"/>
        <v>772232100</v>
      </c>
      <c r="Q134" s="287"/>
      <c r="R134" s="163"/>
      <c r="S134" s="163"/>
      <c r="T134" s="163"/>
    </row>
    <row r="135" spans="1:20" s="115" customFormat="1" ht="45" customHeight="1">
      <c r="A135" s="83" t="s">
        <v>528</v>
      </c>
      <c r="B135" s="142" t="str">
        <f>'дод. 3'!A66</f>
        <v>3011</v>
      </c>
      <c r="C135" s="142">
        <f>'дод. 3'!B66</f>
        <v>1030</v>
      </c>
      <c r="D135" s="106" t="str">
        <f>'дод. 3'!C66</f>
        <v>Надання пільг на оплату житлово-комунальних послуг окремим категоріям громадян відповідно до законодавства </v>
      </c>
      <c r="E135" s="85">
        <f>F135+I135</f>
        <v>66261200</v>
      </c>
      <c r="F135" s="85">
        <v>66261200</v>
      </c>
      <c r="G135" s="85"/>
      <c r="H135" s="85"/>
      <c r="I135" s="85"/>
      <c r="J135" s="85">
        <f>K135+N135</f>
        <v>0</v>
      </c>
      <c r="K135" s="85"/>
      <c r="L135" s="85"/>
      <c r="M135" s="85"/>
      <c r="N135" s="85"/>
      <c r="O135" s="85"/>
      <c r="P135" s="85">
        <f>E135+J135</f>
        <v>66261200</v>
      </c>
      <c r="Q135" s="287"/>
      <c r="R135" s="160"/>
      <c r="S135" s="160"/>
      <c r="T135" s="160"/>
    </row>
    <row r="136" spans="1:20" s="115" customFormat="1" ht="15">
      <c r="A136" s="83"/>
      <c r="B136" s="142">
        <f>'дод. 3'!A67</f>
        <v>0</v>
      </c>
      <c r="C136" s="142">
        <f>'дод. 3'!B67</f>
        <v>0</v>
      </c>
      <c r="D136" s="106" t="str">
        <f>'дод. 3'!C67</f>
        <v>у т.ч. за рахунок субвенцій з держбюджету</v>
      </c>
      <c r="E136" s="85">
        <f>F136+I136</f>
        <v>66261200</v>
      </c>
      <c r="F136" s="85">
        <v>66261200</v>
      </c>
      <c r="G136" s="85"/>
      <c r="H136" s="85"/>
      <c r="I136" s="85"/>
      <c r="J136" s="85">
        <f>K136+N136</f>
        <v>0</v>
      </c>
      <c r="K136" s="85"/>
      <c r="L136" s="85"/>
      <c r="M136" s="85"/>
      <c r="N136" s="85"/>
      <c r="O136" s="85"/>
      <c r="P136" s="85">
        <f>E136+J136</f>
        <v>66261200</v>
      </c>
      <c r="Q136" s="287"/>
      <c r="R136" s="160"/>
      <c r="S136" s="160"/>
      <c r="T136" s="160"/>
    </row>
    <row r="137" spans="1:20" s="115" customFormat="1" ht="37.5" customHeight="1">
      <c r="A137" s="83" t="s">
        <v>529</v>
      </c>
      <c r="B137" s="142" t="str">
        <f>'дод. 3'!A68</f>
        <v>3012</v>
      </c>
      <c r="C137" s="142">
        <f>'дод. 3'!B68</f>
        <v>1060</v>
      </c>
      <c r="D137" s="106" t="str">
        <f>'дод. 3'!C68</f>
        <v>Надання субсидій населенню для відшкодування витрат на оплату житлово-комунальних послуг</v>
      </c>
      <c r="E137" s="85">
        <f>F137+I137</f>
        <v>705970900</v>
      </c>
      <c r="F137" s="85">
        <v>705970900</v>
      </c>
      <c r="G137" s="85"/>
      <c r="H137" s="85"/>
      <c r="I137" s="85"/>
      <c r="J137" s="85">
        <f>K137+N137</f>
        <v>0</v>
      </c>
      <c r="K137" s="85"/>
      <c r="L137" s="85"/>
      <c r="M137" s="85"/>
      <c r="N137" s="85"/>
      <c r="O137" s="85"/>
      <c r="P137" s="85">
        <f>E137+J137</f>
        <v>705970900</v>
      </c>
      <c r="Q137" s="287"/>
      <c r="R137" s="160"/>
      <c r="S137" s="160"/>
      <c r="T137" s="160"/>
    </row>
    <row r="138" spans="1:20" s="115" customFormat="1" ht="18" customHeight="1">
      <c r="A138" s="83"/>
      <c r="B138" s="142">
        <f>'дод. 3'!A69</f>
        <v>0</v>
      </c>
      <c r="C138" s="142">
        <f>'дод. 3'!B69</f>
        <v>0</v>
      </c>
      <c r="D138" s="106" t="str">
        <f>'дод. 3'!C69</f>
        <v>у т.ч. за рахунок субвенцій з держбюджету</v>
      </c>
      <c r="E138" s="85">
        <f>F138+I138</f>
        <v>705970900</v>
      </c>
      <c r="F138" s="85">
        <v>705970900</v>
      </c>
      <c r="G138" s="85"/>
      <c r="H138" s="85"/>
      <c r="I138" s="85"/>
      <c r="J138" s="85">
        <f>K138+N138</f>
        <v>0</v>
      </c>
      <c r="K138" s="85"/>
      <c r="L138" s="85"/>
      <c r="M138" s="85"/>
      <c r="N138" s="85"/>
      <c r="O138" s="85"/>
      <c r="P138" s="85">
        <f>E138+J138</f>
        <v>705970900</v>
      </c>
      <c r="Q138" s="287"/>
      <c r="R138" s="160"/>
      <c r="S138" s="160"/>
      <c r="T138" s="160"/>
    </row>
    <row r="139" spans="1:20" s="4" customFormat="1" ht="45" customHeight="1">
      <c r="A139" s="80" t="s">
        <v>530</v>
      </c>
      <c r="B139" s="137" t="str">
        <f>'дод. 3'!A70</f>
        <v>3020</v>
      </c>
      <c r="C139" s="137">
        <f>'дод. 3'!B70</f>
        <v>0</v>
      </c>
      <c r="D139" s="107" t="str">
        <f>'дод. 3'!C70</f>
        <v>Надання пільг та субсидій населенню на придбання твердого та рідкого пічного побутового палива і скрапленого газу</v>
      </c>
      <c r="E139" s="82">
        <f aca="true" t="shared" si="48" ref="E139:P139">E141+E143</f>
        <v>375400</v>
      </c>
      <c r="F139" s="82">
        <f t="shared" si="48"/>
        <v>375400</v>
      </c>
      <c r="G139" s="82">
        <f t="shared" si="48"/>
        <v>0</v>
      </c>
      <c r="H139" s="82">
        <f t="shared" si="48"/>
        <v>0</v>
      </c>
      <c r="I139" s="82">
        <f t="shared" si="48"/>
        <v>0</v>
      </c>
      <c r="J139" s="82">
        <f t="shared" si="48"/>
        <v>0</v>
      </c>
      <c r="K139" s="82">
        <f t="shared" si="48"/>
        <v>0</v>
      </c>
      <c r="L139" s="82">
        <f t="shared" si="48"/>
        <v>0</v>
      </c>
      <c r="M139" s="82">
        <f t="shared" si="48"/>
        <v>0</v>
      </c>
      <c r="N139" s="82">
        <f t="shared" si="48"/>
        <v>0</v>
      </c>
      <c r="O139" s="82">
        <f t="shared" si="48"/>
        <v>0</v>
      </c>
      <c r="P139" s="82">
        <f t="shared" si="48"/>
        <v>375400</v>
      </c>
      <c r="Q139" s="287">
        <v>9</v>
      </c>
      <c r="R139" s="163"/>
      <c r="S139" s="163"/>
      <c r="T139" s="163"/>
    </row>
    <row r="140" spans="1:20" s="4" customFormat="1" ht="15">
      <c r="A140" s="80"/>
      <c r="B140" s="137">
        <f>'дод. 3'!A71</f>
        <v>0</v>
      </c>
      <c r="C140" s="137">
        <f>'дод. 3'!B71</f>
        <v>0</v>
      </c>
      <c r="D140" s="107" t="str">
        <f>'дод. 3'!C71</f>
        <v>у т.ч. за рахунок субвенцій з держбюджету</v>
      </c>
      <c r="E140" s="82">
        <f aca="true" t="shared" si="49" ref="E140:P140">E142+E144</f>
        <v>375400</v>
      </c>
      <c r="F140" s="82">
        <f t="shared" si="49"/>
        <v>375400</v>
      </c>
      <c r="G140" s="82">
        <f t="shared" si="49"/>
        <v>0</v>
      </c>
      <c r="H140" s="82">
        <f t="shared" si="49"/>
        <v>0</v>
      </c>
      <c r="I140" s="82">
        <f t="shared" si="49"/>
        <v>0</v>
      </c>
      <c r="J140" s="82">
        <f t="shared" si="49"/>
        <v>0</v>
      </c>
      <c r="K140" s="82">
        <f t="shared" si="49"/>
        <v>0</v>
      </c>
      <c r="L140" s="82">
        <f t="shared" si="49"/>
        <v>0</v>
      </c>
      <c r="M140" s="82">
        <f t="shared" si="49"/>
        <v>0</v>
      </c>
      <c r="N140" s="82">
        <f t="shared" si="49"/>
        <v>0</v>
      </c>
      <c r="O140" s="82">
        <f t="shared" si="49"/>
        <v>0</v>
      </c>
      <c r="P140" s="82">
        <f t="shared" si="49"/>
        <v>375400</v>
      </c>
      <c r="Q140" s="287"/>
      <c r="R140" s="163"/>
      <c r="S140" s="163"/>
      <c r="T140" s="163"/>
    </row>
    <row r="141" spans="1:20" s="115" customFormat="1" ht="59.25" customHeight="1">
      <c r="A141" s="83" t="s">
        <v>531</v>
      </c>
      <c r="B141" s="142" t="str">
        <f>'дод. 3'!A72</f>
        <v>3021</v>
      </c>
      <c r="C141" s="142">
        <f>'дод. 3'!B72</f>
        <v>1030</v>
      </c>
      <c r="D141" s="106" t="str">
        <f>'дод. 3'!C72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41" s="85">
        <f>F141+I141</f>
        <v>57630</v>
      </c>
      <c r="F141" s="85">
        <v>57630</v>
      </c>
      <c r="G141" s="85"/>
      <c r="H141" s="85"/>
      <c r="I141" s="85"/>
      <c r="J141" s="85">
        <f>K141+N141</f>
        <v>0</v>
      </c>
      <c r="K141" s="85"/>
      <c r="L141" s="85"/>
      <c r="M141" s="85"/>
      <c r="N141" s="85"/>
      <c r="O141" s="85"/>
      <c r="P141" s="85">
        <f>E141+J141</f>
        <v>57630</v>
      </c>
      <c r="Q141" s="287"/>
      <c r="R141" s="160"/>
      <c r="S141" s="160"/>
      <c r="T141" s="160"/>
    </row>
    <row r="142" spans="1:20" s="115" customFormat="1" ht="15">
      <c r="A142" s="83"/>
      <c r="B142" s="142">
        <f>'дод. 3'!A73</f>
        <v>0</v>
      </c>
      <c r="C142" s="142">
        <f>'дод. 3'!B73</f>
        <v>0</v>
      </c>
      <c r="D142" s="106" t="str">
        <f>'дод. 3'!C73</f>
        <v>у т.ч. за рахунок субвенцій з держбюджету</v>
      </c>
      <c r="E142" s="85">
        <f>F142+I142</f>
        <v>57630</v>
      </c>
      <c r="F142" s="85">
        <v>57630</v>
      </c>
      <c r="G142" s="85"/>
      <c r="H142" s="85"/>
      <c r="I142" s="85"/>
      <c r="J142" s="85">
        <f>K142+N142</f>
        <v>0</v>
      </c>
      <c r="K142" s="85"/>
      <c r="L142" s="85"/>
      <c r="M142" s="85"/>
      <c r="N142" s="85"/>
      <c r="O142" s="85"/>
      <c r="P142" s="85">
        <f>E142+J142</f>
        <v>57630</v>
      </c>
      <c r="Q142" s="287"/>
      <c r="R142" s="160"/>
      <c r="S142" s="160"/>
      <c r="T142" s="160"/>
    </row>
    <row r="143" spans="1:20" s="115" customFormat="1" ht="49.5" customHeight="1">
      <c r="A143" s="83" t="s">
        <v>532</v>
      </c>
      <c r="B143" s="142" t="str">
        <f>'дод. 3'!A74</f>
        <v>3022</v>
      </c>
      <c r="C143" s="142">
        <f>'дод. 3'!B74</f>
        <v>1060</v>
      </c>
      <c r="D143" s="106" t="str">
        <f>'дод. 3'!C74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43" s="85">
        <f>F143+I143</f>
        <v>317770</v>
      </c>
      <c r="F143" s="85">
        <v>317770</v>
      </c>
      <c r="G143" s="85"/>
      <c r="H143" s="85"/>
      <c r="I143" s="85"/>
      <c r="J143" s="85">
        <f>K143+N143</f>
        <v>0</v>
      </c>
      <c r="K143" s="85"/>
      <c r="L143" s="85"/>
      <c r="M143" s="85"/>
      <c r="N143" s="85"/>
      <c r="O143" s="85"/>
      <c r="P143" s="85">
        <f>E143+J143</f>
        <v>317770</v>
      </c>
      <c r="Q143" s="287"/>
      <c r="R143" s="160"/>
      <c r="S143" s="160"/>
      <c r="T143" s="160"/>
    </row>
    <row r="144" spans="1:20" s="115" customFormat="1" ht="15">
      <c r="A144" s="83"/>
      <c r="B144" s="142">
        <f>'дод. 3'!A75</f>
        <v>0</v>
      </c>
      <c r="C144" s="142">
        <f>'дод. 3'!B75</f>
        <v>0</v>
      </c>
      <c r="D144" s="106" t="str">
        <f>'дод. 3'!C75</f>
        <v>у т.ч. за рахунок субвенцій з держбюджету</v>
      </c>
      <c r="E144" s="85">
        <f>F144+I144</f>
        <v>317770</v>
      </c>
      <c r="F144" s="85">
        <v>317770</v>
      </c>
      <c r="G144" s="85"/>
      <c r="H144" s="85"/>
      <c r="I144" s="85"/>
      <c r="J144" s="85">
        <f>K144+N144</f>
        <v>0</v>
      </c>
      <c r="K144" s="85"/>
      <c r="L144" s="85"/>
      <c r="M144" s="85"/>
      <c r="N144" s="85"/>
      <c r="O144" s="85"/>
      <c r="P144" s="85">
        <f>E144+J144</f>
        <v>317770</v>
      </c>
      <c r="Q144" s="287"/>
      <c r="R144" s="160"/>
      <c r="S144" s="160"/>
      <c r="T144" s="160"/>
    </row>
    <row r="145" spans="1:21" s="125" customFormat="1" ht="60">
      <c r="A145" s="86" t="s">
        <v>293</v>
      </c>
      <c r="B145" s="86" t="str">
        <f>'дод. 3'!A76</f>
        <v>3030</v>
      </c>
      <c r="C145" s="86">
        <f>'дод. 3'!B76</f>
        <v>0</v>
      </c>
      <c r="D145" s="107" t="str">
        <f>'дод. 3'!C76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45" s="88">
        <f>E146+E147+E148+E150+E149</f>
        <v>51416439.89</v>
      </c>
      <c r="F145" s="88">
        <f aca="true" t="shared" si="50" ref="F145:P145">F146+F147+F148+F150+F149</f>
        <v>51416439.89</v>
      </c>
      <c r="G145" s="88">
        <f t="shared" si="50"/>
        <v>0</v>
      </c>
      <c r="H145" s="88">
        <f t="shared" si="50"/>
        <v>0</v>
      </c>
      <c r="I145" s="88">
        <f t="shared" si="50"/>
        <v>0</v>
      </c>
      <c r="J145" s="88">
        <f t="shared" si="50"/>
        <v>214000</v>
      </c>
      <c r="K145" s="88">
        <f t="shared" si="50"/>
        <v>0</v>
      </c>
      <c r="L145" s="88">
        <f t="shared" si="50"/>
        <v>0</v>
      </c>
      <c r="M145" s="88">
        <f t="shared" si="50"/>
        <v>0</v>
      </c>
      <c r="N145" s="88">
        <f t="shared" si="50"/>
        <v>214000</v>
      </c>
      <c r="O145" s="88">
        <f t="shared" si="50"/>
        <v>214000</v>
      </c>
      <c r="P145" s="88">
        <f t="shared" si="50"/>
        <v>51630439.89</v>
      </c>
      <c r="Q145" s="287"/>
      <c r="R145" s="159"/>
      <c r="S145" s="159"/>
      <c r="T145" s="159"/>
      <c r="U145" s="130"/>
    </row>
    <row r="146" spans="1:20" s="126" customFormat="1" ht="36" customHeight="1">
      <c r="A146" s="83" t="s">
        <v>294</v>
      </c>
      <c r="B146" s="83" t="str">
        <f>'дод. 3'!A77</f>
        <v>3031</v>
      </c>
      <c r="C146" s="83" t="str">
        <f>'дод. 3'!B77</f>
        <v>1030</v>
      </c>
      <c r="D146" s="106" t="str">
        <f>'дод. 3'!C77</f>
        <v>Надання інших пільг окремим категоріям громадян відповідно до законодавства</v>
      </c>
      <c r="E146" s="85">
        <f>F146+I146</f>
        <v>371502</v>
      </c>
      <c r="F146" s="85">
        <v>371502</v>
      </c>
      <c r="G146" s="85"/>
      <c r="H146" s="85"/>
      <c r="I146" s="85"/>
      <c r="J146" s="85">
        <f>K146+N146</f>
        <v>214000</v>
      </c>
      <c r="K146" s="85"/>
      <c r="L146" s="85"/>
      <c r="M146" s="85"/>
      <c r="N146" s="85">
        <v>214000</v>
      </c>
      <c r="O146" s="85">
        <v>214000</v>
      </c>
      <c r="P146" s="85">
        <f>E146+J146</f>
        <v>585502</v>
      </c>
      <c r="Q146" s="287"/>
      <c r="R146" s="160"/>
      <c r="S146" s="160"/>
      <c r="T146" s="160"/>
    </row>
    <row r="147" spans="1:20" s="126" customFormat="1" ht="30">
      <c r="A147" s="83" t="s">
        <v>295</v>
      </c>
      <c r="B147" s="83" t="str">
        <f>'дод. 3'!A78</f>
        <v>3032</v>
      </c>
      <c r="C147" s="83" t="str">
        <f>'дод. 3'!B78</f>
        <v>1070</v>
      </c>
      <c r="D147" s="106" t="str">
        <f>'дод. 3'!C78</f>
        <v>Надання пільг окремим категоріям громадян з оплати послуг зв'язку</v>
      </c>
      <c r="E147" s="85">
        <f>F147+I147</f>
        <v>1541402</v>
      </c>
      <c r="F147" s="85">
        <v>1541402</v>
      </c>
      <c r="G147" s="85"/>
      <c r="H147" s="85"/>
      <c r="I147" s="85"/>
      <c r="J147" s="85">
        <f>K147+N147</f>
        <v>0</v>
      </c>
      <c r="K147" s="85"/>
      <c r="L147" s="85"/>
      <c r="M147" s="85"/>
      <c r="N147" s="85"/>
      <c r="O147" s="85"/>
      <c r="P147" s="85">
        <f>E147+J147</f>
        <v>1541402</v>
      </c>
      <c r="Q147" s="287"/>
      <c r="R147" s="160"/>
      <c r="S147" s="160"/>
      <c r="T147" s="160"/>
    </row>
    <row r="148" spans="1:20" s="126" customFormat="1" ht="45">
      <c r="A148" s="83" t="s">
        <v>296</v>
      </c>
      <c r="B148" s="83" t="str">
        <f>'дод. 3'!A79</f>
        <v>3033</v>
      </c>
      <c r="C148" s="83" t="str">
        <f>'дод. 3'!B79</f>
        <v>1070</v>
      </c>
      <c r="D148" s="106" t="str">
        <f>'дод. 3'!C79</f>
        <v>Компенсаційні виплати на пільговий проїзд автомобільним транспортом окремим категоріям громадян</v>
      </c>
      <c r="E148" s="85">
        <f>F148+I148</f>
        <v>14310109.89</v>
      </c>
      <c r="F148" s="85">
        <f>9466596+101200+4000000+491337.34+250976.55</f>
        <v>14310109.89</v>
      </c>
      <c r="G148" s="85"/>
      <c r="H148" s="85"/>
      <c r="I148" s="85"/>
      <c r="J148" s="85">
        <f>K148+N148</f>
        <v>0</v>
      </c>
      <c r="K148" s="85"/>
      <c r="L148" s="85"/>
      <c r="M148" s="85"/>
      <c r="N148" s="85"/>
      <c r="O148" s="85"/>
      <c r="P148" s="85">
        <f>E148+J148</f>
        <v>14310109.89</v>
      </c>
      <c r="Q148" s="287"/>
      <c r="R148" s="160"/>
      <c r="S148" s="160"/>
      <c r="T148" s="160"/>
    </row>
    <row r="149" spans="1:20" s="126" customFormat="1" ht="45">
      <c r="A149" s="83" t="s">
        <v>596</v>
      </c>
      <c r="B149" s="83" t="str">
        <f>'дод. 3'!A80</f>
        <v>3035</v>
      </c>
      <c r="C149" s="83" t="str">
        <f>'дод. 3'!B80</f>
        <v>1070</v>
      </c>
      <c r="D149" s="106" t="str">
        <f>'дод. 3'!C80</f>
        <v>Компенсаційні виплати за пільговий проїзд окремих категорій громадян на залізничному транспорті</v>
      </c>
      <c r="E149" s="85">
        <f>F149+I149</f>
        <v>2000000</v>
      </c>
      <c r="F149" s="85">
        <f>1000000+1000000</f>
        <v>2000000</v>
      </c>
      <c r="G149" s="85"/>
      <c r="H149" s="85"/>
      <c r="I149" s="85"/>
      <c r="J149" s="85">
        <f>K149+N149</f>
        <v>0</v>
      </c>
      <c r="K149" s="85"/>
      <c r="L149" s="85"/>
      <c r="M149" s="85"/>
      <c r="N149" s="85"/>
      <c r="O149" s="85"/>
      <c r="P149" s="85">
        <f>E149+J149</f>
        <v>2000000</v>
      </c>
      <c r="Q149" s="287"/>
      <c r="R149" s="160"/>
      <c r="S149" s="160"/>
      <c r="T149" s="160"/>
    </row>
    <row r="150" spans="1:20" s="126" customFormat="1" ht="49.5" customHeight="1">
      <c r="A150" s="83" t="s">
        <v>297</v>
      </c>
      <c r="B150" s="83" t="str">
        <f>'дод. 3'!A81</f>
        <v>3036</v>
      </c>
      <c r="C150" s="83" t="str">
        <f>'дод. 3'!B81</f>
        <v>1070</v>
      </c>
      <c r="D150" s="106" t="str">
        <f>'дод. 3'!C81</f>
        <v>Компенсаційні виплати на пільговий проїзд електротранспортом окремим категоріям громадян</v>
      </c>
      <c r="E150" s="85">
        <f>F150+I150</f>
        <v>33193426</v>
      </c>
      <c r="F150" s="85">
        <f>27193426+6000000</f>
        <v>33193426</v>
      </c>
      <c r="G150" s="85"/>
      <c r="H150" s="85"/>
      <c r="I150" s="85"/>
      <c r="J150" s="85">
        <f>K150+N150</f>
        <v>0</v>
      </c>
      <c r="K150" s="85"/>
      <c r="L150" s="85"/>
      <c r="M150" s="85"/>
      <c r="N150" s="85"/>
      <c r="O150" s="85"/>
      <c r="P150" s="85">
        <f>E150+J150</f>
        <v>33193426</v>
      </c>
      <c r="Q150" s="287"/>
      <c r="R150" s="160"/>
      <c r="S150" s="160"/>
      <c r="T150" s="160"/>
    </row>
    <row r="151" spans="1:20" s="135" customFormat="1" ht="51.75" customHeight="1">
      <c r="A151" s="137" t="s">
        <v>549</v>
      </c>
      <c r="B151" s="137" t="str">
        <f>'дод. 3'!A82</f>
        <v>3040</v>
      </c>
      <c r="C151" s="137">
        <f>'дод. 3'!B82</f>
        <v>0</v>
      </c>
      <c r="D151" s="107" t="str">
        <f>'дод. 3'!C82</f>
        <v>Надання допомоги сім'ям з дітьми, малозабезпеченим сім’ям, тимчасової допомоги дітям</v>
      </c>
      <c r="E151" s="82">
        <f aca="true" t="shared" si="51" ref="E151:P151">E153+E155+E157+E159+E161+E163+E165</f>
        <v>257256180</v>
      </c>
      <c r="F151" s="82">
        <f t="shared" si="51"/>
        <v>257256180</v>
      </c>
      <c r="G151" s="82">
        <f t="shared" si="51"/>
        <v>0</v>
      </c>
      <c r="H151" s="82">
        <f t="shared" si="51"/>
        <v>0</v>
      </c>
      <c r="I151" s="82">
        <f t="shared" si="51"/>
        <v>0</v>
      </c>
      <c r="J151" s="82">
        <f t="shared" si="51"/>
        <v>0</v>
      </c>
      <c r="K151" s="82">
        <f t="shared" si="51"/>
        <v>0</v>
      </c>
      <c r="L151" s="82">
        <f t="shared" si="51"/>
        <v>0</v>
      </c>
      <c r="M151" s="82">
        <f t="shared" si="51"/>
        <v>0</v>
      </c>
      <c r="N151" s="82">
        <f t="shared" si="51"/>
        <v>0</v>
      </c>
      <c r="O151" s="82">
        <f t="shared" si="51"/>
        <v>0</v>
      </c>
      <c r="P151" s="82">
        <f t="shared" si="51"/>
        <v>257256180</v>
      </c>
      <c r="Q151" s="287"/>
      <c r="R151" s="163"/>
      <c r="S151" s="163"/>
      <c r="T151" s="163"/>
    </row>
    <row r="152" spans="1:20" s="135" customFormat="1" ht="19.5" customHeight="1">
      <c r="A152" s="137"/>
      <c r="B152" s="137">
        <f>'дод. 3'!A83</f>
        <v>0</v>
      </c>
      <c r="C152" s="137">
        <f>'дод. 3'!B83</f>
        <v>0</v>
      </c>
      <c r="D152" s="107" t="str">
        <f>'дод. 3'!C83</f>
        <v>у т.ч. за рахунок субвенцій з держбюджету</v>
      </c>
      <c r="E152" s="82">
        <f aca="true" t="shared" si="52" ref="E152:P152">E154+E156+E158+E160+E162+E164+E166</f>
        <v>257256180</v>
      </c>
      <c r="F152" s="82">
        <f t="shared" si="52"/>
        <v>257256180</v>
      </c>
      <c r="G152" s="82">
        <f t="shared" si="52"/>
        <v>0</v>
      </c>
      <c r="H152" s="82">
        <f t="shared" si="52"/>
        <v>0</v>
      </c>
      <c r="I152" s="82">
        <f t="shared" si="52"/>
        <v>0</v>
      </c>
      <c r="J152" s="82">
        <f t="shared" si="52"/>
        <v>0</v>
      </c>
      <c r="K152" s="82">
        <f t="shared" si="52"/>
        <v>0</v>
      </c>
      <c r="L152" s="82">
        <f t="shared" si="52"/>
        <v>0</v>
      </c>
      <c r="M152" s="82">
        <f t="shared" si="52"/>
        <v>0</v>
      </c>
      <c r="N152" s="82">
        <f t="shared" si="52"/>
        <v>0</v>
      </c>
      <c r="O152" s="82">
        <f t="shared" si="52"/>
        <v>0</v>
      </c>
      <c r="P152" s="82">
        <f t="shared" si="52"/>
        <v>257256180</v>
      </c>
      <c r="Q152" s="287"/>
      <c r="R152" s="163"/>
      <c r="S152" s="163"/>
      <c r="T152" s="163"/>
    </row>
    <row r="153" spans="1:20" s="126" customFormat="1" ht="27" customHeight="1">
      <c r="A153" s="142" t="s">
        <v>550</v>
      </c>
      <c r="B153" s="142" t="str">
        <f>'дод. 3'!A84</f>
        <v>3041</v>
      </c>
      <c r="C153" s="142" t="str">
        <f>'дод. 3'!B84</f>
        <v>1040</v>
      </c>
      <c r="D153" s="106" t="str">
        <f>'дод. 3'!C84</f>
        <v>Надання допомоги у зв'язку з вагітністю і пологами</v>
      </c>
      <c r="E153" s="85">
        <f aca="true" t="shared" si="53" ref="E153:E167">F153+I153</f>
        <v>3598320</v>
      </c>
      <c r="F153" s="85">
        <v>3598320</v>
      </c>
      <c r="G153" s="85"/>
      <c r="H153" s="85"/>
      <c r="I153" s="85"/>
      <c r="J153" s="85">
        <f>K153+N153</f>
        <v>0</v>
      </c>
      <c r="K153" s="85"/>
      <c r="L153" s="85"/>
      <c r="M153" s="85"/>
      <c r="N153" s="85"/>
      <c r="O153" s="85"/>
      <c r="P153" s="85">
        <f aca="true" t="shared" si="54" ref="P153:P167">E153+J153</f>
        <v>3598320</v>
      </c>
      <c r="Q153" s="287"/>
      <c r="R153" s="160"/>
      <c r="S153" s="160"/>
      <c r="T153" s="160"/>
    </row>
    <row r="154" spans="1:20" s="126" customFormat="1" ht="19.5" customHeight="1">
      <c r="A154" s="142"/>
      <c r="B154" s="142">
        <f>'дод. 3'!A85</f>
        <v>0</v>
      </c>
      <c r="C154" s="142">
        <f>'дод. 3'!B85</f>
        <v>0</v>
      </c>
      <c r="D154" s="106" t="str">
        <f>'дод. 3'!C85</f>
        <v>у т.ч. за рахунок субвенцій з держбюджету</v>
      </c>
      <c r="E154" s="85">
        <f t="shared" si="53"/>
        <v>3598320</v>
      </c>
      <c r="F154" s="85">
        <v>3598320</v>
      </c>
      <c r="G154" s="85"/>
      <c r="H154" s="85"/>
      <c r="I154" s="85"/>
      <c r="J154" s="85">
        <f aca="true" t="shared" si="55" ref="J154:J166">K154+N154</f>
        <v>0</v>
      </c>
      <c r="K154" s="85"/>
      <c r="L154" s="85"/>
      <c r="M154" s="85"/>
      <c r="N154" s="85"/>
      <c r="O154" s="85"/>
      <c r="P154" s="85">
        <f t="shared" si="54"/>
        <v>3598320</v>
      </c>
      <c r="Q154" s="287"/>
      <c r="R154" s="160"/>
      <c r="S154" s="160"/>
      <c r="T154" s="160"/>
    </row>
    <row r="155" spans="1:20" s="126" customFormat="1" ht="21" customHeight="1">
      <c r="A155" s="142" t="s">
        <v>551</v>
      </c>
      <c r="B155" s="142" t="str">
        <f>'дод. 3'!A86</f>
        <v>3042</v>
      </c>
      <c r="C155" s="142" t="str">
        <f>'дод. 3'!B86</f>
        <v>1040</v>
      </c>
      <c r="D155" s="106" t="str">
        <f>'дод. 3'!C86</f>
        <v>Надання допомоги при усиновленні дитини</v>
      </c>
      <c r="E155" s="85">
        <f t="shared" si="53"/>
        <v>392160</v>
      </c>
      <c r="F155" s="85">
        <v>392160</v>
      </c>
      <c r="G155" s="85"/>
      <c r="H155" s="85"/>
      <c r="I155" s="85"/>
      <c r="J155" s="85">
        <f t="shared" si="55"/>
        <v>0</v>
      </c>
      <c r="K155" s="85"/>
      <c r="L155" s="85"/>
      <c r="M155" s="85"/>
      <c r="N155" s="85"/>
      <c r="O155" s="85"/>
      <c r="P155" s="85">
        <f t="shared" si="54"/>
        <v>392160</v>
      </c>
      <c r="Q155" s="287"/>
      <c r="R155" s="160"/>
      <c r="S155" s="160"/>
      <c r="T155" s="160"/>
    </row>
    <row r="156" spans="1:20" s="126" customFormat="1" ht="19.5" customHeight="1">
      <c r="A156" s="142"/>
      <c r="B156" s="142">
        <f>'дод. 3'!A87</f>
        <v>0</v>
      </c>
      <c r="C156" s="142">
        <f>'дод. 3'!B87</f>
        <v>0</v>
      </c>
      <c r="D156" s="106" t="str">
        <f>'дод. 3'!C87</f>
        <v>у т.ч. за рахунок субвенцій з держбюджету</v>
      </c>
      <c r="E156" s="85">
        <f t="shared" si="53"/>
        <v>392160</v>
      </c>
      <c r="F156" s="85">
        <v>392160</v>
      </c>
      <c r="G156" s="85"/>
      <c r="H156" s="85"/>
      <c r="I156" s="85"/>
      <c r="J156" s="85">
        <f t="shared" si="55"/>
        <v>0</v>
      </c>
      <c r="K156" s="85"/>
      <c r="L156" s="85"/>
      <c r="M156" s="85"/>
      <c r="N156" s="85"/>
      <c r="O156" s="85"/>
      <c r="P156" s="85">
        <f t="shared" si="54"/>
        <v>392160</v>
      </c>
      <c r="Q156" s="287"/>
      <c r="R156" s="160"/>
      <c r="S156" s="160"/>
      <c r="T156" s="160"/>
    </row>
    <row r="157" spans="1:20" s="126" customFormat="1" ht="19.5" customHeight="1">
      <c r="A157" s="142" t="s">
        <v>552</v>
      </c>
      <c r="B157" s="142" t="str">
        <f>'дод. 3'!A88</f>
        <v>3043</v>
      </c>
      <c r="C157" s="142" t="str">
        <f>'дод. 3'!B88</f>
        <v>1040</v>
      </c>
      <c r="D157" s="106" t="str">
        <f>'дод. 3'!C88</f>
        <v>Надання допомоги при народженні дитини</v>
      </c>
      <c r="E157" s="85">
        <f t="shared" si="53"/>
        <v>134165700</v>
      </c>
      <c r="F157" s="85">
        <v>134165700</v>
      </c>
      <c r="G157" s="85"/>
      <c r="H157" s="85"/>
      <c r="I157" s="85"/>
      <c r="J157" s="85">
        <f t="shared" si="55"/>
        <v>0</v>
      </c>
      <c r="K157" s="85"/>
      <c r="L157" s="85"/>
      <c r="M157" s="85"/>
      <c r="N157" s="85"/>
      <c r="O157" s="85"/>
      <c r="P157" s="85">
        <f t="shared" si="54"/>
        <v>134165700</v>
      </c>
      <c r="Q157" s="287"/>
      <c r="R157" s="160"/>
      <c r="S157" s="160"/>
      <c r="T157" s="160"/>
    </row>
    <row r="158" spans="1:20" s="126" customFormat="1" ht="19.5" customHeight="1">
      <c r="A158" s="142"/>
      <c r="B158" s="142">
        <f>'дод. 3'!A89</f>
        <v>0</v>
      </c>
      <c r="C158" s="142">
        <f>'дод. 3'!B89</f>
        <v>0</v>
      </c>
      <c r="D158" s="106" t="str">
        <f>'дод. 3'!C89</f>
        <v>у т.ч. за рахунок субвенцій з держбюджету</v>
      </c>
      <c r="E158" s="85">
        <f t="shared" si="53"/>
        <v>134165700</v>
      </c>
      <c r="F158" s="85">
        <v>134165700</v>
      </c>
      <c r="G158" s="85"/>
      <c r="H158" s="85"/>
      <c r="I158" s="85"/>
      <c r="J158" s="85">
        <f t="shared" si="55"/>
        <v>0</v>
      </c>
      <c r="K158" s="85"/>
      <c r="L158" s="85"/>
      <c r="M158" s="85"/>
      <c r="N158" s="85"/>
      <c r="O158" s="85"/>
      <c r="P158" s="85">
        <f t="shared" si="54"/>
        <v>134165700</v>
      </c>
      <c r="Q158" s="287"/>
      <c r="R158" s="160"/>
      <c r="S158" s="160"/>
      <c r="T158" s="160"/>
    </row>
    <row r="159" spans="1:20" s="126" customFormat="1" ht="30.75" customHeight="1">
      <c r="A159" s="142" t="s">
        <v>553</v>
      </c>
      <c r="B159" s="142" t="str">
        <f>'дод. 3'!A90</f>
        <v>3044</v>
      </c>
      <c r="C159" s="142" t="str">
        <f>'дод. 3'!B90</f>
        <v>1040</v>
      </c>
      <c r="D159" s="106" t="str">
        <f>'дод. 3'!C90</f>
        <v>Надання допомоги на дітей, над якими встановлено опіку чи піклування</v>
      </c>
      <c r="E159" s="85">
        <f t="shared" si="53"/>
        <v>10265200</v>
      </c>
      <c r="F159" s="85">
        <v>10265200</v>
      </c>
      <c r="G159" s="85"/>
      <c r="H159" s="85"/>
      <c r="I159" s="85"/>
      <c r="J159" s="85">
        <f t="shared" si="55"/>
        <v>0</v>
      </c>
      <c r="K159" s="85"/>
      <c r="L159" s="85"/>
      <c r="M159" s="85"/>
      <c r="N159" s="85"/>
      <c r="O159" s="85"/>
      <c r="P159" s="85">
        <f t="shared" si="54"/>
        <v>10265200</v>
      </c>
      <c r="Q159" s="287"/>
      <c r="R159" s="160"/>
      <c r="S159" s="160"/>
      <c r="T159" s="160"/>
    </row>
    <row r="160" spans="1:20" s="126" customFormat="1" ht="19.5" customHeight="1">
      <c r="A160" s="142"/>
      <c r="B160" s="142">
        <f>'дод. 3'!A91</f>
        <v>0</v>
      </c>
      <c r="C160" s="142">
        <f>'дод. 3'!B91</f>
        <v>0</v>
      </c>
      <c r="D160" s="106" t="str">
        <f>'дод. 3'!C91</f>
        <v>у т.ч. за рахунок субвенцій з держбюджету</v>
      </c>
      <c r="E160" s="85">
        <f t="shared" si="53"/>
        <v>10265200</v>
      </c>
      <c r="F160" s="85">
        <v>10265200</v>
      </c>
      <c r="G160" s="85"/>
      <c r="H160" s="85"/>
      <c r="I160" s="85"/>
      <c r="J160" s="85">
        <f t="shared" si="55"/>
        <v>0</v>
      </c>
      <c r="K160" s="85"/>
      <c r="L160" s="85"/>
      <c r="M160" s="85"/>
      <c r="N160" s="85"/>
      <c r="O160" s="85"/>
      <c r="P160" s="85">
        <f t="shared" si="54"/>
        <v>10265200</v>
      </c>
      <c r="Q160" s="287"/>
      <c r="R160" s="160"/>
      <c r="S160" s="160"/>
      <c r="T160" s="160"/>
    </row>
    <row r="161" spans="1:20" s="126" customFormat="1" ht="22.5" customHeight="1">
      <c r="A161" s="142" t="s">
        <v>554</v>
      </c>
      <c r="B161" s="142" t="str">
        <f>'дод. 3'!A92</f>
        <v>3045</v>
      </c>
      <c r="C161" s="142" t="str">
        <f>'дод. 3'!B92</f>
        <v>1040</v>
      </c>
      <c r="D161" s="106" t="str">
        <f>'дод. 3'!C92</f>
        <v>Надання допомоги на дітей одиноким матерям</v>
      </c>
      <c r="E161" s="85">
        <f t="shared" si="53"/>
        <v>50558840</v>
      </c>
      <c r="F161" s="85">
        <v>50558840</v>
      </c>
      <c r="G161" s="85"/>
      <c r="H161" s="85"/>
      <c r="I161" s="85"/>
      <c r="J161" s="85">
        <f t="shared" si="55"/>
        <v>0</v>
      </c>
      <c r="K161" s="85"/>
      <c r="L161" s="85"/>
      <c r="M161" s="85"/>
      <c r="N161" s="85"/>
      <c r="O161" s="85"/>
      <c r="P161" s="85">
        <f t="shared" si="54"/>
        <v>50558840</v>
      </c>
      <c r="Q161" s="287"/>
      <c r="R161" s="160"/>
      <c r="S161" s="160"/>
      <c r="T161" s="160"/>
    </row>
    <row r="162" spans="1:20" s="126" customFormat="1" ht="19.5" customHeight="1">
      <c r="A162" s="142"/>
      <c r="B162" s="142">
        <f>'дод. 3'!A93</f>
        <v>0</v>
      </c>
      <c r="C162" s="142">
        <f>'дод. 3'!B93</f>
        <v>0</v>
      </c>
      <c r="D162" s="106" t="str">
        <f>'дод. 3'!C93</f>
        <v>у т.ч. за рахунок субвенцій з держбюджету</v>
      </c>
      <c r="E162" s="85">
        <f t="shared" si="53"/>
        <v>50558840</v>
      </c>
      <c r="F162" s="85">
        <v>50558840</v>
      </c>
      <c r="G162" s="85"/>
      <c r="H162" s="85"/>
      <c r="I162" s="85"/>
      <c r="J162" s="85">
        <f t="shared" si="55"/>
        <v>0</v>
      </c>
      <c r="K162" s="85"/>
      <c r="L162" s="85"/>
      <c r="M162" s="85"/>
      <c r="N162" s="85"/>
      <c r="O162" s="85"/>
      <c r="P162" s="85">
        <f t="shared" si="54"/>
        <v>50558840</v>
      </c>
      <c r="Q162" s="287"/>
      <c r="R162" s="160"/>
      <c r="S162" s="160"/>
      <c r="T162" s="160"/>
    </row>
    <row r="163" spans="1:20" s="126" customFormat="1" ht="22.5" customHeight="1">
      <c r="A163" s="142" t="s">
        <v>555</v>
      </c>
      <c r="B163" s="142" t="str">
        <f>'дод. 3'!A94</f>
        <v>3046</v>
      </c>
      <c r="C163" s="142" t="str">
        <f>'дод. 3'!B94</f>
        <v>1040</v>
      </c>
      <c r="D163" s="106" t="str">
        <f>'дод. 3'!C94</f>
        <v>Надання тимчасової державної допомоги дітям</v>
      </c>
      <c r="E163" s="85">
        <f t="shared" si="53"/>
        <v>2245360</v>
      </c>
      <c r="F163" s="85">
        <v>2245360</v>
      </c>
      <c r="G163" s="85"/>
      <c r="H163" s="85"/>
      <c r="I163" s="85"/>
      <c r="J163" s="85">
        <f t="shared" si="55"/>
        <v>0</v>
      </c>
      <c r="K163" s="85"/>
      <c r="L163" s="85"/>
      <c r="M163" s="85"/>
      <c r="N163" s="85"/>
      <c r="O163" s="85"/>
      <c r="P163" s="85">
        <f t="shared" si="54"/>
        <v>2245360</v>
      </c>
      <c r="Q163" s="287"/>
      <c r="R163" s="160"/>
      <c r="S163" s="160"/>
      <c r="T163" s="160"/>
    </row>
    <row r="164" spans="1:20" s="126" customFormat="1" ht="19.5" customHeight="1">
      <c r="A164" s="142"/>
      <c r="B164" s="142">
        <f>'дод. 3'!A95</f>
        <v>0</v>
      </c>
      <c r="C164" s="142">
        <f>'дод. 3'!B95</f>
        <v>0</v>
      </c>
      <c r="D164" s="106" t="str">
        <f>'дод. 3'!C95</f>
        <v>у т.ч. за рахунок субвенцій з держбюджету</v>
      </c>
      <c r="E164" s="85">
        <f t="shared" si="53"/>
        <v>2245360</v>
      </c>
      <c r="F164" s="85">
        <v>2245360</v>
      </c>
      <c r="G164" s="85"/>
      <c r="H164" s="85"/>
      <c r="I164" s="85"/>
      <c r="J164" s="85">
        <f t="shared" si="55"/>
        <v>0</v>
      </c>
      <c r="K164" s="85"/>
      <c r="L164" s="85"/>
      <c r="M164" s="85"/>
      <c r="N164" s="85"/>
      <c r="O164" s="85"/>
      <c r="P164" s="85">
        <f t="shared" si="54"/>
        <v>2245360</v>
      </c>
      <c r="Q164" s="287"/>
      <c r="R164" s="160"/>
      <c r="S164" s="160"/>
      <c r="T164" s="160"/>
    </row>
    <row r="165" spans="1:20" s="126" customFormat="1" ht="31.5" customHeight="1">
      <c r="A165" s="142" t="s">
        <v>556</v>
      </c>
      <c r="B165" s="142" t="str">
        <f>'дод. 3'!A96</f>
        <v>3047</v>
      </c>
      <c r="C165" s="142" t="str">
        <f>'дод. 3'!B96</f>
        <v>1040</v>
      </c>
      <c r="D165" s="106" t="str">
        <f>'дод. 3'!C96</f>
        <v>Надання державної соціальної допомоги малозабезпеченим сім’ям</v>
      </c>
      <c r="E165" s="85">
        <f t="shared" si="53"/>
        <v>56030600</v>
      </c>
      <c r="F165" s="85">
        <v>56030600</v>
      </c>
      <c r="G165" s="85"/>
      <c r="H165" s="85"/>
      <c r="I165" s="85"/>
      <c r="J165" s="85">
        <f t="shared" si="55"/>
        <v>0</v>
      </c>
      <c r="K165" s="85"/>
      <c r="L165" s="85"/>
      <c r="M165" s="85"/>
      <c r="N165" s="85"/>
      <c r="O165" s="85"/>
      <c r="P165" s="85">
        <f t="shared" si="54"/>
        <v>56030600</v>
      </c>
      <c r="Q165" s="287"/>
      <c r="R165" s="160"/>
      <c r="S165" s="160"/>
      <c r="T165" s="160"/>
    </row>
    <row r="166" spans="1:20" s="126" customFormat="1" ht="19.5" customHeight="1">
      <c r="A166" s="142"/>
      <c r="B166" s="142">
        <f>'дод. 3'!A97</f>
        <v>0</v>
      </c>
      <c r="C166" s="142">
        <f>'дод. 3'!B97</f>
        <v>0</v>
      </c>
      <c r="D166" s="106" t="str">
        <f>'дод. 3'!C97</f>
        <v>у т.ч. за рахунок субвенцій з держбюджету</v>
      </c>
      <c r="E166" s="85">
        <f t="shared" si="53"/>
        <v>56030600</v>
      </c>
      <c r="F166" s="85">
        <v>56030600</v>
      </c>
      <c r="G166" s="85"/>
      <c r="H166" s="85"/>
      <c r="I166" s="85"/>
      <c r="J166" s="85">
        <f t="shared" si="55"/>
        <v>0</v>
      </c>
      <c r="K166" s="85"/>
      <c r="L166" s="85"/>
      <c r="M166" s="85"/>
      <c r="N166" s="85"/>
      <c r="O166" s="85"/>
      <c r="P166" s="85">
        <f t="shared" si="54"/>
        <v>56030600</v>
      </c>
      <c r="Q166" s="287"/>
      <c r="R166" s="160"/>
      <c r="S166" s="160"/>
      <c r="T166" s="160"/>
    </row>
    <row r="167" spans="1:20" s="4" customFormat="1" ht="45.75" customHeight="1">
      <c r="A167" s="86" t="s">
        <v>298</v>
      </c>
      <c r="B167" s="86" t="str">
        <f>'дод. 3'!A98</f>
        <v>3050</v>
      </c>
      <c r="C167" s="86" t="str">
        <f>'дод. 3'!B98</f>
        <v>1070</v>
      </c>
      <c r="D167" s="107" t="str">
        <f>'дод. 3'!C98</f>
        <v>Пільгове медичне обслуговування осіб, які постраждали внаслідок Чорнобильської катастрофи</v>
      </c>
      <c r="E167" s="88">
        <f t="shared" si="53"/>
        <v>625100</v>
      </c>
      <c r="F167" s="88">
        <f>578335+625100-578335</f>
        <v>625100</v>
      </c>
      <c r="G167" s="88"/>
      <c r="H167" s="88"/>
      <c r="I167" s="88"/>
      <c r="J167" s="88">
        <f>K167+N167</f>
        <v>0</v>
      </c>
      <c r="K167" s="88"/>
      <c r="L167" s="88"/>
      <c r="M167" s="88"/>
      <c r="N167" s="88"/>
      <c r="O167" s="88"/>
      <c r="P167" s="88">
        <f t="shared" si="54"/>
        <v>625100</v>
      </c>
      <c r="Q167" s="287"/>
      <c r="R167" s="158"/>
      <c r="S167" s="158"/>
      <c r="T167" s="158"/>
    </row>
    <row r="168" spans="1:20" s="4" customFormat="1" ht="153.75" customHeight="1">
      <c r="A168" s="86" t="s">
        <v>571</v>
      </c>
      <c r="B168" s="86" t="str">
        <f>'дод. 3'!A99</f>
        <v>3080</v>
      </c>
      <c r="C168" s="86">
        <f>'дод. 3'!B99</f>
        <v>0</v>
      </c>
      <c r="D168" s="87" t="s">
        <v>563</v>
      </c>
      <c r="E168" s="88">
        <f aca="true" t="shared" si="56" ref="E168:P168">E170+E172+E174+E176+E178</f>
        <v>97227520</v>
      </c>
      <c r="F168" s="88">
        <f t="shared" si="56"/>
        <v>97227520</v>
      </c>
      <c r="G168" s="88">
        <f t="shared" si="56"/>
        <v>0</v>
      </c>
      <c r="H168" s="88">
        <f t="shared" si="56"/>
        <v>0</v>
      </c>
      <c r="I168" s="88">
        <f t="shared" si="56"/>
        <v>0</v>
      </c>
      <c r="J168" s="88">
        <f t="shared" si="56"/>
        <v>0</v>
      </c>
      <c r="K168" s="88">
        <f t="shared" si="56"/>
        <v>0</v>
      </c>
      <c r="L168" s="88">
        <f t="shared" si="56"/>
        <v>0</v>
      </c>
      <c r="M168" s="88">
        <f t="shared" si="56"/>
        <v>0</v>
      </c>
      <c r="N168" s="88">
        <f t="shared" si="56"/>
        <v>0</v>
      </c>
      <c r="O168" s="88">
        <f t="shared" si="56"/>
        <v>0</v>
      </c>
      <c r="P168" s="88">
        <f t="shared" si="56"/>
        <v>97227520</v>
      </c>
      <c r="Q168" s="287"/>
      <c r="R168" s="166"/>
      <c r="S168" s="166"/>
      <c r="T168" s="166"/>
    </row>
    <row r="169" spans="1:20" s="4" customFormat="1" ht="24.75" customHeight="1">
      <c r="A169" s="86"/>
      <c r="B169" s="86">
        <f>'дод. 3'!A100</f>
        <v>0</v>
      </c>
      <c r="C169" s="86">
        <f>'дод. 3'!B100</f>
        <v>0</v>
      </c>
      <c r="D169" s="107" t="str">
        <f>'дод. 3'!C100</f>
        <v>у т.ч. за рахунок субвенцій з держбюджету</v>
      </c>
      <c r="E169" s="88">
        <f aca="true" t="shared" si="57" ref="E169:P169">E171+E173+E175+E177+E179</f>
        <v>97227520</v>
      </c>
      <c r="F169" s="88">
        <f t="shared" si="57"/>
        <v>97227520</v>
      </c>
      <c r="G169" s="88">
        <f t="shared" si="57"/>
        <v>0</v>
      </c>
      <c r="H169" s="88">
        <f t="shared" si="57"/>
        <v>0</v>
      </c>
      <c r="I169" s="88">
        <f t="shared" si="57"/>
        <v>0</v>
      </c>
      <c r="J169" s="88">
        <f t="shared" si="57"/>
        <v>0</v>
      </c>
      <c r="K169" s="88">
        <f t="shared" si="57"/>
        <v>0</v>
      </c>
      <c r="L169" s="88">
        <f t="shared" si="57"/>
        <v>0</v>
      </c>
      <c r="M169" s="88">
        <f t="shared" si="57"/>
        <v>0</v>
      </c>
      <c r="N169" s="88">
        <f t="shared" si="57"/>
        <v>0</v>
      </c>
      <c r="O169" s="88">
        <f t="shared" si="57"/>
        <v>0</v>
      </c>
      <c r="P169" s="88">
        <f t="shared" si="57"/>
        <v>97227520</v>
      </c>
      <c r="Q169" s="270"/>
      <c r="R169" s="166"/>
      <c r="S169" s="166"/>
      <c r="T169" s="166"/>
    </row>
    <row r="170" spans="1:20" s="115" customFormat="1" ht="48.75" customHeight="1">
      <c r="A170" s="83" t="s">
        <v>572</v>
      </c>
      <c r="B170" s="83" t="str">
        <f>'дод. 3'!A101</f>
        <v>3081</v>
      </c>
      <c r="C170" s="83" t="str">
        <f>'дод. 3'!B101</f>
        <v>1010</v>
      </c>
      <c r="D170" s="106" t="str">
        <f>'дод. 3'!C101</f>
        <v>Надання державної соціальної допомоги особам з інвалідністю з дитинства та дітям з інвалідністю</v>
      </c>
      <c r="E170" s="85">
        <f aca="true" t="shared" si="58" ref="E170:E180">F170+I170</f>
        <v>62044050</v>
      </c>
      <c r="F170" s="85">
        <v>62044050</v>
      </c>
      <c r="G170" s="85"/>
      <c r="H170" s="85"/>
      <c r="I170" s="85"/>
      <c r="J170" s="85">
        <f>K170+N170</f>
        <v>0</v>
      </c>
      <c r="K170" s="85"/>
      <c r="L170" s="85"/>
      <c r="M170" s="85"/>
      <c r="N170" s="85"/>
      <c r="O170" s="85"/>
      <c r="P170" s="85">
        <f aca="true" t="shared" si="59" ref="P170:P180">E170+J170</f>
        <v>62044050</v>
      </c>
      <c r="Q170" s="287">
        <v>10</v>
      </c>
      <c r="R170" s="160"/>
      <c r="S170" s="160"/>
      <c r="T170" s="160"/>
    </row>
    <row r="171" spans="1:20" s="115" customFormat="1" ht="25.5" customHeight="1">
      <c r="A171" s="83"/>
      <c r="B171" s="83">
        <f>'дод. 3'!A102</f>
        <v>0</v>
      </c>
      <c r="C171" s="83">
        <f>'дод. 3'!B102</f>
        <v>0</v>
      </c>
      <c r="D171" s="106" t="str">
        <f>'дод. 3'!C102</f>
        <v>у т.ч. за рахунок субвенцій з держбюджету</v>
      </c>
      <c r="E171" s="85">
        <f t="shared" si="58"/>
        <v>62044050</v>
      </c>
      <c r="F171" s="85">
        <v>62044050</v>
      </c>
      <c r="G171" s="85"/>
      <c r="H171" s="85"/>
      <c r="I171" s="85"/>
      <c r="J171" s="85">
        <f aca="true" t="shared" si="60" ref="J171:J179">K171+N171</f>
        <v>0</v>
      </c>
      <c r="K171" s="85"/>
      <c r="L171" s="85"/>
      <c r="M171" s="85"/>
      <c r="N171" s="85"/>
      <c r="O171" s="85"/>
      <c r="P171" s="85">
        <f t="shared" si="59"/>
        <v>62044050</v>
      </c>
      <c r="Q171" s="287"/>
      <c r="R171" s="160"/>
      <c r="S171" s="160"/>
      <c r="T171" s="160"/>
    </row>
    <row r="172" spans="1:20" s="115" customFormat="1" ht="63" customHeight="1">
      <c r="A172" s="83" t="s">
        <v>573</v>
      </c>
      <c r="B172" s="83" t="str">
        <f>'дод. 3'!A103</f>
        <v>3082</v>
      </c>
      <c r="C172" s="83" t="str">
        <f>'дод. 3'!B103</f>
        <v>1010</v>
      </c>
      <c r="D172" s="106" t="str">
        <f>'дод. 3'!C103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72" s="85">
        <f t="shared" si="58"/>
        <v>12251650</v>
      </c>
      <c r="F172" s="85">
        <v>12251650</v>
      </c>
      <c r="G172" s="85"/>
      <c r="H172" s="85"/>
      <c r="I172" s="85"/>
      <c r="J172" s="85">
        <f t="shared" si="60"/>
        <v>0</v>
      </c>
      <c r="K172" s="85"/>
      <c r="L172" s="85"/>
      <c r="M172" s="85"/>
      <c r="N172" s="85"/>
      <c r="O172" s="85"/>
      <c r="P172" s="85">
        <f t="shared" si="59"/>
        <v>12251650</v>
      </c>
      <c r="Q172" s="287"/>
      <c r="R172" s="160"/>
      <c r="S172" s="160"/>
      <c r="T172" s="160"/>
    </row>
    <row r="173" spans="1:20" s="115" customFormat="1" ht="21" customHeight="1">
      <c r="A173" s="83"/>
      <c r="B173" s="83">
        <f>'дод. 3'!A104</f>
        <v>0</v>
      </c>
      <c r="C173" s="83">
        <f>'дод. 3'!B104</f>
        <v>0</v>
      </c>
      <c r="D173" s="106" t="str">
        <f>'дод. 3'!C104</f>
        <v>у т.ч. за рахунок субвенцій з держбюджету</v>
      </c>
      <c r="E173" s="85">
        <f t="shared" si="58"/>
        <v>12251650</v>
      </c>
      <c r="F173" s="85">
        <v>12251650</v>
      </c>
      <c r="G173" s="85"/>
      <c r="H173" s="85"/>
      <c r="I173" s="85"/>
      <c r="J173" s="85">
        <f t="shared" si="60"/>
        <v>0</v>
      </c>
      <c r="K173" s="85"/>
      <c r="L173" s="85"/>
      <c r="M173" s="85"/>
      <c r="N173" s="85"/>
      <c r="O173" s="85"/>
      <c r="P173" s="85">
        <f t="shared" si="59"/>
        <v>12251650</v>
      </c>
      <c r="Q173" s="287"/>
      <c r="R173" s="160"/>
      <c r="S173" s="160"/>
      <c r="T173" s="160"/>
    </row>
    <row r="174" spans="1:20" s="115" customFormat="1" ht="51.75" customHeight="1">
      <c r="A174" s="83" t="s">
        <v>574</v>
      </c>
      <c r="B174" s="83" t="str">
        <f>'дод. 3'!A105</f>
        <v>3083</v>
      </c>
      <c r="C174" s="83" t="str">
        <f>'дод. 3'!B105</f>
        <v>1010</v>
      </c>
      <c r="D174" s="106" t="str">
        <f>'дод. 3'!C105</f>
        <v>Надання допомоги по догляду за особами з інвалідністю I чи II групи внаслідок психічного розладу</v>
      </c>
      <c r="E174" s="85">
        <f t="shared" si="58"/>
        <v>11516480</v>
      </c>
      <c r="F174" s="85">
        <v>11516480</v>
      </c>
      <c r="G174" s="85"/>
      <c r="H174" s="85"/>
      <c r="I174" s="85"/>
      <c r="J174" s="85">
        <f t="shared" si="60"/>
        <v>0</v>
      </c>
      <c r="K174" s="85"/>
      <c r="L174" s="85"/>
      <c r="M174" s="85"/>
      <c r="N174" s="85"/>
      <c r="O174" s="85"/>
      <c r="P174" s="85">
        <f>E174+J174</f>
        <v>11516480</v>
      </c>
      <c r="Q174" s="287"/>
      <c r="R174" s="160"/>
      <c r="S174" s="160"/>
      <c r="T174" s="160"/>
    </row>
    <row r="175" spans="1:20" s="115" customFormat="1" ht="22.5" customHeight="1">
      <c r="A175" s="83"/>
      <c r="B175" s="83">
        <f>'дод. 3'!A106</f>
        <v>0</v>
      </c>
      <c r="C175" s="83">
        <f>'дод. 3'!B106</f>
        <v>0</v>
      </c>
      <c r="D175" s="106" t="str">
        <f>'дод. 3'!C106</f>
        <v>у т.ч. за рахунок субвенцій з держбюджету</v>
      </c>
      <c r="E175" s="85">
        <f t="shared" si="58"/>
        <v>11516480</v>
      </c>
      <c r="F175" s="85">
        <v>11516480</v>
      </c>
      <c r="G175" s="85"/>
      <c r="H175" s="85"/>
      <c r="I175" s="85"/>
      <c r="J175" s="85">
        <f t="shared" si="60"/>
        <v>0</v>
      </c>
      <c r="K175" s="85"/>
      <c r="L175" s="85"/>
      <c r="M175" s="85"/>
      <c r="N175" s="85"/>
      <c r="O175" s="85"/>
      <c r="P175" s="85">
        <f>E175+J175</f>
        <v>11516480</v>
      </c>
      <c r="Q175" s="287"/>
      <c r="R175" s="160"/>
      <c r="S175" s="160"/>
      <c r="T175" s="160"/>
    </row>
    <row r="176" spans="1:20" s="115" customFormat="1" ht="62.25" customHeight="1">
      <c r="A176" s="83" t="s">
        <v>575</v>
      </c>
      <c r="B176" s="83" t="str">
        <f>'дод. 3'!A107</f>
        <v>3084</v>
      </c>
      <c r="C176" s="83" t="str">
        <f>'дод. 3'!B107</f>
        <v>1040</v>
      </c>
      <c r="D176" s="106" t="str">
        <f>'дод. 3'!C107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76" s="85">
        <f t="shared" si="58"/>
        <v>11267070</v>
      </c>
      <c r="F176" s="85">
        <v>11267070</v>
      </c>
      <c r="G176" s="85"/>
      <c r="H176" s="85"/>
      <c r="I176" s="85"/>
      <c r="J176" s="85">
        <f t="shared" si="60"/>
        <v>0</v>
      </c>
      <c r="K176" s="85"/>
      <c r="L176" s="85"/>
      <c r="M176" s="85"/>
      <c r="N176" s="85"/>
      <c r="O176" s="85"/>
      <c r="P176" s="85">
        <f>E176+J176</f>
        <v>11267070</v>
      </c>
      <c r="Q176" s="287"/>
      <c r="R176" s="160"/>
      <c r="S176" s="160"/>
      <c r="T176" s="160"/>
    </row>
    <row r="177" spans="1:20" s="115" customFormat="1" ht="27.75" customHeight="1">
      <c r="A177" s="83"/>
      <c r="B177" s="83">
        <f>'дод. 3'!A108</f>
        <v>0</v>
      </c>
      <c r="C177" s="83">
        <f>'дод. 3'!B108</f>
        <v>0</v>
      </c>
      <c r="D177" s="106" t="str">
        <f>'дод. 3'!C108</f>
        <v>у т.ч. за рахунок субвенцій з держбюджету</v>
      </c>
      <c r="E177" s="85">
        <f t="shared" si="58"/>
        <v>11267070</v>
      </c>
      <c r="F177" s="85">
        <v>11267070</v>
      </c>
      <c r="G177" s="85"/>
      <c r="H177" s="85"/>
      <c r="I177" s="85"/>
      <c r="J177" s="85">
        <f t="shared" si="60"/>
        <v>0</v>
      </c>
      <c r="K177" s="85"/>
      <c r="L177" s="85"/>
      <c r="M177" s="85"/>
      <c r="N177" s="85"/>
      <c r="O177" s="85"/>
      <c r="P177" s="85">
        <f>E177+J177</f>
        <v>11267070</v>
      </c>
      <c r="Q177" s="287"/>
      <c r="R177" s="160"/>
      <c r="S177" s="160"/>
      <c r="T177" s="160"/>
    </row>
    <row r="178" spans="1:20" s="115" customFormat="1" ht="60.75" customHeight="1">
      <c r="A178" s="83" t="s">
        <v>576</v>
      </c>
      <c r="B178" s="83" t="str">
        <f>'дод. 3'!A109</f>
        <v>3085</v>
      </c>
      <c r="C178" s="83" t="str">
        <f>'дод. 3'!B109</f>
        <v>1010</v>
      </c>
      <c r="D178" s="106" t="str">
        <f>'дод. 3'!C109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78" s="85">
        <f t="shared" si="58"/>
        <v>148270</v>
      </c>
      <c r="F178" s="85">
        <v>148270</v>
      </c>
      <c r="G178" s="85"/>
      <c r="H178" s="85"/>
      <c r="I178" s="85"/>
      <c r="J178" s="85">
        <f t="shared" si="60"/>
        <v>0</v>
      </c>
      <c r="K178" s="85"/>
      <c r="L178" s="85"/>
      <c r="M178" s="85"/>
      <c r="N178" s="85"/>
      <c r="O178" s="85"/>
      <c r="P178" s="85">
        <f t="shared" si="59"/>
        <v>148270</v>
      </c>
      <c r="Q178" s="287"/>
      <c r="R178" s="160"/>
      <c r="S178" s="160"/>
      <c r="T178" s="160"/>
    </row>
    <row r="179" spans="1:20" s="115" customFormat="1" ht="24.75" customHeight="1">
      <c r="A179" s="83"/>
      <c r="B179" s="83">
        <f>'дод. 3'!A110</f>
        <v>0</v>
      </c>
      <c r="C179" s="83">
        <f>'дод. 3'!B110</f>
        <v>0</v>
      </c>
      <c r="D179" s="106" t="str">
        <f>'дод. 3'!C110</f>
        <v>у т.ч. за рахунок субвенцій з держбюджету</v>
      </c>
      <c r="E179" s="85">
        <f t="shared" si="58"/>
        <v>148270</v>
      </c>
      <c r="F179" s="85">
        <v>148270</v>
      </c>
      <c r="G179" s="85"/>
      <c r="H179" s="85"/>
      <c r="I179" s="85"/>
      <c r="J179" s="85">
        <f t="shared" si="60"/>
        <v>0</v>
      </c>
      <c r="K179" s="85"/>
      <c r="L179" s="85"/>
      <c r="M179" s="85"/>
      <c r="N179" s="85"/>
      <c r="O179" s="85"/>
      <c r="P179" s="85">
        <f t="shared" si="59"/>
        <v>148270</v>
      </c>
      <c r="Q179" s="287"/>
      <c r="R179" s="160"/>
      <c r="S179" s="160"/>
      <c r="T179" s="160"/>
    </row>
    <row r="180" spans="1:20" s="4" customFormat="1" ht="30.75" customHeight="1">
      <c r="A180" s="86" t="s">
        <v>501</v>
      </c>
      <c r="B180" s="86" t="str">
        <f>'дод. 3'!A111</f>
        <v>3090</v>
      </c>
      <c r="C180" s="86" t="str">
        <f>'дод. 3'!B111</f>
        <v>1030</v>
      </c>
      <c r="D180" s="107" t="str">
        <f>'дод. 3'!C111</f>
        <v>Видатки на поховання учасників бойових дій та осіб з інвалідністю внаслідок війни</v>
      </c>
      <c r="E180" s="88">
        <f t="shared" si="58"/>
        <v>200700</v>
      </c>
      <c r="F180" s="88">
        <v>200700</v>
      </c>
      <c r="G180" s="88"/>
      <c r="H180" s="88"/>
      <c r="I180" s="88"/>
      <c r="J180" s="88">
        <f>K180+N180</f>
        <v>0</v>
      </c>
      <c r="K180" s="88"/>
      <c r="L180" s="88"/>
      <c r="M180" s="88"/>
      <c r="N180" s="88"/>
      <c r="O180" s="88"/>
      <c r="P180" s="88">
        <f t="shared" si="59"/>
        <v>200700</v>
      </c>
      <c r="Q180" s="287"/>
      <c r="R180" s="158"/>
      <c r="S180" s="158"/>
      <c r="T180" s="158"/>
    </row>
    <row r="181" spans="1:20" s="4" customFormat="1" ht="62.25" customHeight="1">
      <c r="A181" s="86" t="s">
        <v>299</v>
      </c>
      <c r="B181" s="86" t="str">
        <f>'дод. 3'!A112</f>
        <v>3100</v>
      </c>
      <c r="C181" s="86">
        <f>'дод. 3'!B112</f>
        <v>0</v>
      </c>
      <c r="D181" s="107" t="str">
        <f>'дод. 3'!C112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181" s="88">
        <f>E182</f>
        <v>9327875</v>
      </c>
      <c r="F181" s="88">
        <f aca="true" t="shared" si="61" ref="F181:P181">F182</f>
        <v>9327875</v>
      </c>
      <c r="G181" s="88">
        <f t="shared" si="61"/>
        <v>7009500</v>
      </c>
      <c r="H181" s="88">
        <f t="shared" si="61"/>
        <v>193245</v>
      </c>
      <c r="I181" s="88">
        <f t="shared" si="61"/>
        <v>0</v>
      </c>
      <c r="J181" s="88">
        <f t="shared" si="61"/>
        <v>76400</v>
      </c>
      <c r="K181" s="88">
        <f t="shared" si="61"/>
        <v>57900</v>
      </c>
      <c r="L181" s="88">
        <f t="shared" si="61"/>
        <v>44700</v>
      </c>
      <c r="M181" s="88">
        <f t="shared" si="61"/>
        <v>0</v>
      </c>
      <c r="N181" s="88">
        <f t="shared" si="61"/>
        <v>18500</v>
      </c>
      <c r="O181" s="88">
        <f t="shared" si="61"/>
        <v>18500</v>
      </c>
      <c r="P181" s="88">
        <f t="shared" si="61"/>
        <v>9404275</v>
      </c>
      <c r="Q181" s="287"/>
      <c r="R181" s="159"/>
      <c r="S181" s="159"/>
      <c r="T181" s="159"/>
    </row>
    <row r="182" spans="1:20" s="115" customFormat="1" ht="60">
      <c r="A182" s="83" t="s">
        <v>300</v>
      </c>
      <c r="B182" s="83" t="str">
        <f>'дод. 3'!A113</f>
        <v>3104</v>
      </c>
      <c r="C182" s="83" t="str">
        <f>'дод. 3'!B113</f>
        <v>1020</v>
      </c>
      <c r="D182" s="106" t="str">
        <f>'дод. 3'!C113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82" s="85">
        <f>F182+I182</f>
        <v>9327875</v>
      </c>
      <c r="F182" s="85">
        <f>9191915+74560+36400+15000+5000+5000</f>
        <v>9327875</v>
      </c>
      <c r="G182" s="85">
        <f>6946900+62600</f>
        <v>7009500</v>
      </c>
      <c r="H182" s="85">
        <v>193245</v>
      </c>
      <c r="I182" s="85"/>
      <c r="J182" s="85">
        <f>K182+N182</f>
        <v>76400</v>
      </c>
      <c r="K182" s="85">
        <v>57900</v>
      </c>
      <c r="L182" s="85">
        <v>44700</v>
      </c>
      <c r="M182" s="85"/>
      <c r="N182" s="85">
        <v>18500</v>
      </c>
      <c r="O182" s="85">
        <v>18500</v>
      </c>
      <c r="P182" s="85">
        <f>E182+J182</f>
        <v>9404275</v>
      </c>
      <c r="Q182" s="287"/>
      <c r="R182" s="160"/>
      <c r="S182" s="160"/>
      <c r="T182" s="160"/>
    </row>
    <row r="183" spans="1:20" s="4" customFormat="1" ht="81.75" customHeight="1">
      <c r="A183" s="86" t="s">
        <v>301</v>
      </c>
      <c r="B183" s="86" t="str">
        <f>'дод. 3'!A121</f>
        <v>3160</v>
      </c>
      <c r="C183" s="86">
        <f>'дод. 3'!B121</f>
        <v>1010</v>
      </c>
      <c r="D183" s="107" t="str">
        <f>'дод. 3'!C121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83" s="88">
        <f>F183+I183</f>
        <v>1673920</v>
      </c>
      <c r="F183" s="88">
        <v>1673920</v>
      </c>
      <c r="G183" s="88"/>
      <c r="H183" s="88"/>
      <c r="I183" s="88"/>
      <c r="J183" s="88">
        <f>O183</f>
        <v>0</v>
      </c>
      <c r="K183" s="88"/>
      <c r="L183" s="88"/>
      <c r="M183" s="88"/>
      <c r="N183" s="88"/>
      <c r="O183" s="88">
        <v>0</v>
      </c>
      <c r="P183" s="88">
        <f>J183+E183</f>
        <v>1673920</v>
      </c>
      <c r="Q183" s="287"/>
      <c r="R183" s="158"/>
      <c r="S183" s="158"/>
      <c r="T183" s="158"/>
    </row>
    <row r="184" spans="1:20" s="4" customFormat="1" ht="36" customHeight="1">
      <c r="A184" s="86" t="s">
        <v>510</v>
      </c>
      <c r="B184" s="86" t="str">
        <f>'дод. 3'!A122</f>
        <v>3170</v>
      </c>
      <c r="C184" s="86">
        <f>'дод. 3'!B122</f>
        <v>0</v>
      </c>
      <c r="D184" s="107" t="str">
        <f>'дод. 3'!C122</f>
        <v>Забезпечення реалізації окремих програм для осіб з інвалідністю</v>
      </c>
      <c r="E184" s="88">
        <f aca="true" t="shared" si="62" ref="E184:P184">E185+E186</f>
        <v>188864</v>
      </c>
      <c r="F184" s="88">
        <f t="shared" si="62"/>
        <v>188864</v>
      </c>
      <c r="G184" s="88">
        <f t="shared" si="62"/>
        <v>0</v>
      </c>
      <c r="H184" s="88">
        <f t="shared" si="62"/>
        <v>0</v>
      </c>
      <c r="I184" s="88">
        <f t="shared" si="62"/>
        <v>0</v>
      </c>
      <c r="J184" s="88">
        <f t="shared" si="62"/>
        <v>0</v>
      </c>
      <c r="K184" s="88">
        <f t="shared" si="62"/>
        <v>0</v>
      </c>
      <c r="L184" s="88">
        <f t="shared" si="62"/>
        <v>0</v>
      </c>
      <c r="M184" s="88">
        <f t="shared" si="62"/>
        <v>0</v>
      </c>
      <c r="N184" s="88">
        <f t="shared" si="62"/>
        <v>0</v>
      </c>
      <c r="O184" s="88">
        <f t="shared" si="62"/>
        <v>0</v>
      </c>
      <c r="P184" s="88">
        <f t="shared" si="62"/>
        <v>188864</v>
      </c>
      <c r="Q184" s="287"/>
      <c r="R184" s="166"/>
      <c r="S184" s="166"/>
      <c r="T184" s="166"/>
    </row>
    <row r="185" spans="1:20" s="115" customFormat="1" ht="62.25" customHeight="1">
      <c r="A185" s="83" t="s">
        <v>511</v>
      </c>
      <c r="B185" s="86" t="str">
        <f>'дод. 3'!A123</f>
        <v>3171</v>
      </c>
      <c r="C185" s="86">
        <f>'дод. 3'!B123</f>
        <v>1010</v>
      </c>
      <c r="D185" s="106" t="str">
        <f>'дод. 3'!C123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85" s="85">
        <f>F185+I185</f>
        <v>188024</v>
      </c>
      <c r="F185" s="85">
        <v>188024</v>
      </c>
      <c r="G185" s="85"/>
      <c r="H185" s="85"/>
      <c r="I185" s="85"/>
      <c r="J185" s="85">
        <f>K185+N185</f>
        <v>0</v>
      </c>
      <c r="K185" s="85"/>
      <c r="L185" s="85"/>
      <c r="M185" s="85"/>
      <c r="N185" s="85"/>
      <c r="O185" s="85"/>
      <c r="P185" s="85">
        <f>E185+J185</f>
        <v>188024</v>
      </c>
      <c r="Q185" s="287"/>
      <c r="R185" s="160"/>
      <c r="S185" s="160"/>
      <c r="T185" s="160"/>
    </row>
    <row r="186" spans="1:20" s="115" customFormat="1" ht="33.75" customHeight="1">
      <c r="A186" s="83" t="s">
        <v>512</v>
      </c>
      <c r="B186" s="86" t="str">
        <f>'дод. 3'!A124</f>
        <v>3172</v>
      </c>
      <c r="C186" s="86">
        <f>'дод. 3'!B124</f>
        <v>1010</v>
      </c>
      <c r="D186" s="106" t="str">
        <f>'дод. 3'!C124</f>
        <v>Встановлення телефонів особам з інвалідністю I і II груп</v>
      </c>
      <c r="E186" s="85">
        <f>F186+I186</f>
        <v>840</v>
      </c>
      <c r="F186" s="85">
        <v>840</v>
      </c>
      <c r="G186" s="85"/>
      <c r="H186" s="85"/>
      <c r="I186" s="85"/>
      <c r="J186" s="85">
        <f>K186+N186</f>
        <v>0</v>
      </c>
      <c r="K186" s="85"/>
      <c r="L186" s="85"/>
      <c r="M186" s="85"/>
      <c r="N186" s="85"/>
      <c r="O186" s="85"/>
      <c r="P186" s="85">
        <f>E186+J186</f>
        <v>840</v>
      </c>
      <c r="Q186" s="287"/>
      <c r="R186" s="160"/>
      <c r="S186" s="160"/>
      <c r="T186" s="160"/>
    </row>
    <row r="187" spans="1:20" s="4" customFormat="1" ht="79.5" customHeight="1">
      <c r="A187" s="86" t="s">
        <v>302</v>
      </c>
      <c r="B187" s="86" t="str">
        <f>'дод. 3'!A125</f>
        <v>3180</v>
      </c>
      <c r="C187" s="86" t="str">
        <f>'дод. 3'!B125</f>
        <v>1060</v>
      </c>
      <c r="D187" s="107" t="str">
        <f>'дод. 3'!C125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v>
      </c>
      <c r="E187" s="88">
        <f>F187+I187</f>
        <v>1282391</v>
      </c>
      <c r="F187" s="88">
        <f>1242491+39900</f>
        <v>1282391</v>
      </c>
      <c r="G187" s="88"/>
      <c r="H187" s="88"/>
      <c r="I187" s="88"/>
      <c r="J187" s="88">
        <f>K187+N187</f>
        <v>0</v>
      </c>
      <c r="K187" s="88"/>
      <c r="L187" s="88"/>
      <c r="M187" s="88"/>
      <c r="N187" s="88"/>
      <c r="O187" s="88"/>
      <c r="P187" s="88">
        <f>E187+J187</f>
        <v>1282391</v>
      </c>
      <c r="Q187" s="287"/>
      <c r="R187" s="158"/>
      <c r="S187" s="158"/>
      <c r="T187" s="158"/>
    </row>
    <row r="188" spans="1:20" s="4" customFormat="1" ht="31.5" customHeight="1">
      <c r="A188" s="86" t="s">
        <v>485</v>
      </c>
      <c r="B188" s="86" t="str">
        <f>'дод. 3'!A126</f>
        <v>3190</v>
      </c>
      <c r="C188" s="86">
        <f>'дод. 3'!B126</f>
        <v>0</v>
      </c>
      <c r="D188" s="107" t="str">
        <f>'дод. 3'!C126</f>
        <v>Соціальний захист ветеранів війни та праці</v>
      </c>
      <c r="E188" s="88">
        <f>E189+E190</f>
        <v>3209214</v>
      </c>
      <c r="F188" s="88">
        <f aca="true" t="shared" si="63" ref="F188:O188">F189+F190</f>
        <v>3209214</v>
      </c>
      <c r="G188" s="88">
        <f t="shared" si="63"/>
        <v>0</v>
      </c>
      <c r="H188" s="88">
        <f t="shared" si="63"/>
        <v>0</v>
      </c>
      <c r="I188" s="88">
        <f t="shared" si="63"/>
        <v>0</v>
      </c>
      <c r="J188" s="88">
        <f t="shared" si="63"/>
        <v>0</v>
      </c>
      <c r="K188" s="88">
        <f t="shared" si="63"/>
        <v>0</v>
      </c>
      <c r="L188" s="88">
        <f t="shared" si="63"/>
        <v>0</v>
      </c>
      <c r="M188" s="88">
        <f t="shared" si="63"/>
        <v>0</v>
      </c>
      <c r="N188" s="88">
        <f t="shared" si="63"/>
        <v>0</v>
      </c>
      <c r="O188" s="88">
        <f t="shared" si="63"/>
        <v>0</v>
      </c>
      <c r="P188" s="88">
        <f>P189+P190</f>
        <v>3209214</v>
      </c>
      <c r="Q188" s="287"/>
      <c r="R188" s="159"/>
      <c r="S188" s="159"/>
      <c r="T188" s="159"/>
    </row>
    <row r="189" spans="1:20" s="115" customFormat="1" ht="30">
      <c r="A189" s="83" t="s">
        <v>486</v>
      </c>
      <c r="B189" s="83" t="str">
        <f>'дод. 3'!A127</f>
        <v>3191</v>
      </c>
      <c r="C189" s="83" t="str">
        <f>'дод. 3'!B127</f>
        <v>1030</v>
      </c>
      <c r="D189" s="106" t="str">
        <f>'дод. 3'!C127</f>
        <v>Інші видатки на соціальний захист ветеранів війни та праці</v>
      </c>
      <c r="E189" s="85">
        <f aca="true" t="shared" si="64" ref="E189:E198">F189+I189</f>
        <v>1937114</v>
      </c>
      <c r="F189" s="85">
        <f>1736305-10378+22407+188780</f>
        <v>1937114</v>
      </c>
      <c r="G189" s="85"/>
      <c r="H189" s="85"/>
      <c r="I189" s="85"/>
      <c r="J189" s="85">
        <f aca="true" t="shared" si="65" ref="J189:J204">K189+N189</f>
        <v>0</v>
      </c>
      <c r="K189" s="85"/>
      <c r="L189" s="85"/>
      <c r="M189" s="85"/>
      <c r="N189" s="85"/>
      <c r="O189" s="85"/>
      <c r="P189" s="85">
        <f aca="true" t="shared" si="66" ref="P189:P198">E189+J189</f>
        <v>1937114</v>
      </c>
      <c r="Q189" s="287"/>
      <c r="R189" s="160"/>
      <c r="S189" s="160"/>
      <c r="T189" s="160"/>
    </row>
    <row r="190" spans="1:20" s="115" customFormat="1" ht="45">
      <c r="A190" s="83" t="s">
        <v>487</v>
      </c>
      <c r="B190" s="83" t="str">
        <f>'дод. 3'!A128</f>
        <v>3192</v>
      </c>
      <c r="C190" s="83" t="str">
        <f>'дод. 3'!B128</f>
        <v>1030</v>
      </c>
      <c r="D190" s="106" t="str">
        <f>'дод. 3'!C128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90" s="85">
        <f t="shared" si="64"/>
        <v>1272100</v>
      </c>
      <c r="F190" s="85">
        <f>1192100+80000</f>
        <v>1272100</v>
      </c>
      <c r="G190" s="85"/>
      <c r="H190" s="85"/>
      <c r="I190" s="85"/>
      <c r="J190" s="85">
        <f t="shared" si="65"/>
        <v>0</v>
      </c>
      <c r="K190" s="85"/>
      <c r="L190" s="85"/>
      <c r="M190" s="85"/>
      <c r="N190" s="85"/>
      <c r="O190" s="85"/>
      <c r="P190" s="85">
        <f t="shared" si="66"/>
        <v>1272100</v>
      </c>
      <c r="Q190" s="287"/>
      <c r="R190" s="160"/>
      <c r="S190" s="160"/>
      <c r="T190" s="160"/>
    </row>
    <row r="191" spans="1:20" s="4" customFormat="1" ht="41.25" customHeight="1">
      <c r="A191" s="86" t="s">
        <v>303</v>
      </c>
      <c r="B191" s="86" t="str">
        <f>'дод. 3'!A129</f>
        <v>3200</v>
      </c>
      <c r="C191" s="86" t="str">
        <f>'дод. 3'!B129</f>
        <v>1090</v>
      </c>
      <c r="D191" s="107" t="str">
        <f>'дод. 3'!C129</f>
        <v>Забезпечення обробки інформації з нарахування та виплати допомог і компенсацій </v>
      </c>
      <c r="E191" s="88">
        <f t="shared" si="64"/>
        <v>75000</v>
      </c>
      <c r="F191" s="88">
        <v>75000</v>
      </c>
      <c r="G191" s="88"/>
      <c r="H191" s="88"/>
      <c r="I191" s="88"/>
      <c r="J191" s="88">
        <f t="shared" si="65"/>
        <v>0</v>
      </c>
      <c r="K191" s="88"/>
      <c r="L191" s="88"/>
      <c r="M191" s="88"/>
      <c r="N191" s="88"/>
      <c r="O191" s="88"/>
      <c r="P191" s="88">
        <f t="shared" si="66"/>
        <v>75000</v>
      </c>
      <c r="Q191" s="287"/>
      <c r="R191" s="158"/>
      <c r="S191" s="158"/>
      <c r="T191" s="158"/>
    </row>
    <row r="192" spans="1:20" s="4" customFormat="1" ht="19.5" customHeight="1">
      <c r="A192" s="89" t="s">
        <v>488</v>
      </c>
      <c r="B192" s="89" t="str">
        <f>'дод. 3'!A130</f>
        <v>3210</v>
      </c>
      <c r="C192" s="89" t="str">
        <f>'дод. 3'!B130</f>
        <v>1050</v>
      </c>
      <c r="D192" s="110" t="str">
        <f>'дод. 3'!C130</f>
        <v>Організація та проведення громадських робіт</v>
      </c>
      <c r="E192" s="88">
        <f>F192+I192</f>
        <v>330000</v>
      </c>
      <c r="F192" s="88">
        <f>300000+30000</f>
        <v>330000</v>
      </c>
      <c r="G192" s="88">
        <f>245902+24590</f>
        <v>270492</v>
      </c>
      <c r="H192" s="88"/>
      <c r="I192" s="88"/>
      <c r="J192" s="88">
        <f t="shared" si="65"/>
        <v>0</v>
      </c>
      <c r="K192" s="88"/>
      <c r="L192" s="88"/>
      <c r="M192" s="88"/>
      <c r="N192" s="88"/>
      <c r="O192" s="88"/>
      <c r="P192" s="88">
        <f t="shared" si="66"/>
        <v>330000</v>
      </c>
      <c r="Q192" s="287"/>
      <c r="R192" s="158"/>
      <c r="S192" s="158"/>
      <c r="T192" s="158"/>
    </row>
    <row r="193" spans="1:20" s="4" customFormat="1" ht="30" customHeight="1">
      <c r="A193" s="89" t="s">
        <v>658</v>
      </c>
      <c r="B193" s="89" t="s">
        <v>654</v>
      </c>
      <c r="C193" s="89"/>
      <c r="D193" s="110" t="s">
        <v>657</v>
      </c>
      <c r="E193" s="88">
        <f>E195</f>
        <v>0</v>
      </c>
      <c r="F193" s="88">
        <f>F195</f>
        <v>0</v>
      </c>
      <c r="G193" s="88"/>
      <c r="H193" s="88"/>
      <c r="I193" s="88"/>
      <c r="J193" s="88">
        <f>K193+N193</f>
        <v>4839581.21</v>
      </c>
      <c r="K193" s="88">
        <f aca="true" t="shared" si="67" ref="K193:O194">K195</f>
        <v>0</v>
      </c>
      <c r="L193" s="88">
        <f t="shared" si="67"/>
        <v>0</v>
      </c>
      <c r="M193" s="88">
        <f t="shared" si="67"/>
        <v>0</v>
      </c>
      <c r="N193" s="88">
        <f t="shared" si="67"/>
        <v>4839581.21</v>
      </c>
      <c r="O193" s="88">
        <f t="shared" si="67"/>
        <v>4839581.21</v>
      </c>
      <c r="P193" s="88">
        <f>E193+J193</f>
        <v>4839581.21</v>
      </c>
      <c r="Q193" s="287"/>
      <c r="R193" s="158"/>
      <c r="S193" s="158"/>
      <c r="T193" s="158"/>
    </row>
    <row r="194" spans="1:20" s="4" customFormat="1" ht="15" customHeight="1">
      <c r="A194" s="90"/>
      <c r="B194" s="90"/>
      <c r="C194" s="90"/>
      <c r="D194" s="13" t="s">
        <v>416</v>
      </c>
      <c r="E194" s="82">
        <f>E196</f>
        <v>0</v>
      </c>
      <c r="F194" s="82">
        <f>F196</f>
        <v>0</v>
      </c>
      <c r="G194" s="82">
        <f>G196</f>
        <v>0</v>
      </c>
      <c r="H194" s="82">
        <f>H196</f>
        <v>0</v>
      </c>
      <c r="I194" s="82">
        <f>I196</f>
        <v>0</v>
      </c>
      <c r="J194" s="82">
        <f>K194+N194</f>
        <v>4839581.21</v>
      </c>
      <c r="K194" s="82">
        <f t="shared" si="67"/>
        <v>0</v>
      </c>
      <c r="L194" s="82">
        <f t="shared" si="67"/>
        <v>0</v>
      </c>
      <c r="M194" s="82">
        <f t="shared" si="67"/>
        <v>0</v>
      </c>
      <c r="N194" s="82">
        <f t="shared" si="67"/>
        <v>4839581.21</v>
      </c>
      <c r="O194" s="82">
        <f t="shared" si="67"/>
        <v>4839581.21</v>
      </c>
      <c r="P194" s="82">
        <f t="shared" si="66"/>
        <v>4839581.21</v>
      </c>
      <c r="Q194" s="287"/>
      <c r="R194" s="158"/>
      <c r="S194" s="158"/>
      <c r="T194" s="158"/>
    </row>
    <row r="195" spans="1:20" s="4" customFormat="1" ht="153" customHeight="1">
      <c r="A195" s="116" t="s">
        <v>659</v>
      </c>
      <c r="B195" s="116" t="s">
        <v>655</v>
      </c>
      <c r="C195" s="116" t="s">
        <v>88</v>
      </c>
      <c r="D195" s="263" t="s">
        <v>656</v>
      </c>
      <c r="E195" s="88">
        <f>F195+I195</f>
        <v>0</v>
      </c>
      <c r="F195" s="88"/>
      <c r="G195" s="88"/>
      <c r="H195" s="88"/>
      <c r="I195" s="88"/>
      <c r="J195" s="85">
        <f>K195+N195</f>
        <v>4839581.21</v>
      </c>
      <c r="K195" s="88"/>
      <c r="L195" s="88"/>
      <c r="M195" s="88"/>
      <c r="N195" s="88">
        <v>4839581.21</v>
      </c>
      <c r="O195" s="88">
        <v>4839581.21</v>
      </c>
      <c r="P195" s="88">
        <f>E195+J195</f>
        <v>4839581.21</v>
      </c>
      <c r="Q195" s="287">
        <v>11</v>
      </c>
      <c r="R195" s="158"/>
      <c r="S195" s="158"/>
      <c r="T195" s="158"/>
    </row>
    <row r="196" spans="1:20" s="115" customFormat="1" ht="19.5" customHeight="1">
      <c r="A196" s="116"/>
      <c r="B196" s="116"/>
      <c r="C196" s="116"/>
      <c r="D196" s="117" t="str">
        <f>'дод. 3'!C134</f>
        <v>у т.ч. за рахунок субвенцій з держбюджету</v>
      </c>
      <c r="E196" s="85">
        <f>F196+I196</f>
        <v>0</v>
      </c>
      <c r="F196" s="85"/>
      <c r="G196" s="85"/>
      <c r="H196" s="85"/>
      <c r="I196" s="85"/>
      <c r="J196" s="85">
        <f>K196+N196</f>
        <v>4839581.21</v>
      </c>
      <c r="K196" s="85"/>
      <c r="L196" s="85"/>
      <c r="M196" s="85"/>
      <c r="N196" s="85">
        <v>4839581.21</v>
      </c>
      <c r="O196" s="85">
        <v>4839581.21</v>
      </c>
      <c r="P196" s="85">
        <f>E196+J196</f>
        <v>4839581.21</v>
      </c>
      <c r="Q196" s="287"/>
      <c r="R196" s="160"/>
      <c r="S196" s="160"/>
      <c r="T196" s="160"/>
    </row>
    <row r="197" spans="1:20" s="4" customFormat="1" ht="157.5" customHeight="1">
      <c r="A197" s="89" t="s">
        <v>577</v>
      </c>
      <c r="B197" s="144" t="str">
        <f>'дод. 3'!A135</f>
        <v>3230</v>
      </c>
      <c r="C197" s="144" t="str">
        <f>'дод. 3'!B135</f>
        <v>1040</v>
      </c>
      <c r="D197" s="87" t="s">
        <v>565</v>
      </c>
      <c r="E197" s="88">
        <f t="shared" si="64"/>
        <v>2495700</v>
      </c>
      <c r="F197" s="88">
        <f>2695700-200000</f>
        <v>2495700</v>
      </c>
      <c r="G197" s="88"/>
      <c r="H197" s="88"/>
      <c r="I197" s="88"/>
      <c r="J197" s="88">
        <f t="shared" si="65"/>
        <v>0</v>
      </c>
      <c r="K197" s="88"/>
      <c r="L197" s="88"/>
      <c r="M197" s="88"/>
      <c r="N197" s="88"/>
      <c r="O197" s="88"/>
      <c r="P197" s="88">
        <f t="shared" si="66"/>
        <v>2495700</v>
      </c>
      <c r="Q197" s="287"/>
      <c r="R197" s="158"/>
      <c r="S197" s="158"/>
      <c r="T197" s="158"/>
    </row>
    <row r="198" spans="1:20" s="4" customFormat="1" ht="19.5" customHeight="1">
      <c r="A198" s="89"/>
      <c r="B198" s="144">
        <f>'дод. 3'!A136</f>
        <v>0</v>
      </c>
      <c r="C198" s="144">
        <f>'дод. 3'!B136</f>
        <v>0</v>
      </c>
      <c r="D198" s="110" t="str">
        <f>'дод. 3'!C136</f>
        <v>у т.ч. за рахунок субвенцій з держбюджету</v>
      </c>
      <c r="E198" s="88">
        <f t="shared" si="64"/>
        <v>2495700</v>
      </c>
      <c r="F198" s="88">
        <f>2695700-200000</f>
        <v>2495700</v>
      </c>
      <c r="G198" s="88"/>
      <c r="H198" s="88"/>
      <c r="I198" s="88"/>
      <c r="J198" s="88">
        <f t="shared" si="65"/>
        <v>0</v>
      </c>
      <c r="K198" s="88"/>
      <c r="L198" s="88"/>
      <c r="M198" s="88"/>
      <c r="N198" s="88"/>
      <c r="O198" s="88"/>
      <c r="P198" s="88">
        <f t="shared" si="66"/>
        <v>2495700</v>
      </c>
      <c r="Q198" s="287"/>
      <c r="R198" s="158"/>
      <c r="S198" s="158"/>
      <c r="T198" s="158"/>
    </row>
    <row r="199" spans="1:20" s="4" customFormat="1" ht="22.5" customHeight="1">
      <c r="A199" s="86" t="s">
        <v>483</v>
      </c>
      <c r="B199" s="86" t="str">
        <f>'дод. 3'!A137</f>
        <v>3240</v>
      </c>
      <c r="C199" s="86">
        <f>'дод. 3'!B137</f>
        <v>0</v>
      </c>
      <c r="D199" s="107" t="str">
        <f>'дод. 3'!C137</f>
        <v>Інші заклади та заходи</v>
      </c>
      <c r="E199" s="88">
        <f>E200+E201</f>
        <v>39082864.7</v>
      </c>
      <c r="F199" s="88">
        <f aca="true" t="shared" si="68" ref="F199:P199">F200+F201</f>
        <v>39082864.7</v>
      </c>
      <c r="G199" s="88">
        <f t="shared" si="68"/>
        <v>2594621</v>
      </c>
      <c r="H199" s="88">
        <f t="shared" si="68"/>
        <v>673281</v>
      </c>
      <c r="I199" s="88">
        <f t="shared" si="68"/>
        <v>0</v>
      </c>
      <c r="J199" s="88">
        <f t="shared" si="68"/>
        <v>375000</v>
      </c>
      <c r="K199" s="88">
        <f t="shared" si="68"/>
        <v>0</v>
      </c>
      <c r="L199" s="88">
        <f t="shared" si="68"/>
        <v>0</v>
      </c>
      <c r="M199" s="88">
        <f t="shared" si="68"/>
        <v>0</v>
      </c>
      <c r="N199" s="88">
        <f t="shared" si="68"/>
        <v>375000</v>
      </c>
      <c r="O199" s="88">
        <f t="shared" si="68"/>
        <v>375000</v>
      </c>
      <c r="P199" s="88">
        <f t="shared" si="68"/>
        <v>39457864.7</v>
      </c>
      <c r="Q199" s="287"/>
      <c r="R199" s="159"/>
      <c r="S199" s="159"/>
      <c r="T199" s="159"/>
    </row>
    <row r="200" spans="1:20" s="32" customFormat="1" ht="31.5" customHeight="1">
      <c r="A200" s="83" t="s">
        <v>482</v>
      </c>
      <c r="B200" s="83" t="str">
        <f>'дод. 3'!A138</f>
        <v>3241</v>
      </c>
      <c r="C200" s="83" t="str">
        <f>'дод. 3'!B138</f>
        <v>1090</v>
      </c>
      <c r="D200" s="106" t="str">
        <f>'дод. 3'!C138</f>
        <v>Забезпечення діяльності інших закладів у сфері соціального захисту і соціального забезпечення</v>
      </c>
      <c r="E200" s="85">
        <f>F200+I200</f>
        <v>4304345</v>
      </c>
      <c r="F200" s="85">
        <f>4241010+52335+11000</f>
        <v>4304345</v>
      </c>
      <c r="G200" s="85">
        <f>2332125+43090+219406</f>
        <v>2594621</v>
      </c>
      <c r="H200" s="85">
        <v>673281</v>
      </c>
      <c r="I200" s="85"/>
      <c r="J200" s="85">
        <f t="shared" si="65"/>
        <v>300000</v>
      </c>
      <c r="K200" s="85"/>
      <c r="L200" s="85"/>
      <c r="M200" s="85"/>
      <c r="N200" s="85">
        <v>300000</v>
      </c>
      <c r="O200" s="85">
        <v>300000</v>
      </c>
      <c r="P200" s="85">
        <f>E200+J200</f>
        <v>4604345</v>
      </c>
      <c r="Q200" s="287"/>
      <c r="R200" s="160"/>
      <c r="S200" s="160"/>
      <c r="T200" s="160"/>
    </row>
    <row r="201" spans="1:20" s="32" customFormat="1" ht="33" customHeight="1">
      <c r="A201" s="83" t="s">
        <v>484</v>
      </c>
      <c r="B201" s="83" t="str">
        <f>'дод. 3'!A139</f>
        <v>3242</v>
      </c>
      <c r="C201" s="83" t="str">
        <f>'дод. 3'!B139</f>
        <v>1090</v>
      </c>
      <c r="D201" s="106" t="str">
        <f>'дод. 3'!C139</f>
        <v>Інші заходи у сфері соціального захисту і соціального забезпечення</v>
      </c>
      <c r="E201" s="85">
        <f>F201+I201</f>
        <v>34778519.7</v>
      </c>
      <c r="F201" s="85">
        <f>11768030+16000000-4024-26631+175000+401100+353011+150000+274200+23310+76000+319750+1301500+10000-14400+445455+578335+190000+514525.7+22000+5000+10000+5000+10000+200000+280903+5000+5000+1100000+171900+40555+20000+290000+47000+11000+20000</f>
        <v>34778519.7</v>
      </c>
      <c r="G201" s="85"/>
      <c r="H201" s="85"/>
      <c r="I201" s="85"/>
      <c r="J201" s="85">
        <f t="shared" si="65"/>
        <v>75000</v>
      </c>
      <c r="K201" s="85"/>
      <c r="L201" s="85"/>
      <c r="M201" s="85"/>
      <c r="N201" s="85">
        <f>75000</f>
        <v>75000</v>
      </c>
      <c r="O201" s="85">
        <f>75000</f>
        <v>75000</v>
      </c>
      <c r="P201" s="85">
        <f>E201+J201</f>
        <v>34853519.7</v>
      </c>
      <c r="Q201" s="287"/>
      <c r="R201" s="160"/>
      <c r="S201" s="160"/>
      <c r="T201" s="160"/>
    </row>
    <row r="202" spans="1:20" s="115" customFormat="1" ht="19.5" customHeight="1">
      <c r="A202" s="86" t="s">
        <v>304</v>
      </c>
      <c r="B202" s="86" t="str">
        <f>'дод. 3'!A210</f>
        <v>7640</v>
      </c>
      <c r="C202" s="86" t="str">
        <f>'дод. 3'!B210</f>
        <v>0470</v>
      </c>
      <c r="D202" s="107" t="str">
        <f>'дод. 3'!C210</f>
        <v>Заходи з енергозбереження</v>
      </c>
      <c r="E202" s="88">
        <f>F202+I202</f>
        <v>29000</v>
      </c>
      <c r="F202" s="88">
        <v>29000</v>
      </c>
      <c r="G202" s="88"/>
      <c r="H202" s="88"/>
      <c r="I202" s="88"/>
      <c r="J202" s="88">
        <f t="shared" si="65"/>
        <v>0</v>
      </c>
      <c r="K202" s="88"/>
      <c r="L202" s="88"/>
      <c r="M202" s="88"/>
      <c r="N202" s="88"/>
      <c r="O202" s="88"/>
      <c r="P202" s="88">
        <f>E202+J202</f>
        <v>29000</v>
      </c>
      <c r="Q202" s="287"/>
      <c r="R202" s="158"/>
      <c r="S202" s="158"/>
      <c r="T202" s="158"/>
    </row>
    <row r="203" spans="1:20" s="115" customFormat="1" ht="42" customHeight="1">
      <c r="A203" s="86" t="s">
        <v>623</v>
      </c>
      <c r="B203" s="86" t="str">
        <f>'дод. 3'!A220</f>
        <v>8110</v>
      </c>
      <c r="C203" s="86" t="str">
        <f>'дод. 3'!B220</f>
        <v>0320</v>
      </c>
      <c r="D203" s="107" t="str">
        <f>'дод. 3'!C220</f>
        <v>Заходи із запобігання та ліквідації надзвичайних ситуацій та наслідків стихійного лиха</v>
      </c>
      <c r="E203" s="88">
        <f>F203+I203</f>
        <v>202750</v>
      </c>
      <c r="F203" s="88">
        <f>201950+800</f>
        <v>202750</v>
      </c>
      <c r="G203" s="88"/>
      <c r="H203" s="88"/>
      <c r="I203" s="88"/>
      <c r="J203" s="88">
        <f t="shared" si="65"/>
        <v>0</v>
      </c>
      <c r="K203" s="88"/>
      <c r="L203" s="88"/>
      <c r="M203" s="88"/>
      <c r="N203" s="88"/>
      <c r="O203" s="88"/>
      <c r="P203" s="88">
        <f>E203+J203</f>
        <v>202750</v>
      </c>
      <c r="Q203" s="287"/>
      <c r="R203" s="158"/>
      <c r="S203" s="158"/>
      <c r="T203" s="158"/>
    </row>
    <row r="204" spans="1:20" s="115" customFormat="1" ht="23.25" customHeight="1">
      <c r="A204" s="86" t="s">
        <v>414</v>
      </c>
      <c r="B204" s="86" t="str">
        <f>'дод. 3'!A240</f>
        <v>9770</v>
      </c>
      <c r="C204" s="86" t="str">
        <f>'дод. 3'!B240</f>
        <v>0180</v>
      </c>
      <c r="D204" s="107" t="str">
        <f>'дод. 3'!C240</f>
        <v>Інші субвенції з місцевого бюджету </v>
      </c>
      <c r="E204" s="88">
        <f>F204+I204</f>
        <v>611000</v>
      </c>
      <c r="F204" s="88">
        <v>611000</v>
      </c>
      <c r="G204" s="88"/>
      <c r="H204" s="88"/>
      <c r="I204" s="88"/>
      <c r="J204" s="88">
        <f t="shared" si="65"/>
        <v>0</v>
      </c>
      <c r="K204" s="88"/>
      <c r="L204" s="88"/>
      <c r="M204" s="88"/>
      <c r="N204" s="88"/>
      <c r="O204" s="88"/>
      <c r="P204" s="88">
        <f>E204+J204</f>
        <v>611000</v>
      </c>
      <c r="Q204" s="287"/>
      <c r="R204" s="158"/>
      <c r="S204" s="158"/>
      <c r="T204" s="158"/>
    </row>
    <row r="205" spans="1:20" s="112" customFormat="1" ht="21" customHeight="1">
      <c r="A205" s="119" t="s">
        <v>305</v>
      </c>
      <c r="B205" s="120"/>
      <c r="C205" s="120"/>
      <c r="D205" s="35" t="s">
        <v>59</v>
      </c>
      <c r="E205" s="46">
        <f>E206</f>
        <v>3804000</v>
      </c>
      <c r="F205" s="46">
        <f aca="true" t="shared" si="69" ref="F205:P205">F206</f>
        <v>3804000</v>
      </c>
      <c r="G205" s="46">
        <f t="shared" si="69"/>
        <v>2969000</v>
      </c>
      <c r="H205" s="46">
        <f t="shared" si="69"/>
        <v>37220</v>
      </c>
      <c r="I205" s="46">
        <f t="shared" si="69"/>
        <v>0</v>
      </c>
      <c r="J205" s="46">
        <f t="shared" si="69"/>
        <v>0</v>
      </c>
      <c r="K205" s="46">
        <f t="shared" si="69"/>
        <v>0</v>
      </c>
      <c r="L205" s="46">
        <f t="shared" si="69"/>
        <v>0</v>
      </c>
      <c r="M205" s="46">
        <f t="shared" si="69"/>
        <v>0</v>
      </c>
      <c r="N205" s="46">
        <f t="shared" si="69"/>
        <v>0</v>
      </c>
      <c r="O205" s="46">
        <f t="shared" si="69"/>
        <v>0</v>
      </c>
      <c r="P205" s="46">
        <f t="shared" si="69"/>
        <v>3804000</v>
      </c>
      <c r="Q205" s="287"/>
      <c r="R205" s="156"/>
      <c r="S205" s="156"/>
      <c r="T205" s="156"/>
    </row>
    <row r="206" spans="1:20" s="114" customFormat="1" ht="21.75" customHeight="1">
      <c r="A206" s="121" t="s">
        <v>306</v>
      </c>
      <c r="B206" s="122"/>
      <c r="C206" s="122"/>
      <c r="D206" s="123" t="s">
        <v>59</v>
      </c>
      <c r="E206" s="79">
        <f>E207+E208</f>
        <v>3804000</v>
      </c>
      <c r="F206" s="79">
        <f>F207+F208</f>
        <v>3804000</v>
      </c>
      <c r="G206" s="79">
        <f aca="true" t="shared" si="70" ref="G206:P206">G207+G208</f>
        <v>2969000</v>
      </c>
      <c r="H206" s="79">
        <f t="shared" si="70"/>
        <v>37220</v>
      </c>
      <c r="I206" s="79">
        <f t="shared" si="70"/>
        <v>0</v>
      </c>
      <c r="J206" s="79">
        <f t="shared" si="70"/>
        <v>0</v>
      </c>
      <c r="K206" s="79">
        <f t="shared" si="70"/>
        <v>0</v>
      </c>
      <c r="L206" s="79">
        <f t="shared" si="70"/>
        <v>0</v>
      </c>
      <c r="M206" s="79">
        <f t="shared" si="70"/>
        <v>0</v>
      </c>
      <c r="N206" s="79">
        <f t="shared" si="70"/>
        <v>0</v>
      </c>
      <c r="O206" s="79">
        <f t="shared" si="70"/>
        <v>0</v>
      </c>
      <c r="P206" s="79">
        <f t="shared" si="70"/>
        <v>3804000</v>
      </c>
      <c r="Q206" s="287"/>
      <c r="R206" s="165"/>
      <c r="S206" s="165"/>
      <c r="T206" s="165"/>
    </row>
    <row r="207" spans="1:20" s="4" customFormat="1" ht="45">
      <c r="A207" s="80" t="s">
        <v>307</v>
      </c>
      <c r="B207" s="80" t="str">
        <f>'дод. 3'!A13</f>
        <v>0160</v>
      </c>
      <c r="C207" s="80" t="str">
        <f>'дод. 3'!B13</f>
        <v>0111</v>
      </c>
      <c r="D207" s="81" t="str">
        <f>'дод. 3'!C13</f>
        <v>Керівництво і управління у відповідній сфері у містах (місті Києві), селищах, селах, об’єднаних територіальних громадах</v>
      </c>
      <c r="E207" s="82">
        <f>F207+I207</f>
        <v>3724000</v>
      </c>
      <c r="F207" s="82">
        <f>3538900+211500-26400</f>
        <v>3724000</v>
      </c>
      <c r="G207" s="82">
        <v>2969000</v>
      </c>
      <c r="H207" s="82">
        <v>37220</v>
      </c>
      <c r="I207" s="82"/>
      <c r="J207" s="82">
        <f>K207+N207</f>
        <v>0</v>
      </c>
      <c r="K207" s="82"/>
      <c r="L207" s="82"/>
      <c r="M207" s="82"/>
      <c r="N207" s="82">
        <f>27000-27000</f>
        <v>0</v>
      </c>
      <c r="O207" s="82">
        <f>27000-27000</f>
        <v>0</v>
      </c>
      <c r="P207" s="82">
        <f>E207+J207</f>
        <v>3724000</v>
      </c>
      <c r="Q207" s="287"/>
      <c r="R207" s="158"/>
      <c r="S207" s="158"/>
      <c r="T207" s="158"/>
    </row>
    <row r="208" spans="1:20" s="4" customFormat="1" ht="30.75" customHeight="1">
      <c r="A208" s="80" t="s">
        <v>308</v>
      </c>
      <c r="B208" s="80" t="str">
        <f>'дод. 3'!A114</f>
        <v>3110</v>
      </c>
      <c r="C208" s="80">
        <f>'дод. 3'!B114</f>
        <v>0</v>
      </c>
      <c r="D208" s="109" t="str">
        <f>'дод. 3'!C114</f>
        <v>Заклади і заходи з питань дітей та їх соціального захисту</v>
      </c>
      <c r="E208" s="82">
        <f>E209</f>
        <v>80000</v>
      </c>
      <c r="F208" s="82">
        <f aca="true" t="shared" si="71" ref="F208:P208">F209</f>
        <v>80000</v>
      </c>
      <c r="G208" s="82">
        <f t="shared" si="71"/>
        <v>0</v>
      </c>
      <c r="H208" s="82">
        <f t="shared" si="71"/>
        <v>0</v>
      </c>
      <c r="I208" s="82">
        <f t="shared" si="71"/>
        <v>0</v>
      </c>
      <c r="J208" s="82">
        <f t="shared" si="71"/>
        <v>0</v>
      </c>
      <c r="K208" s="82">
        <f t="shared" si="71"/>
        <v>0</v>
      </c>
      <c r="L208" s="82">
        <f t="shared" si="71"/>
        <v>0</v>
      </c>
      <c r="M208" s="82">
        <f t="shared" si="71"/>
        <v>0</v>
      </c>
      <c r="N208" s="82">
        <f t="shared" si="71"/>
        <v>0</v>
      </c>
      <c r="O208" s="82">
        <f t="shared" si="71"/>
        <v>0</v>
      </c>
      <c r="P208" s="82">
        <f t="shared" si="71"/>
        <v>80000</v>
      </c>
      <c r="Q208" s="287"/>
      <c r="R208" s="159">
        <f>R209</f>
        <v>0</v>
      </c>
      <c r="S208" s="159">
        <f>S209</f>
        <v>0</v>
      </c>
      <c r="T208" s="159"/>
    </row>
    <row r="209" spans="1:20" s="115" customFormat="1" ht="36.75" customHeight="1">
      <c r="A209" s="83" t="s">
        <v>309</v>
      </c>
      <c r="B209" s="83" t="str">
        <f>'дод. 3'!A115</f>
        <v>3112</v>
      </c>
      <c r="C209" s="83" t="str">
        <f>'дод. 3'!B115</f>
        <v>1040</v>
      </c>
      <c r="D209" s="106" t="str">
        <f>'дод. 3'!C115</f>
        <v>Заходи державної політики з питань дітей та їх соціального захисту</v>
      </c>
      <c r="E209" s="85">
        <f>F209+I209</f>
        <v>80000</v>
      </c>
      <c r="F209" s="85">
        <v>80000</v>
      </c>
      <c r="G209" s="85"/>
      <c r="H209" s="85"/>
      <c r="I209" s="85"/>
      <c r="J209" s="85">
        <f>K209+N209</f>
        <v>0</v>
      </c>
      <c r="K209" s="85"/>
      <c r="L209" s="85"/>
      <c r="M209" s="85"/>
      <c r="N209" s="85"/>
      <c r="O209" s="85"/>
      <c r="P209" s="85">
        <f>E209+J209</f>
        <v>80000</v>
      </c>
      <c r="Q209" s="287"/>
      <c r="R209" s="160"/>
      <c r="S209" s="160"/>
      <c r="T209" s="160"/>
    </row>
    <row r="210" spans="1:20" s="112" customFormat="1" ht="37.5" customHeight="1">
      <c r="A210" s="111" t="s">
        <v>50</v>
      </c>
      <c r="B210" s="36"/>
      <c r="C210" s="36"/>
      <c r="D210" s="35" t="s">
        <v>61</v>
      </c>
      <c r="E210" s="46">
        <f>E211</f>
        <v>51388546</v>
      </c>
      <c r="F210" s="46">
        <f aca="true" t="shared" si="72" ref="F210:P210">F211</f>
        <v>51388546</v>
      </c>
      <c r="G210" s="46">
        <f t="shared" si="72"/>
        <v>36885629</v>
      </c>
      <c r="H210" s="46">
        <f t="shared" si="72"/>
        <v>1862231</v>
      </c>
      <c r="I210" s="46">
        <f t="shared" si="72"/>
        <v>0</v>
      </c>
      <c r="J210" s="46">
        <f t="shared" si="72"/>
        <v>5291000</v>
      </c>
      <c r="K210" s="46">
        <f t="shared" si="72"/>
        <v>2135830</v>
      </c>
      <c r="L210" s="46">
        <f t="shared" si="72"/>
        <v>1726450</v>
      </c>
      <c r="M210" s="46">
        <f t="shared" si="72"/>
        <v>0</v>
      </c>
      <c r="N210" s="46">
        <f t="shared" si="72"/>
        <v>3155170</v>
      </c>
      <c r="O210" s="46">
        <f t="shared" si="72"/>
        <v>3150450</v>
      </c>
      <c r="P210" s="46">
        <f t="shared" si="72"/>
        <v>56679546</v>
      </c>
      <c r="Q210" s="287"/>
      <c r="R210" s="156">
        <f>R212+R213+R214+R216+R217+R222</f>
        <v>0</v>
      </c>
      <c r="S210" s="156">
        <f>S212+S213+S214+S216+S217+S222</f>
        <v>0</v>
      </c>
      <c r="T210" s="156"/>
    </row>
    <row r="211" spans="1:20" s="114" customFormat="1" ht="24.75" customHeight="1">
      <c r="A211" s="113" t="s">
        <v>310</v>
      </c>
      <c r="B211" s="124"/>
      <c r="C211" s="124"/>
      <c r="D211" s="123" t="s">
        <v>61</v>
      </c>
      <c r="E211" s="79">
        <f>E212+E213+E214+E215+E222+E218</f>
        <v>51388546</v>
      </c>
      <c r="F211" s="79">
        <f>F212+F213+F214+F215+F222+F218</f>
        <v>51388546</v>
      </c>
      <c r="G211" s="79">
        <f>G212+G213+G214+G215+G222+G218</f>
        <v>36885629</v>
      </c>
      <c r="H211" s="79">
        <f>H212+H213+H214+H215+H222+H218</f>
        <v>1862231</v>
      </c>
      <c r="I211" s="79">
        <f>I212+I213+I214+I215+I222</f>
        <v>0</v>
      </c>
      <c r="J211" s="79">
        <f>J212+J213+J214+J215+J222+J218</f>
        <v>5291000</v>
      </c>
      <c r="K211" s="79">
        <f>K212+K213+K214+K215+K222+K218</f>
        <v>2135830</v>
      </c>
      <c r="L211" s="79">
        <f>L212+L213+L214+L215+L222+L218</f>
        <v>1726450</v>
      </c>
      <c r="M211" s="79">
        <f>M212+M213+M214+M215+M222</f>
        <v>0</v>
      </c>
      <c r="N211" s="79">
        <f>N212+N213+N214+N215+N222+N218</f>
        <v>3155170</v>
      </c>
      <c r="O211" s="79">
        <f>O212+O213+O214+O215+O222+O218</f>
        <v>3150450</v>
      </c>
      <c r="P211" s="79">
        <f>P212+P213+P214+P215+P222+P218</f>
        <v>56679546</v>
      </c>
      <c r="Q211" s="287"/>
      <c r="R211" s="165">
        <f>R212+R213+R214+R215+R222</f>
        <v>0</v>
      </c>
      <c r="S211" s="165">
        <f>S212+S213+S214+S215+S222</f>
        <v>0</v>
      </c>
      <c r="T211" s="165"/>
    </row>
    <row r="212" spans="1:20" s="4" customFormat="1" ht="51" customHeight="1">
      <c r="A212" s="80" t="s">
        <v>220</v>
      </c>
      <c r="B212" s="80" t="str">
        <f>'дод. 3'!A13</f>
        <v>0160</v>
      </c>
      <c r="C212" s="80" t="str">
        <f>'дод. 3'!B13</f>
        <v>0111</v>
      </c>
      <c r="D212" s="81" t="str">
        <f>'дод. 3'!C13</f>
        <v>Керівництво і управління у відповідній сфері у містах (місті Києві), селищах, селах, об’єднаних територіальних громадах</v>
      </c>
      <c r="E212" s="82">
        <f>F212+I212</f>
        <v>1423100</v>
      </c>
      <c r="F212" s="82">
        <f>1461500-38400</f>
        <v>1423100</v>
      </c>
      <c r="G212" s="82">
        <v>1101670</v>
      </c>
      <c r="H212" s="82">
        <v>14960</v>
      </c>
      <c r="I212" s="82"/>
      <c r="J212" s="82">
        <f aca="true" t="shared" si="73" ref="J212:J222">K212+N212</f>
        <v>10000</v>
      </c>
      <c r="K212" s="82"/>
      <c r="L212" s="82"/>
      <c r="M212" s="82"/>
      <c r="N212" s="82">
        <v>10000</v>
      </c>
      <c r="O212" s="82">
        <v>10000</v>
      </c>
      <c r="P212" s="82">
        <f>E212+J212</f>
        <v>1433100</v>
      </c>
      <c r="Q212" s="287"/>
      <c r="R212" s="158"/>
      <c r="S212" s="158"/>
      <c r="T212" s="158"/>
    </row>
    <row r="213" spans="1:20" s="4" customFormat="1" ht="48.75" customHeight="1">
      <c r="A213" s="80" t="s">
        <v>351</v>
      </c>
      <c r="B213" s="80" t="str">
        <f>'дод. 3'!A25</f>
        <v>1100</v>
      </c>
      <c r="C213" s="80" t="str">
        <f>'дод. 3'!B25</f>
        <v>0960</v>
      </c>
      <c r="D213" s="109" t="str">
        <f>'дод. 3'!C25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213" s="82">
        <f>F213+I213</f>
        <v>29907268</v>
      </c>
      <c r="F213" s="82">
        <f>29741300+75000+45968+20000+10000+5000+10000</f>
        <v>29907268</v>
      </c>
      <c r="G213" s="82">
        <v>23498774</v>
      </c>
      <c r="H213" s="82">
        <v>711900</v>
      </c>
      <c r="I213" s="82"/>
      <c r="J213" s="82">
        <f t="shared" si="73"/>
        <v>2310850</v>
      </c>
      <c r="K213" s="82">
        <f>2108830</f>
        <v>2108830</v>
      </c>
      <c r="L213" s="82">
        <v>1721450</v>
      </c>
      <c r="M213" s="82"/>
      <c r="N213" s="82">
        <f>200000+4720+12300-15000</f>
        <v>202020</v>
      </c>
      <c r="O213" s="82">
        <f>200000+12300-15000</f>
        <v>197300</v>
      </c>
      <c r="P213" s="82">
        <f>E213+J213</f>
        <v>32218118</v>
      </c>
      <c r="Q213" s="287"/>
      <c r="R213" s="158"/>
      <c r="S213" s="158"/>
      <c r="T213" s="158"/>
    </row>
    <row r="214" spans="1:20" s="4" customFormat="1" ht="21" customHeight="1">
      <c r="A214" s="80" t="s">
        <v>311</v>
      </c>
      <c r="B214" s="80" t="str">
        <f>'дод. 3'!A141</f>
        <v>4030</v>
      </c>
      <c r="C214" s="80" t="str">
        <f>'дод. 3'!B141</f>
        <v>0824</v>
      </c>
      <c r="D214" s="109" t="str">
        <f>'дод. 3'!C141</f>
        <v>Забезпечення діяльності бібліотек</v>
      </c>
      <c r="E214" s="82">
        <f>F214+I214</f>
        <v>16378546</v>
      </c>
      <c r="F214" s="82">
        <f>15733720+338000+149950+1000+4500+57000+56376-5000+12000+15000+10000+6000</f>
        <v>16378546</v>
      </c>
      <c r="G214" s="82">
        <v>11407051</v>
      </c>
      <c r="H214" s="82">
        <v>1115260</v>
      </c>
      <c r="I214" s="82"/>
      <c r="J214" s="82">
        <f t="shared" si="73"/>
        <v>1257150</v>
      </c>
      <c r="K214" s="82">
        <f>27000</f>
        <v>27000</v>
      </c>
      <c r="L214" s="82">
        <v>5000</v>
      </c>
      <c r="M214" s="82"/>
      <c r="N214" s="82">
        <f>300000+850050+23000+47100+10000</f>
        <v>1230150</v>
      </c>
      <c r="O214" s="82">
        <f>300000+850050+23000+47100+10000</f>
        <v>1230150</v>
      </c>
      <c r="P214" s="82">
        <f>E214+J214</f>
        <v>17635696</v>
      </c>
      <c r="Q214" s="287"/>
      <c r="R214" s="158"/>
      <c r="S214" s="158"/>
      <c r="T214" s="158"/>
    </row>
    <row r="215" spans="1:20" s="4" customFormat="1" ht="38.25" customHeight="1">
      <c r="A215" s="80" t="s">
        <v>312</v>
      </c>
      <c r="B215" s="80" t="str">
        <f>'дод. 3'!A143</f>
        <v>4080</v>
      </c>
      <c r="C215" s="80">
        <f>'дод. 3'!B143</f>
        <v>0</v>
      </c>
      <c r="D215" s="109" t="str">
        <f>'дод. 3'!C143</f>
        <v>Інші заклади та заходи в галузі культури і мистецтва</v>
      </c>
      <c r="E215" s="82">
        <f>E216+E217</f>
        <v>3619632</v>
      </c>
      <c r="F215" s="82">
        <f aca="true" t="shared" si="74" ref="F215:P215">F216+F217</f>
        <v>3619632</v>
      </c>
      <c r="G215" s="82">
        <f t="shared" si="74"/>
        <v>878134</v>
      </c>
      <c r="H215" s="82">
        <f t="shared" si="74"/>
        <v>20111</v>
      </c>
      <c r="I215" s="82">
        <f t="shared" si="74"/>
        <v>0</v>
      </c>
      <c r="J215" s="82">
        <f t="shared" si="74"/>
        <v>50000</v>
      </c>
      <c r="K215" s="82">
        <f t="shared" si="74"/>
        <v>0</v>
      </c>
      <c r="L215" s="82">
        <f t="shared" si="74"/>
        <v>0</v>
      </c>
      <c r="M215" s="82">
        <f t="shared" si="74"/>
        <v>0</v>
      </c>
      <c r="N215" s="82">
        <f t="shared" si="74"/>
        <v>50000</v>
      </c>
      <c r="O215" s="82">
        <f t="shared" si="74"/>
        <v>50000</v>
      </c>
      <c r="P215" s="82">
        <f t="shared" si="74"/>
        <v>3669632</v>
      </c>
      <c r="Q215" s="287"/>
      <c r="R215" s="159"/>
      <c r="S215" s="159"/>
      <c r="T215" s="159"/>
    </row>
    <row r="216" spans="1:20" s="115" customFormat="1" ht="33.75" customHeight="1">
      <c r="A216" s="93">
        <v>1014081</v>
      </c>
      <c r="B216" s="83" t="str">
        <f>'дод. 3'!A144</f>
        <v>4081</v>
      </c>
      <c r="C216" s="83" t="str">
        <f>'дод. 3'!B144</f>
        <v>0829</v>
      </c>
      <c r="D216" s="106" t="str">
        <f>'дод. 3'!C144</f>
        <v>Забезпечення діяльності інших закладів в галузі культури і мистецтва </v>
      </c>
      <c r="E216" s="85">
        <f>F216+I216</f>
        <v>1212180</v>
      </c>
      <c r="F216" s="85">
        <v>1212180</v>
      </c>
      <c r="G216" s="85">
        <v>878134</v>
      </c>
      <c r="H216" s="85">
        <v>20111</v>
      </c>
      <c r="I216" s="85"/>
      <c r="J216" s="85">
        <f t="shared" si="73"/>
        <v>50000</v>
      </c>
      <c r="K216" s="85"/>
      <c r="L216" s="85"/>
      <c r="M216" s="85"/>
      <c r="N216" s="85">
        <v>50000</v>
      </c>
      <c r="O216" s="85">
        <v>50000</v>
      </c>
      <c r="P216" s="85">
        <f>E216+J216</f>
        <v>1262180</v>
      </c>
      <c r="Q216" s="287"/>
      <c r="R216" s="160"/>
      <c r="S216" s="160"/>
      <c r="T216" s="160"/>
    </row>
    <row r="217" spans="1:20" s="115" customFormat="1" ht="25.5" customHeight="1">
      <c r="A217" s="93">
        <v>1014082</v>
      </c>
      <c r="B217" s="83" t="str">
        <f>'дод. 3'!A145</f>
        <v>4082</v>
      </c>
      <c r="C217" s="83" t="str">
        <f>'дод. 3'!B145</f>
        <v>0829</v>
      </c>
      <c r="D217" s="106" t="str">
        <f>'дод. 3'!C145</f>
        <v>Інші заходи в галузі культури і мистецтва</v>
      </c>
      <c r="E217" s="85">
        <f>F217+I217</f>
        <v>2407452</v>
      </c>
      <c r="F217" s="85">
        <f>1900000+193952+7500+186000+50000+70000</f>
        <v>2407452</v>
      </c>
      <c r="G217" s="85"/>
      <c r="H217" s="85"/>
      <c r="I217" s="85"/>
      <c r="J217" s="85">
        <f t="shared" si="73"/>
        <v>0</v>
      </c>
      <c r="K217" s="85"/>
      <c r="L217" s="85"/>
      <c r="M217" s="85"/>
      <c r="N217" s="85"/>
      <c r="O217" s="85"/>
      <c r="P217" s="85">
        <f>E217+J217</f>
        <v>2407452</v>
      </c>
      <c r="Q217" s="287"/>
      <c r="R217" s="160"/>
      <c r="S217" s="160"/>
      <c r="T217" s="160"/>
    </row>
    <row r="218" spans="1:20" s="115" customFormat="1" ht="25.5" customHeight="1">
      <c r="A218" s="5" t="s">
        <v>660</v>
      </c>
      <c r="B218" s="80" t="s">
        <v>598</v>
      </c>
      <c r="C218" s="83"/>
      <c r="D218" s="109" t="s">
        <v>600</v>
      </c>
      <c r="E218" s="85">
        <f>E220</f>
        <v>0</v>
      </c>
      <c r="F218" s="85">
        <f aca="true" t="shared" si="75" ref="F218:P218">F220</f>
        <v>0</v>
      </c>
      <c r="G218" s="85">
        <f t="shared" si="75"/>
        <v>0</v>
      </c>
      <c r="H218" s="85">
        <f t="shared" si="75"/>
        <v>0</v>
      </c>
      <c r="I218" s="85">
        <f t="shared" si="75"/>
        <v>0</v>
      </c>
      <c r="J218" s="82">
        <f t="shared" si="75"/>
        <v>15000</v>
      </c>
      <c r="K218" s="85">
        <f t="shared" si="75"/>
        <v>0</v>
      </c>
      <c r="L218" s="85">
        <f t="shared" si="75"/>
        <v>0</v>
      </c>
      <c r="M218" s="85">
        <f t="shared" si="75"/>
        <v>0</v>
      </c>
      <c r="N218" s="82">
        <f t="shared" si="75"/>
        <v>15000</v>
      </c>
      <c r="O218" s="82">
        <f t="shared" si="75"/>
        <v>15000</v>
      </c>
      <c r="P218" s="82">
        <f t="shared" si="75"/>
        <v>15000</v>
      </c>
      <c r="Q218" s="287"/>
      <c r="R218" s="160"/>
      <c r="S218" s="160"/>
      <c r="T218" s="160"/>
    </row>
    <row r="219" spans="1:20" s="115" customFormat="1" ht="25.5" customHeight="1">
      <c r="A219" s="93"/>
      <c r="B219" s="83"/>
      <c r="C219" s="83"/>
      <c r="D219" s="109" t="s">
        <v>416</v>
      </c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287"/>
      <c r="R219" s="160"/>
      <c r="S219" s="160"/>
      <c r="T219" s="160"/>
    </row>
    <row r="220" spans="1:20" s="115" customFormat="1" ht="29.25" customHeight="1">
      <c r="A220" s="7" t="s">
        <v>661</v>
      </c>
      <c r="B220" s="83" t="s">
        <v>599</v>
      </c>
      <c r="C220" s="83" t="s">
        <v>126</v>
      </c>
      <c r="D220" s="106" t="s">
        <v>601</v>
      </c>
      <c r="E220" s="85"/>
      <c r="F220" s="85"/>
      <c r="G220" s="85"/>
      <c r="H220" s="85"/>
      <c r="I220" s="85"/>
      <c r="J220" s="85">
        <f>K220+N220</f>
        <v>15000</v>
      </c>
      <c r="K220" s="85"/>
      <c r="L220" s="85"/>
      <c r="M220" s="85"/>
      <c r="N220" s="85">
        <v>15000</v>
      </c>
      <c r="O220" s="85">
        <v>15000</v>
      </c>
      <c r="P220" s="85">
        <f>J220+E220</f>
        <v>15000</v>
      </c>
      <c r="Q220" s="287"/>
      <c r="R220" s="160"/>
      <c r="S220" s="160"/>
      <c r="T220" s="160"/>
    </row>
    <row r="221" spans="1:20" s="115" customFormat="1" ht="25.5" customHeight="1">
      <c r="A221" s="93"/>
      <c r="B221" s="83"/>
      <c r="C221" s="83"/>
      <c r="D221" s="106" t="s">
        <v>416</v>
      </c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287"/>
      <c r="R221" s="160"/>
      <c r="S221" s="160"/>
      <c r="T221" s="160"/>
    </row>
    <row r="222" spans="1:20" s="4" customFormat="1" ht="22.5" customHeight="1">
      <c r="A222" s="80" t="s">
        <v>233</v>
      </c>
      <c r="B222" s="80" t="str">
        <f>'дод. 3'!A210</f>
        <v>7640</v>
      </c>
      <c r="C222" s="80" t="str">
        <f>'дод. 3'!B210</f>
        <v>0470</v>
      </c>
      <c r="D222" s="107" t="str">
        <f>'дод. 3'!C210</f>
        <v>Заходи з енергозбереження</v>
      </c>
      <c r="E222" s="82">
        <f>F222+I222</f>
        <v>60000</v>
      </c>
      <c r="F222" s="82">
        <v>60000</v>
      </c>
      <c r="G222" s="82"/>
      <c r="H222" s="82"/>
      <c r="I222" s="82"/>
      <c r="J222" s="82">
        <f t="shared" si="73"/>
        <v>1648000</v>
      </c>
      <c r="K222" s="82"/>
      <c r="L222" s="82"/>
      <c r="M222" s="82"/>
      <c r="N222" s="82">
        <v>1648000</v>
      </c>
      <c r="O222" s="82">
        <v>1648000</v>
      </c>
      <c r="P222" s="82">
        <f>E222+J222</f>
        <v>1708000</v>
      </c>
      <c r="Q222" s="287"/>
      <c r="R222" s="158"/>
      <c r="S222" s="158"/>
      <c r="T222" s="158"/>
    </row>
    <row r="223" spans="1:20" s="112" customFormat="1" ht="28.5">
      <c r="A223" s="111" t="s">
        <v>313</v>
      </c>
      <c r="B223" s="36"/>
      <c r="C223" s="36"/>
      <c r="D223" s="35" t="s">
        <v>63</v>
      </c>
      <c r="E223" s="46">
        <f>E224</f>
        <v>93296942.1</v>
      </c>
      <c r="F223" s="46">
        <f aca="true" t="shared" si="76" ref="F223:P223">F224</f>
        <v>76215541.94999999</v>
      </c>
      <c r="G223" s="46">
        <f t="shared" si="76"/>
        <v>7603186.1</v>
      </c>
      <c r="H223" s="46">
        <f t="shared" si="76"/>
        <v>18331620</v>
      </c>
      <c r="I223" s="46">
        <f t="shared" si="76"/>
        <v>17081400.15</v>
      </c>
      <c r="J223" s="46">
        <f t="shared" si="76"/>
        <v>167097550.5</v>
      </c>
      <c r="K223" s="46">
        <f t="shared" si="76"/>
        <v>2057124.01</v>
      </c>
      <c r="L223" s="46">
        <f t="shared" si="76"/>
        <v>0</v>
      </c>
      <c r="M223" s="46">
        <f t="shared" si="76"/>
        <v>0</v>
      </c>
      <c r="N223" s="46">
        <f t="shared" si="76"/>
        <v>165040426.49</v>
      </c>
      <c r="O223" s="46">
        <f t="shared" si="76"/>
        <v>147044601.94</v>
      </c>
      <c r="P223" s="46">
        <f t="shared" si="76"/>
        <v>260394492.6</v>
      </c>
      <c r="Q223" s="287"/>
      <c r="R223" s="156"/>
      <c r="S223" s="156"/>
      <c r="T223" s="156"/>
    </row>
    <row r="224" spans="1:20" s="114" customFormat="1" ht="30">
      <c r="A224" s="113" t="s">
        <v>314</v>
      </c>
      <c r="B224" s="124"/>
      <c r="C224" s="124"/>
      <c r="D224" s="123" t="s">
        <v>63</v>
      </c>
      <c r="E224" s="79">
        <f>E226+E227+E228+E234+E235+E236+E242+E243+E244+E250+E251+E253+E254+E255+E245+E241+E237</f>
        <v>93296942.1</v>
      </c>
      <c r="F224" s="79">
        <f aca="true" t="shared" si="77" ref="F224:P224">F226+F227+F228+F234+F235+F236+F242+F243+F244+F250+F251+F253+F254+F255+F245+F241+F237</f>
        <v>76215541.94999999</v>
      </c>
      <c r="G224" s="79">
        <f t="shared" si="77"/>
        <v>7603186.1</v>
      </c>
      <c r="H224" s="79">
        <f t="shared" si="77"/>
        <v>18331620</v>
      </c>
      <c r="I224" s="79">
        <f t="shared" si="77"/>
        <v>17081400.15</v>
      </c>
      <c r="J224" s="79">
        <f t="shared" si="77"/>
        <v>167097550.5</v>
      </c>
      <c r="K224" s="79">
        <f t="shared" si="77"/>
        <v>2057124.01</v>
      </c>
      <c r="L224" s="79">
        <f t="shared" si="77"/>
        <v>0</v>
      </c>
      <c r="M224" s="79">
        <f t="shared" si="77"/>
        <v>0</v>
      </c>
      <c r="N224" s="79">
        <f t="shared" si="77"/>
        <v>165040426.49</v>
      </c>
      <c r="O224" s="79">
        <f t="shared" si="77"/>
        <v>147044601.94</v>
      </c>
      <c r="P224" s="79">
        <f t="shared" si="77"/>
        <v>260394492.6</v>
      </c>
      <c r="Q224" s="287">
        <v>12</v>
      </c>
      <c r="R224" s="165"/>
      <c r="S224" s="165"/>
      <c r="T224" s="165"/>
    </row>
    <row r="225" spans="1:20" s="114" customFormat="1" ht="21" customHeight="1">
      <c r="A225" s="113"/>
      <c r="B225" s="124"/>
      <c r="C225" s="124"/>
      <c r="D225" s="123" t="s">
        <v>416</v>
      </c>
      <c r="E225" s="79">
        <f>E246+E238</f>
        <v>0</v>
      </c>
      <c r="F225" s="79">
        <f aca="true" t="shared" si="78" ref="F225:P225">F246+F238</f>
        <v>0</v>
      </c>
      <c r="G225" s="79">
        <f t="shared" si="78"/>
        <v>0</v>
      </c>
      <c r="H225" s="79">
        <f t="shared" si="78"/>
        <v>0</v>
      </c>
      <c r="I225" s="79">
        <f t="shared" si="78"/>
        <v>0</v>
      </c>
      <c r="J225" s="79">
        <f t="shared" si="78"/>
        <v>14478868.85</v>
      </c>
      <c r="K225" s="79">
        <f t="shared" si="78"/>
        <v>0</v>
      </c>
      <c r="L225" s="79">
        <f t="shared" si="78"/>
        <v>0</v>
      </c>
      <c r="M225" s="79">
        <f t="shared" si="78"/>
        <v>0</v>
      </c>
      <c r="N225" s="79">
        <f t="shared" si="78"/>
        <v>14478868.85</v>
      </c>
      <c r="O225" s="79">
        <f t="shared" si="78"/>
        <v>773868.85</v>
      </c>
      <c r="P225" s="79">
        <f t="shared" si="78"/>
        <v>14478868.85</v>
      </c>
      <c r="Q225" s="287"/>
      <c r="R225" s="165"/>
      <c r="S225" s="165"/>
      <c r="T225" s="165"/>
    </row>
    <row r="226" spans="1:20" s="4" customFormat="1" ht="45">
      <c r="A226" s="80" t="s">
        <v>315</v>
      </c>
      <c r="B226" s="80" t="str">
        <f>'дод. 3'!A13</f>
        <v>0160</v>
      </c>
      <c r="C226" s="80" t="str">
        <f>'дод. 3'!B13</f>
        <v>0111</v>
      </c>
      <c r="D226" s="81" t="str">
        <f>'дод. 3'!C13</f>
        <v>Керівництво і управління у відповідній сфері у містах (місті Києві), селищах, селах, об’єднаних територіальних громадах</v>
      </c>
      <c r="E226" s="82">
        <f>F226+I226</f>
        <v>9699700</v>
      </c>
      <c r="F226" s="82">
        <f>9793300-93600</f>
        <v>9699700</v>
      </c>
      <c r="G226" s="82">
        <v>7590891</v>
      </c>
      <c r="H226" s="82">
        <v>102300</v>
      </c>
      <c r="I226" s="82"/>
      <c r="J226" s="82">
        <f>K226+N226</f>
        <v>62500</v>
      </c>
      <c r="K226" s="82"/>
      <c r="L226" s="82"/>
      <c r="M226" s="82"/>
      <c r="N226" s="82">
        <f>200000-137500</f>
        <v>62500</v>
      </c>
      <c r="O226" s="82">
        <f>200000-137500</f>
        <v>62500</v>
      </c>
      <c r="P226" s="82">
        <f>E226+J226</f>
        <v>9762200</v>
      </c>
      <c r="Q226" s="287"/>
      <c r="R226" s="158"/>
      <c r="S226" s="158"/>
      <c r="T226" s="158"/>
    </row>
    <row r="227" spans="1:20" s="4" customFormat="1" ht="19.5" customHeight="1">
      <c r="A227" s="90" t="s">
        <v>474</v>
      </c>
      <c r="B227" s="90" t="str">
        <f>'дод. 3'!A130</f>
        <v>3210</v>
      </c>
      <c r="C227" s="90" t="str">
        <f>'дод. 3'!B130</f>
        <v>1050</v>
      </c>
      <c r="D227" s="108" t="str">
        <f>'дод. 3'!C130</f>
        <v>Організація та проведення громадських робіт</v>
      </c>
      <c r="E227" s="82">
        <f>F227+I227</f>
        <v>565000</v>
      </c>
      <c r="F227" s="82">
        <v>565000</v>
      </c>
      <c r="G227" s="82">
        <v>12295.1</v>
      </c>
      <c r="H227" s="82"/>
      <c r="I227" s="82"/>
      <c r="J227" s="82">
        <f aca="true" t="shared" si="79" ref="J227:J255">K227+N227</f>
        <v>0</v>
      </c>
      <c r="K227" s="82"/>
      <c r="L227" s="82"/>
      <c r="M227" s="82"/>
      <c r="N227" s="82"/>
      <c r="O227" s="82"/>
      <c r="P227" s="82">
        <f>E227+J227</f>
        <v>565000</v>
      </c>
      <c r="Q227" s="287"/>
      <c r="R227" s="158"/>
      <c r="S227" s="158"/>
      <c r="T227" s="158"/>
    </row>
    <row r="228" spans="1:20" s="4" customFormat="1" ht="32.25" customHeight="1">
      <c r="A228" s="80" t="s">
        <v>316</v>
      </c>
      <c r="B228" s="80" t="str">
        <f>'дод. 3'!A158</f>
        <v>6010</v>
      </c>
      <c r="C228" s="80">
        <f>'дод. 3'!B158</f>
        <v>0</v>
      </c>
      <c r="D228" s="109" t="str">
        <f>'дод. 3'!C158</f>
        <v>Утримання та ефективна експлуатація об’єктів житлово-комунального господарства</v>
      </c>
      <c r="E228" s="82">
        <f>E229+E230+E231+E233+E232</f>
        <v>10603842</v>
      </c>
      <c r="F228" s="82">
        <f aca="true" t="shared" si="80" ref="F228:P228">F229+F230+F231+F233+F232</f>
        <v>1747700</v>
      </c>
      <c r="G228" s="82">
        <f t="shared" si="80"/>
        <v>0</v>
      </c>
      <c r="H228" s="82">
        <f t="shared" si="80"/>
        <v>0</v>
      </c>
      <c r="I228" s="82">
        <f t="shared" si="80"/>
        <v>8856142</v>
      </c>
      <c r="J228" s="82">
        <f t="shared" si="80"/>
        <v>65682230</v>
      </c>
      <c r="K228" s="82">
        <f t="shared" si="80"/>
        <v>0</v>
      </c>
      <c r="L228" s="82">
        <f t="shared" si="80"/>
        <v>0</v>
      </c>
      <c r="M228" s="82">
        <f t="shared" si="80"/>
        <v>0</v>
      </c>
      <c r="N228" s="82">
        <f t="shared" si="80"/>
        <v>65682230</v>
      </c>
      <c r="O228" s="82">
        <f t="shared" si="80"/>
        <v>65682230</v>
      </c>
      <c r="P228" s="82">
        <f t="shared" si="80"/>
        <v>76286072</v>
      </c>
      <c r="Q228" s="287"/>
      <c r="R228" s="159"/>
      <c r="S228" s="159"/>
      <c r="T228" s="159"/>
    </row>
    <row r="229" spans="1:20" s="115" customFormat="1" ht="30">
      <c r="A229" s="83" t="s">
        <v>317</v>
      </c>
      <c r="B229" s="83" t="str">
        <f>'дод. 3'!A159</f>
        <v>6011</v>
      </c>
      <c r="C229" s="83" t="str">
        <f>'дод. 3'!B159</f>
        <v>0620</v>
      </c>
      <c r="D229" s="106" t="str">
        <f>'дод. 3'!C159</f>
        <v>Експлуатація та технічне обслуговування житлового фонду</v>
      </c>
      <c r="E229" s="85">
        <f aca="true" t="shared" si="81" ref="E229:E250">F229+I229</f>
        <v>0</v>
      </c>
      <c r="F229" s="85"/>
      <c r="G229" s="85"/>
      <c r="H229" s="85"/>
      <c r="I229" s="85"/>
      <c r="J229" s="85">
        <f t="shared" si="79"/>
        <v>33004208</v>
      </c>
      <c r="K229" s="85"/>
      <c r="L229" s="85"/>
      <c r="M229" s="85"/>
      <c r="N229" s="85">
        <f>20000000+15000000-150000-4100000+20000+350000+2000+2000+92000+35000+83268+60000+70000+1480000+25000-38060+73000</f>
        <v>33004208</v>
      </c>
      <c r="O229" s="85">
        <f>20000000+15000000-150000-4100000+20000+350000+2000+2000+92000+35000+83268+60000+70000+1480000+25000-38060+73000</f>
        <v>33004208</v>
      </c>
      <c r="P229" s="85">
        <f aca="true" t="shared" si="82" ref="P229:P250">E229+J229</f>
        <v>33004208</v>
      </c>
      <c r="Q229" s="287"/>
      <c r="R229" s="160"/>
      <c r="S229" s="160"/>
      <c r="T229" s="160"/>
    </row>
    <row r="230" spans="1:20" s="115" customFormat="1" ht="30">
      <c r="A230" s="83" t="s">
        <v>318</v>
      </c>
      <c r="B230" s="83" t="str">
        <f>'дод. 3'!A160</f>
        <v>6013</v>
      </c>
      <c r="C230" s="83" t="str">
        <f>'дод. 3'!B160</f>
        <v>0620</v>
      </c>
      <c r="D230" s="106" t="str">
        <f>'дод. 3'!C160</f>
        <v>Забезпечення діяльності водопровідно-каналізаційного господарства</v>
      </c>
      <c r="E230" s="85">
        <f t="shared" si="81"/>
        <v>9696142</v>
      </c>
      <c r="F230" s="85">
        <f>200000+90000+550000</f>
        <v>840000</v>
      </c>
      <c r="G230" s="85"/>
      <c r="H230" s="85"/>
      <c r="I230" s="85">
        <f>3096000+3760142+662656+1337344</f>
        <v>8856142</v>
      </c>
      <c r="J230" s="85">
        <f t="shared" si="79"/>
        <v>542622</v>
      </c>
      <c r="K230" s="85"/>
      <c r="L230" s="85"/>
      <c r="M230" s="85"/>
      <c r="N230" s="85">
        <f>222622+320000</f>
        <v>542622</v>
      </c>
      <c r="O230" s="85">
        <f>222622+320000</f>
        <v>542622</v>
      </c>
      <c r="P230" s="85">
        <f t="shared" si="82"/>
        <v>10238764</v>
      </c>
      <c r="Q230" s="287"/>
      <c r="R230" s="160"/>
      <c r="S230" s="160"/>
      <c r="T230" s="160"/>
    </row>
    <row r="231" spans="1:20" s="115" customFormat="1" ht="35.25" customHeight="1">
      <c r="A231" s="83" t="s">
        <v>405</v>
      </c>
      <c r="B231" s="83" t="str">
        <f>'дод. 3'!A161</f>
        <v>6015</v>
      </c>
      <c r="C231" s="83" t="str">
        <f>'дод. 3'!B161</f>
        <v>0620</v>
      </c>
      <c r="D231" s="106" t="str">
        <f>'дод. 3'!C161</f>
        <v>Забезпечення надійної та безперебійної експлуатації ліфтів</v>
      </c>
      <c r="E231" s="85">
        <f t="shared" si="81"/>
        <v>503000</v>
      </c>
      <c r="F231" s="85">
        <f>350000+153000</f>
        <v>503000</v>
      </c>
      <c r="G231" s="85"/>
      <c r="H231" s="85"/>
      <c r="I231" s="85"/>
      <c r="J231" s="85">
        <f>K231+N231</f>
        <v>29957400</v>
      </c>
      <c r="K231" s="85"/>
      <c r="L231" s="85"/>
      <c r="M231" s="85"/>
      <c r="N231" s="85">
        <f>20000000+10000000-35000-7600</f>
        <v>29957400</v>
      </c>
      <c r="O231" s="85">
        <f>20000000+10000000-35000-7600</f>
        <v>29957400</v>
      </c>
      <c r="P231" s="85">
        <f t="shared" si="82"/>
        <v>30460400</v>
      </c>
      <c r="Q231" s="287"/>
      <c r="R231" s="160"/>
      <c r="S231" s="160"/>
      <c r="T231" s="160"/>
    </row>
    <row r="232" spans="1:20" s="115" customFormat="1" ht="46.5" customHeight="1">
      <c r="A232" s="83" t="s">
        <v>610</v>
      </c>
      <c r="B232" s="83" t="str">
        <f>'дод. 3'!A162</f>
        <v>6016</v>
      </c>
      <c r="C232" s="83" t="str">
        <f>'дод. 3'!B162</f>
        <v>0620</v>
      </c>
      <c r="D232" s="106" t="str">
        <f>'дод. 3'!C162</f>
        <v>Впровадження засобів обліку витрат та регулювання споживання води та теплової енергії</v>
      </c>
      <c r="E232" s="85">
        <f t="shared" si="81"/>
        <v>0</v>
      </c>
      <c r="F232" s="85"/>
      <c r="G232" s="85"/>
      <c r="H232" s="85"/>
      <c r="I232" s="85"/>
      <c r="J232" s="85">
        <f>K232+N232</f>
        <v>2178000</v>
      </c>
      <c r="K232" s="85"/>
      <c r="L232" s="85"/>
      <c r="M232" s="85"/>
      <c r="N232" s="85">
        <v>2178000</v>
      </c>
      <c r="O232" s="85">
        <v>2178000</v>
      </c>
      <c r="P232" s="85">
        <f t="shared" si="82"/>
        <v>2178000</v>
      </c>
      <c r="Q232" s="287"/>
      <c r="R232" s="160"/>
      <c r="S232" s="160"/>
      <c r="T232" s="160"/>
    </row>
    <row r="233" spans="1:20" s="115" customFormat="1" ht="38.25" customHeight="1">
      <c r="A233" s="83" t="s">
        <v>408</v>
      </c>
      <c r="B233" s="83" t="str">
        <f>'дод. 3'!A163</f>
        <v>6017</v>
      </c>
      <c r="C233" s="83" t="str">
        <f>'дод. 3'!B163</f>
        <v>0620</v>
      </c>
      <c r="D233" s="106" t="str">
        <f>'дод. 3'!C163</f>
        <v>Інша діяльність, пов’язана з експлуатацією об’єктів житлово-комунального господарства </v>
      </c>
      <c r="E233" s="85">
        <f t="shared" si="81"/>
        <v>404700</v>
      </c>
      <c r="F233" s="85">
        <f>1000000-595300</f>
        <v>404700</v>
      </c>
      <c r="G233" s="85"/>
      <c r="H233" s="85"/>
      <c r="I233" s="85"/>
      <c r="J233" s="85">
        <f t="shared" si="79"/>
        <v>0</v>
      </c>
      <c r="K233" s="85"/>
      <c r="L233" s="85"/>
      <c r="M233" s="85"/>
      <c r="N233" s="85"/>
      <c r="O233" s="85"/>
      <c r="P233" s="85">
        <f t="shared" si="82"/>
        <v>404700</v>
      </c>
      <c r="Q233" s="287"/>
      <c r="R233" s="160"/>
      <c r="S233" s="160"/>
      <c r="T233" s="160"/>
    </row>
    <row r="234" spans="1:20" s="115" customFormat="1" ht="45">
      <c r="A234" s="86" t="s">
        <v>319</v>
      </c>
      <c r="B234" s="86" t="str">
        <f>'дод. 3'!A164</f>
        <v>6020</v>
      </c>
      <c r="C234" s="86" t="str">
        <f>'дод. 3'!B164</f>
        <v>0620</v>
      </c>
      <c r="D234" s="107" t="str">
        <f>'дод. 3'!C164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34" s="88">
        <f t="shared" si="81"/>
        <v>6402960.7</v>
      </c>
      <c r="F234" s="88"/>
      <c r="G234" s="88"/>
      <c r="H234" s="88"/>
      <c r="I234" s="88">
        <f>300000+6102960.7</f>
        <v>6402960.7</v>
      </c>
      <c r="J234" s="88">
        <f t="shared" si="79"/>
        <v>0</v>
      </c>
      <c r="K234" s="88"/>
      <c r="L234" s="88"/>
      <c r="M234" s="88"/>
      <c r="N234" s="88"/>
      <c r="O234" s="88"/>
      <c r="P234" s="88">
        <f t="shared" si="82"/>
        <v>6402960.7</v>
      </c>
      <c r="Q234" s="287"/>
      <c r="R234" s="158"/>
      <c r="S234" s="158"/>
      <c r="T234" s="158"/>
    </row>
    <row r="235" spans="1:20" s="4" customFormat="1" ht="21.75" customHeight="1">
      <c r="A235" s="86" t="s">
        <v>320</v>
      </c>
      <c r="B235" s="86" t="str">
        <f>'дод. 3'!A165</f>
        <v>6030</v>
      </c>
      <c r="C235" s="86" t="str">
        <f>'дод. 3'!B165</f>
        <v>0620</v>
      </c>
      <c r="D235" s="107" t="str">
        <f>'дод. 3'!C165</f>
        <v>Організація благоустрою населених пунктів</v>
      </c>
      <c r="E235" s="88">
        <f t="shared" si="81"/>
        <v>59656017.4</v>
      </c>
      <c r="F235" s="88">
        <f>51058210+4128000+3150000+2000000-428011-345568+1075722-757130-547750-1567100-10000+2800000-247489+500000-1440655.7-102277-5000-10000-5000-164200+500000-412000-2000-321786.35-150000-5000-5000-10000-11000+500000-20000-25000+200000+101300+59000-5000</f>
        <v>59475264.949999996</v>
      </c>
      <c r="G235" s="88"/>
      <c r="H235" s="88">
        <f>16966320+500000+723000</f>
        <v>18189320</v>
      </c>
      <c r="I235" s="88">
        <f>180000+752.45</f>
        <v>180752.45</v>
      </c>
      <c r="J235" s="88">
        <f t="shared" si="79"/>
        <v>43348259.35</v>
      </c>
      <c r="K235" s="88"/>
      <c r="L235" s="88"/>
      <c r="M235" s="88"/>
      <c r="N235" s="88">
        <f>37188104+9000000+9000000+3150000-1000000-312300+497824+499005+500000-8558834-150000-56000-137000-434845-198030-185395-186000-488774-4920-175600-75000-15116.65-297115-824004-46555-130000-500000-559000-1480000-99475-77000-494000-116000+494000-37410-283300-59000</f>
        <v>43348259.35</v>
      </c>
      <c r="O235" s="88">
        <f>37188104+9000000+9000000+3150000-1000000-312300+497824+499005+500000-8558834-150000-56000-137000-434845-198030-185395-186000-488774-4920-175600-75000-15116.65-297115-824004-46555-130000-500000-559000-1480000-99475-77000-494000-116000+494000-37410-283300-59000</f>
        <v>43348259.35</v>
      </c>
      <c r="P235" s="88">
        <f t="shared" si="82"/>
        <v>103004276.75</v>
      </c>
      <c r="Q235" s="287"/>
      <c r="R235" s="158"/>
      <c r="S235" s="158"/>
      <c r="T235" s="167"/>
    </row>
    <row r="236" spans="1:20" s="4" customFormat="1" ht="31.5" customHeight="1">
      <c r="A236" s="86" t="s">
        <v>396</v>
      </c>
      <c r="B236" s="86" t="str">
        <f>'дод. 3'!A173</f>
        <v>6090</v>
      </c>
      <c r="C236" s="86" t="str">
        <f>'дод. 3'!B173</f>
        <v>0640</v>
      </c>
      <c r="D236" s="107" t="str">
        <f>'дод. 3'!C173</f>
        <v>Інша діяльність у сфері житлово-комунального господарства</v>
      </c>
      <c r="E236" s="88">
        <f t="shared" si="81"/>
        <v>3542152</v>
      </c>
      <c r="F236" s="88">
        <f>391104+1450191+670875-160875+89982+150000</f>
        <v>2591277</v>
      </c>
      <c r="G236" s="88"/>
      <c r="H236" s="88">
        <f>30000+10000</f>
        <v>40000</v>
      </c>
      <c r="I236" s="88">
        <f>160875+790000</f>
        <v>950875</v>
      </c>
      <c r="J236" s="88">
        <f t="shared" si="79"/>
        <v>0</v>
      </c>
      <c r="K236" s="88"/>
      <c r="L236" s="88"/>
      <c r="M236" s="88"/>
      <c r="N236" s="88"/>
      <c r="O236" s="88"/>
      <c r="P236" s="88">
        <f t="shared" si="82"/>
        <v>3542152</v>
      </c>
      <c r="Q236" s="287"/>
      <c r="R236" s="158"/>
      <c r="S236" s="158"/>
      <c r="T236" s="158"/>
    </row>
    <row r="237" spans="1:20" s="4" customFormat="1" ht="31.5" customHeight="1">
      <c r="A237" s="86" t="s">
        <v>639</v>
      </c>
      <c r="B237" s="86" t="str">
        <f>'дод. 3'!A166</f>
        <v>6070</v>
      </c>
      <c r="C237" s="86">
        <f>'дод. 3'!B166</f>
        <v>0</v>
      </c>
      <c r="D237" s="107" t="str">
        <f>'дод. 3'!C166</f>
        <v>Регулювання цін/тарифів на житлово-комунальні послуги</v>
      </c>
      <c r="E237" s="88">
        <f>E239</f>
        <v>0</v>
      </c>
      <c r="F237" s="88">
        <f aca="true" t="shared" si="83" ref="F237:P238">F239</f>
        <v>0</v>
      </c>
      <c r="G237" s="88">
        <f t="shared" si="83"/>
        <v>0</v>
      </c>
      <c r="H237" s="88">
        <f t="shared" si="83"/>
        <v>0</v>
      </c>
      <c r="I237" s="88">
        <f t="shared" si="83"/>
        <v>0</v>
      </c>
      <c r="J237" s="88">
        <f t="shared" si="83"/>
        <v>13705000</v>
      </c>
      <c r="K237" s="88">
        <f t="shared" si="83"/>
        <v>0</v>
      </c>
      <c r="L237" s="88">
        <f t="shared" si="83"/>
        <v>0</v>
      </c>
      <c r="M237" s="88">
        <f t="shared" si="83"/>
        <v>0</v>
      </c>
      <c r="N237" s="88">
        <f t="shared" si="83"/>
        <v>13705000</v>
      </c>
      <c r="O237" s="88">
        <f t="shared" si="83"/>
        <v>0</v>
      </c>
      <c r="P237" s="88">
        <f t="shared" si="83"/>
        <v>13705000</v>
      </c>
      <c r="Q237" s="287"/>
      <c r="R237" s="158"/>
      <c r="S237" s="158"/>
      <c r="T237" s="158"/>
    </row>
    <row r="238" spans="1:20" s="4" customFormat="1" ht="18.75" customHeight="1">
      <c r="A238" s="86"/>
      <c r="B238" s="86"/>
      <c r="C238" s="86"/>
      <c r="D238" s="107" t="s">
        <v>416</v>
      </c>
      <c r="E238" s="88">
        <f>E240</f>
        <v>0</v>
      </c>
      <c r="F238" s="88">
        <f t="shared" si="83"/>
        <v>0</v>
      </c>
      <c r="G238" s="88">
        <f t="shared" si="83"/>
        <v>0</v>
      </c>
      <c r="H238" s="88">
        <f t="shared" si="83"/>
        <v>0</v>
      </c>
      <c r="I238" s="88">
        <f t="shared" si="83"/>
        <v>0</v>
      </c>
      <c r="J238" s="88">
        <f t="shared" si="83"/>
        <v>13705000</v>
      </c>
      <c r="K238" s="88">
        <f t="shared" si="83"/>
        <v>0</v>
      </c>
      <c r="L238" s="88">
        <f t="shared" si="83"/>
        <v>0</v>
      </c>
      <c r="M238" s="88">
        <f t="shared" si="83"/>
        <v>0</v>
      </c>
      <c r="N238" s="88">
        <f t="shared" si="83"/>
        <v>13705000</v>
      </c>
      <c r="O238" s="88">
        <f t="shared" si="83"/>
        <v>0</v>
      </c>
      <c r="P238" s="88">
        <f t="shared" si="83"/>
        <v>13705000</v>
      </c>
      <c r="Q238" s="287"/>
      <c r="R238" s="158"/>
      <c r="S238" s="158"/>
      <c r="T238" s="158"/>
    </row>
    <row r="239" spans="1:20" s="115" customFormat="1" ht="216.75" customHeight="1">
      <c r="A239" s="83" t="s">
        <v>640</v>
      </c>
      <c r="B239" s="83" t="str">
        <f>'дод. 3'!A168</f>
        <v>6072</v>
      </c>
      <c r="C239" s="83" t="str">
        <f>'дод. 3'!B168</f>
        <v>0640</v>
      </c>
      <c r="D239" s="84" t="s">
        <v>638</v>
      </c>
      <c r="E239" s="85">
        <f>F239+I239</f>
        <v>0</v>
      </c>
      <c r="F239" s="85"/>
      <c r="G239" s="85"/>
      <c r="H239" s="85"/>
      <c r="I239" s="85"/>
      <c r="J239" s="85">
        <f>K239+N239</f>
        <v>13705000</v>
      </c>
      <c r="K239" s="85"/>
      <c r="L239" s="85"/>
      <c r="M239" s="85"/>
      <c r="N239" s="85">
        <v>13705000</v>
      </c>
      <c r="O239" s="85"/>
      <c r="P239" s="85">
        <f>E239+J239</f>
        <v>13705000</v>
      </c>
      <c r="Q239" s="287"/>
      <c r="R239" s="160"/>
      <c r="S239" s="160"/>
      <c r="T239" s="160"/>
    </row>
    <row r="240" spans="1:20" s="115" customFormat="1" ht="18" customHeight="1">
      <c r="A240" s="83"/>
      <c r="B240" s="83"/>
      <c r="C240" s="83"/>
      <c r="D240" s="107" t="s">
        <v>416</v>
      </c>
      <c r="E240" s="85"/>
      <c r="F240" s="85"/>
      <c r="G240" s="85"/>
      <c r="H240" s="85"/>
      <c r="I240" s="85"/>
      <c r="J240" s="85">
        <f>K240+N240</f>
        <v>13705000</v>
      </c>
      <c r="K240" s="85"/>
      <c r="L240" s="85"/>
      <c r="M240" s="85"/>
      <c r="N240" s="85">
        <v>13705000</v>
      </c>
      <c r="O240" s="85"/>
      <c r="P240" s="85">
        <f>E240+J240</f>
        <v>13705000</v>
      </c>
      <c r="Q240" s="287"/>
      <c r="R240" s="160"/>
      <c r="S240" s="160"/>
      <c r="T240" s="160"/>
    </row>
    <row r="241" spans="1:20" s="4" customFormat="1" ht="31.5" customHeight="1">
      <c r="A241" s="86" t="s">
        <v>630</v>
      </c>
      <c r="B241" s="86" t="str">
        <f>'дод. 3'!A176</f>
        <v>7130</v>
      </c>
      <c r="C241" s="86" t="str">
        <f>'дод. 3'!B176</f>
        <v>0421</v>
      </c>
      <c r="D241" s="107" t="str">
        <f>'дод. 3'!C176</f>
        <v>Здійснення  заходів із землеустрою</v>
      </c>
      <c r="E241" s="88">
        <f t="shared" si="81"/>
        <v>490670</v>
      </c>
      <c r="F241" s="88"/>
      <c r="G241" s="88"/>
      <c r="H241" s="88"/>
      <c r="I241" s="88">
        <v>490670</v>
      </c>
      <c r="J241" s="88">
        <f t="shared" si="79"/>
        <v>0</v>
      </c>
      <c r="K241" s="88"/>
      <c r="L241" s="88"/>
      <c r="M241" s="88"/>
      <c r="N241" s="88"/>
      <c r="O241" s="88"/>
      <c r="P241" s="88">
        <f t="shared" si="82"/>
        <v>490670</v>
      </c>
      <c r="Q241" s="287"/>
      <c r="R241" s="158"/>
      <c r="S241" s="158"/>
      <c r="T241" s="158"/>
    </row>
    <row r="242" spans="1:20" s="4" customFormat="1" ht="36.75" customHeight="1">
      <c r="A242" s="86" t="s">
        <v>424</v>
      </c>
      <c r="B242" s="86" t="str">
        <f>'дод. 3'!A179</f>
        <v>7310</v>
      </c>
      <c r="C242" s="86" t="str">
        <f>'дод. 3'!B179</f>
        <v>0443</v>
      </c>
      <c r="D242" s="107" t="str">
        <f>'дод. 3'!C179</f>
        <v>Будівництво об'єктів житлово-комунального господарства</v>
      </c>
      <c r="E242" s="88">
        <f t="shared" si="81"/>
        <v>0</v>
      </c>
      <c r="F242" s="88"/>
      <c r="G242" s="88"/>
      <c r="H242" s="88"/>
      <c r="I242" s="88"/>
      <c r="J242" s="88">
        <f>K242+N242</f>
        <v>25031850.13</v>
      </c>
      <c r="K242" s="88"/>
      <c r="L242" s="88"/>
      <c r="M242" s="88"/>
      <c r="N242" s="88">
        <f>2000000+500000+2000000+18725194.13+1595000-1500000+269000+1980000+20000+2120000+200000-1337344-21000-1519000</f>
        <v>25031850.13</v>
      </c>
      <c r="O242" s="88">
        <f>2000000+500000+2000000+18725194.13+1595000-1500000+269000+1980000+20000+2120000+200000-1337344-21000-1519000</f>
        <v>25031850.13</v>
      </c>
      <c r="P242" s="88">
        <f t="shared" si="82"/>
        <v>25031850.13</v>
      </c>
      <c r="Q242" s="287"/>
      <c r="R242" s="158"/>
      <c r="S242" s="158"/>
      <c r="T242" s="158"/>
    </row>
    <row r="243" spans="1:20" s="4" customFormat="1" ht="40.5" customHeight="1">
      <c r="A243" s="86" t="s">
        <v>426</v>
      </c>
      <c r="B243" s="86" t="str">
        <f>'дод. 3'!A184</f>
        <v>7330</v>
      </c>
      <c r="C243" s="86" t="str">
        <f>'дод. 3'!B184</f>
        <v>0443</v>
      </c>
      <c r="D243" s="107" t="str">
        <f>'дод. 3'!C184</f>
        <v>Будівництво інших об'єктів соціальної та виробничої інфраструктури комунальної власності</v>
      </c>
      <c r="E243" s="88">
        <f t="shared" si="81"/>
        <v>0</v>
      </c>
      <c r="F243" s="88"/>
      <c r="G243" s="88"/>
      <c r="H243" s="88"/>
      <c r="I243" s="88"/>
      <c r="J243" s="88">
        <f>K243+N243</f>
        <v>5655800</v>
      </c>
      <c r="K243" s="88"/>
      <c r="L243" s="88"/>
      <c r="M243" s="88"/>
      <c r="N243" s="88">
        <f>1000000+4100000+250000+376800+700000-885000+20000+94000</f>
        <v>5655800</v>
      </c>
      <c r="O243" s="88">
        <f>1000000+4100000+250000+376800+700000-885000+20000+94000</f>
        <v>5655800</v>
      </c>
      <c r="P243" s="88">
        <f t="shared" si="82"/>
        <v>5655800</v>
      </c>
      <c r="Q243" s="287"/>
      <c r="R243" s="158"/>
      <c r="S243" s="158"/>
      <c r="T243" s="158"/>
    </row>
    <row r="244" spans="1:20" s="4" customFormat="1" ht="36" customHeight="1">
      <c r="A244" s="86" t="s">
        <v>321</v>
      </c>
      <c r="B244" s="86" t="str">
        <f>'дод. 3'!A185</f>
        <v>7340</v>
      </c>
      <c r="C244" s="86" t="str">
        <f>'дод. 3'!B185</f>
        <v>0443</v>
      </c>
      <c r="D244" s="107" t="str">
        <f>'дод. 3'!C185</f>
        <v>Проектування, реставрація та охорона пам'яток архітектури</v>
      </c>
      <c r="E244" s="88">
        <f t="shared" si="81"/>
        <v>0</v>
      </c>
      <c r="F244" s="88"/>
      <c r="G244" s="88"/>
      <c r="H244" s="88"/>
      <c r="I244" s="88"/>
      <c r="J244" s="88">
        <f t="shared" si="79"/>
        <v>3200000</v>
      </c>
      <c r="K244" s="88"/>
      <c r="L244" s="88"/>
      <c r="M244" s="88"/>
      <c r="N244" s="88">
        <f>1200000+2000000+1000000-1000000</f>
        <v>3200000</v>
      </c>
      <c r="O244" s="88">
        <f>1200000+2000000+1000000-1000000</f>
        <v>3200000</v>
      </c>
      <c r="P244" s="88">
        <f t="shared" si="82"/>
        <v>3200000</v>
      </c>
      <c r="Q244" s="287"/>
      <c r="R244" s="158"/>
      <c r="S244" s="158"/>
      <c r="T244" s="158"/>
    </row>
    <row r="245" spans="1:20" s="4" customFormat="1" ht="24.75" customHeight="1">
      <c r="A245" s="86" t="s">
        <v>611</v>
      </c>
      <c r="B245" s="86" t="str">
        <f>'дод. 3'!A187</f>
        <v>7360</v>
      </c>
      <c r="C245" s="86">
        <f>'дод. 3'!B187</f>
        <v>0</v>
      </c>
      <c r="D245" s="107" t="str">
        <f>'дод. 3'!C187</f>
        <v>Виконання інвестиційних проектів</v>
      </c>
      <c r="E245" s="88">
        <f>E248+E247</f>
        <v>0</v>
      </c>
      <c r="F245" s="88">
        <f aca="true" t="shared" si="84" ref="F245:P245">F248+F247</f>
        <v>0</v>
      </c>
      <c r="G245" s="88">
        <f t="shared" si="84"/>
        <v>0</v>
      </c>
      <c r="H245" s="88">
        <f t="shared" si="84"/>
        <v>0</v>
      </c>
      <c r="I245" s="88">
        <f t="shared" si="84"/>
        <v>0</v>
      </c>
      <c r="J245" s="88">
        <f t="shared" si="84"/>
        <v>2843962.46</v>
      </c>
      <c r="K245" s="88">
        <f t="shared" si="84"/>
        <v>0</v>
      </c>
      <c r="L245" s="88">
        <f t="shared" si="84"/>
        <v>0</v>
      </c>
      <c r="M245" s="88">
        <f t="shared" si="84"/>
        <v>0</v>
      </c>
      <c r="N245" s="88">
        <f t="shared" si="84"/>
        <v>2843962.46</v>
      </c>
      <c r="O245" s="88">
        <f t="shared" si="84"/>
        <v>2843962.46</v>
      </c>
      <c r="P245" s="88">
        <f t="shared" si="84"/>
        <v>2843962.46</v>
      </c>
      <c r="Q245" s="287"/>
      <c r="R245" s="158"/>
      <c r="S245" s="158"/>
      <c r="T245" s="158"/>
    </row>
    <row r="246" spans="1:20" s="4" customFormat="1" ht="22.5" customHeight="1">
      <c r="A246" s="86"/>
      <c r="B246" s="86"/>
      <c r="C246" s="86"/>
      <c r="D246" s="87" t="s">
        <v>416</v>
      </c>
      <c r="E246" s="88">
        <f>E249</f>
        <v>0</v>
      </c>
      <c r="F246" s="88">
        <f aca="true" t="shared" si="85" ref="F246:P246">F249</f>
        <v>0</v>
      </c>
      <c r="G246" s="88">
        <f t="shared" si="85"/>
        <v>0</v>
      </c>
      <c r="H246" s="88">
        <f t="shared" si="85"/>
        <v>0</v>
      </c>
      <c r="I246" s="88">
        <f t="shared" si="85"/>
        <v>0</v>
      </c>
      <c r="J246" s="88">
        <f t="shared" si="85"/>
        <v>773868.85</v>
      </c>
      <c r="K246" s="88">
        <f t="shared" si="85"/>
        <v>0</v>
      </c>
      <c r="L246" s="88">
        <f t="shared" si="85"/>
        <v>0</v>
      </c>
      <c r="M246" s="88">
        <f t="shared" si="85"/>
        <v>0</v>
      </c>
      <c r="N246" s="88">
        <f t="shared" si="85"/>
        <v>773868.85</v>
      </c>
      <c r="O246" s="88">
        <f t="shared" si="85"/>
        <v>773868.85</v>
      </c>
      <c r="P246" s="88">
        <f t="shared" si="85"/>
        <v>773868.85</v>
      </c>
      <c r="Q246" s="287"/>
      <c r="R246" s="158"/>
      <c r="S246" s="158"/>
      <c r="T246" s="158"/>
    </row>
    <row r="247" spans="1:20" s="115" customFormat="1" ht="48" customHeight="1">
      <c r="A247" s="83" t="s">
        <v>624</v>
      </c>
      <c r="B247" s="83" t="str">
        <f>'дод. 3'!A189</f>
        <v>7361</v>
      </c>
      <c r="C247" s="83" t="str">
        <f>'дод. 3'!B189</f>
        <v>0490</v>
      </c>
      <c r="D247" s="106" t="str">
        <f>'дод. 3'!C189</f>
        <v>Співфінансування інвестиційних проектів, що реалізуються за рахунок коштів державного фонду регіонального розвитку</v>
      </c>
      <c r="E247" s="85">
        <f>F247+I247</f>
        <v>0</v>
      </c>
      <c r="F247" s="85"/>
      <c r="G247" s="85"/>
      <c r="H247" s="85"/>
      <c r="I247" s="85"/>
      <c r="J247" s="85">
        <f>K247+N247</f>
        <v>426739</v>
      </c>
      <c r="K247" s="85"/>
      <c r="L247" s="85"/>
      <c r="M247" s="85"/>
      <c r="N247" s="85">
        <v>426739</v>
      </c>
      <c r="O247" s="85">
        <v>426739</v>
      </c>
      <c r="P247" s="85">
        <f>E247+J247</f>
        <v>426739</v>
      </c>
      <c r="Q247" s="287"/>
      <c r="R247" s="160"/>
      <c r="S247" s="160"/>
      <c r="T247" s="160"/>
    </row>
    <row r="248" spans="1:20" s="115" customFormat="1" ht="54.75" customHeight="1">
      <c r="A248" s="83" t="s">
        <v>612</v>
      </c>
      <c r="B248" s="83" t="str">
        <f>'дод. 3'!A190</f>
        <v>7363</v>
      </c>
      <c r="C248" s="83" t="str">
        <f>'дод. 3'!B190</f>
        <v>0490</v>
      </c>
      <c r="D248" s="106" t="str">
        <f>'дод. 3'!C190</f>
        <v>Виконання інвестиційних проектів в рамках здійснення заходів щодо соціально-економічного розвитку окремих територій</v>
      </c>
      <c r="E248" s="85">
        <f>F248+I248</f>
        <v>0</v>
      </c>
      <c r="F248" s="85"/>
      <c r="G248" s="85"/>
      <c r="H248" s="85"/>
      <c r="I248" s="85"/>
      <c r="J248" s="85">
        <f>K248+N248</f>
        <v>2417223.46</v>
      </c>
      <c r="K248" s="85"/>
      <c r="L248" s="85"/>
      <c r="M248" s="85"/>
      <c r="N248" s="85">
        <f>20284.61+773868.85+104070+1519000</f>
        <v>2417223.46</v>
      </c>
      <c r="O248" s="85">
        <f>20284.61+773868.85+104070+1519000</f>
        <v>2417223.46</v>
      </c>
      <c r="P248" s="85">
        <f>E248+J248</f>
        <v>2417223.46</v>
      </c>
      <c r="Q248" s="287"/>
      <c r="R248" s="160"/>
      <c r="S248" s="160"/>
      <c r="T248" s="160"/>
    </row>
    <row r="249" spans="1:20" s="115" customFormat="1" ht="18.75" customHeight="1">
      <c r="A249" s="83"/>
      <c r="B249" s="83"/>
      <c r="C249" s="83"/>
      <c r="D249" s="84" t="s">
        <v>416</v>
      </c>
      <c r="E249" s="85">
        <f>F249+I249</f>
        <v>0</v>
      </c>
      <c r="F249" s="85"/>
      <c r="G249" s="85"/>
      <c r="H249" s="85"/>
      <c r="I249" s="85"/>
      <c r="J249" s="85">
        <f>K249+N249</f>
        <v>773868.85</v>
      </c>
      <c r="K249" s="85"/>
      <c r="L249" s="85"/>
      <c r="M249" s="85"/>
      <c r="N249" s="85">
        <v>773868.85</v>
      </c>
      <c r="O249" s="85">
        <v>773868.85</v>
      </c>
      <c r="P249" s="85">
        <f>E249+J249</f>
        <v>773868.85</v>
      </c>
      <c r="Q249" s="287"/>
      <c r="R249" s="160"/>
      <c r="S249" s="160"/>
      <c r="T249" s="160"/>
    </row>
    <row r="250" spans="1:20" s="4" customFormat="1" ht="24" customHeight="1">
      <c r="A250" s="86" t="s">
        <v>322</v>
      </c>
      <c r="B250" s="86" t="str">
        <f>'дод. 3'!A210</f>
        <v>7640</v>
      </c>
      <c r="C250" s="86" t="str">
        <f>'дод. 3'!B210</f>
        <v>0470</v>
      </c>
      <c r="D250" s="107" t="str">
        <f>'дод. 3'!C210</f>
        <v>Заходи з енергозбереження</v>
      </c>
      <c r="E250" s="88">
        <f t="shared" si="81"/>
        <v>1500000</v>
      </c>
      <c r="F250" s="88">
        <v>1300000</v>
      </c>
      <c r="G250" s="88"/>
      <c r="H250" s="88"/>
      <c r="I250" s="88">
        <v>200000</v>
      </c>
      <c r="J250" s="88">
        <f t="shared" si="79"/>
        <v>0</v>
      </c>
      <c r="K250" s="88"/>
      <c r="L250" s="88"/>
      <c r="M250" s="88"/>
      <c r="N250" s="88">
        <f>2000000-2000000</f>
        <v>0</v>
      </c>
      <c r="O250" s="88">
        <f>2000000-2000000</f>
        <v>0</v>
      </c>
      <c r="P250" s="88">
        <f t="shared" si="82"/>
        <v>1500000</v>
      </c>
      <c r="Q250" s="287"/>
      <c r="R250" s="158"/>
      <c r="S250" s="158"/>
      <c r="T250" s="158"/>
    </row>
    <row r="251" spans="1:20" s="4" customFormat="1" ht="21.75" customHeight="1">
      <c r="A251" s="86" t="s">
        <v>323</v>
      </c>
      <c r="B251" s="86" t="str">
        <f>'дод. 3'!A215</f>
        <v>7690</v>
      </c>
      <c r="C251" s="86">
        <f>'дод. 3'!B215</f>
        <v>0</v>
      </c>
      <c r="D251" s="107" t="str">
        <f>'дод. 3'!C215</f>
        <v>Інша економічна діяльність</v>
      </c>
      <c r="E251" s="88">
        <f>E252</f>
        <v>0</v>
      </c>
      <c r="F251" s="88">
        <f aca="true" t="shared" si="86" ref="F251:P251">F252</f>
        <v>0</v>
      </c>
      <c r="G251" s="88">
        <f t="shared" si="86"/>
        <v>0</v>
      </c>
      <c r="H251" s="88">
        <f t="shared" si="86"/>
        <v>0</v>
      </c>
      <c r="I251" s="88">
        <f t="shared" si="86"/>
        <v>0</v>
      </c>
      <c r="J251" s="88">
        <f t="shared" si="86"/>
        <v>938334.6900000001</v>
      </c>
      <c r="K251" s="88">
        <f t="shared" si="86"/>
        <v>138332.01</v>
      </c>
      <c r="L251" s="88">
        <f t="shared" si="86"/>
        <v>0</v>
      </c>
      <c r="M251" s="88">
        <f t="shared" si="86"/>
        <v>0</v>
      </c>
      <c r="N251" s="88">
        <f t="shared" si="86"/>
        <v>800002.68</v>
      </c>
      <c r="O251" s="88">
        <f t="shared" si="86"/>
        <v>0</v>
      </c>
      <c r="P251" s="88">
        <f t="shared" si="86"/>
        <v>938334.6900000001</v>
      </c>
      <c r="Q251" s="287"/>
      <c r="R251" s="159"/>
      <c r="S251" s="159"/>
      <c r="T251" s="159"/>
    </row>
    <row r="252" spans="1:20" s="115" customFormat="1" ht="123.75" customHeight="1">
      <c r="A252" s="116" t="s">
        <v>472</v>
      </c>
      <c r="B252" s="104">
        <v>7691</v>
      </c>
      <c r="C252" s="104" t="s">
        <v>126</v>
      </c>
      <c r="D252" s="84" t="s">
        <v>499</v>
      </c>
      <c r="E252" s="85">
        <f>F252+I252</f>
        <v>0</v>
      </c>
      <c r="F252" s="85"/>
      <c r="G252" s="85"/>
      <c r="H252" s="85"/>
      <c r="I252" s="85"/>
      <c r="J252" s="85">
        <f t="shared" si="79"/>
        <v>938334.6900000001</v>
      </c>
      <c r="K252" s="85">
        <f>80000+58332.01</f>
        <v>138332.01</v>
      </c>
      <c r="L252" s="85"/>
      <c r="M252" s="85"/>
      <c r="N252" s="85">
        <f>800000+2.68</f>
        <v>800002.68</v>
      </c>
      <c r="O252" s="85"/>
      <c r="P252" s="85">
        <f>E252+J252</f>
        <v>938334.6900000001</v>
      </c>
      <c r="Q252" s="287">
        <v>13</v>
      </c>
      <c r="R252" s="160"/>
      <c r="S252" s="160"/>
      <c r="T252" s="160"/>
    </row>
    <row r="253" spans="1:20" s="4" customFormat="1" ht="21.75" customHeight="1">
      <c r="A253" s="86" t="s">
        <v>324</v>
      </c>
      <c r="B253" s="86" t="str">
        <f>'дод. 3'!A225</f>
        <v>8320</v>
      </c>
      <c r="C253" s="86" t="str">
        <f>'дод. 3'!B225</f>
        <v>0520</v>
      </c>
      <c r="D253" s="107" t="str">
        <f>'дод. 3'!C225</f>
        <v>Збереження природно-заповідного фонду</v>
      </c>
      <c r="E253" s="88">
        <f>F253+I253</f>
        <v>76600</v>
      </c>
      <c r="F253" s="88">
        <v>76600</v>
      </c>
      <c r="G253" s="88"/>
      <c r="H253" s="88"/>
      <c r="I253" s="88"/>
      <c r="J253" s="88">
        <f t="shared" si="79"/>
        <v>0</v>
      </c>
      <c r="K253" s="88"/>
      <c r="L253" s="88"/>
      <c r="M253" s="88"/>
      <c r="N253" s="88"/>
      <c r="O253" s="88"/>
      <c r="P253" s="88">
        <f>E253+J253</f>
        <v>76600</v>
      </c>
      <c r="Q253" s="287"/>
      <c r="R253" s="158"/>
      <c r="S253" s="158"/>
      <c r="T253" s="158"/>
    </row>
    <row r="254" spans="1:20" s="4" customFormat="1" ht="36" customHeight="1">
      <c r="A254" s="86" t="s">
        <v>325</v>
      </c>
      <c r="B254" s="86" t="str">
        <f>'дод. 3'!A226</f>
        <v>8340</v>
      </c>
      <c r="C254" s="86" t="str">
        <f>'дод. 3'!B226</f>
        <v>0540</v>
      </c>
      <c r="D254" s="107" t="str">
        <f>'дод. 3'!C226</f>
        <v>Природоохоронні заходи за рахунок цільових фондів</v>
      </c>
      <c r="E254" s="88">
        <f>F254+I254</f>
        <v>0</v>
      </c>
      <c r="F254" s="88"/>
      <c r="G254" s="88"/>
      <c r="H254" s="88"/>
      <c r="I254" s="88"/>
      <c r="J254" s="88">
        <f t="shared" si="79"/>
        <v>5409613.87</v>
      </c>
      <c r="K254" s="88">
        <f>1711500+207292</f>
        <v>1918792</v>
      </c>
      <c r="L254" s="88"/>
      <c r="M254" s="88"/>
      <c r="N254" s="88">
        <f>1540000-1000000+1000000+1950821.87</f>
        <v>3490821.87</v>
      </c>
      <c r="O254" s="88"/>
      <c r="P254" s="88">
        <f>E254+J254</f>
        <v>5409613.87</v>
      </c>
      <c r="Q254" s="287"/>
      <c r="R254" s="158"/>
      <c r="S254" s="158"/>
      <c r="T254" s="158"/>
    </row>
    <row r="255" spans="1:20" s="4" customFormat="1" ht="24.75" customHeight="1">
      <c r="A255" s="86" t="s">
        <v>326</v>
      </c>
      <c r="B255" s="86" t="str">
        <f>'дод. 3'!A240</f>
        <v>9770</v>
      </c>
      <c r="C255" s="86" t="str">
        <f>'дод. 3'!B240</f>
        <v>0180</v>
      </c>
      <c r="D255" s="107" t="str">
        <f>'дод. 3'!C240</f>
        <v>Інші субвенції з місцевого бюджету </v>
      </c>
      <c r="E255" s="88">
        <f>F255+I255</f>
        <v>760000</v>
      </c>
      <c r="F255" s="88">
        <v>760000</v>
      </c>
      <c r="G255" s="88"/>
      <c r="H255" s="88"/>
      <c r="I255" s="88"/>
      <c r="J255" s="88">
        <f t="shared" si="79"/>
        <v>1220000</v>
      </c>
      <c r="K255" s="88"/>
      <c r="L255" s="88"/>
      <c r="M255" s="88"/>
      <c r="N255" s="88">
        <v>1220000</v>
      </c>
      <c r="O255" s="88">
        <v>1220000</v>
      </c>
      <c r="P255" s="88">
        <f>E255+J255</f>
        <v>1980000</v>
      </c>
      <c r="Q255" s="287"/>
      <c r="R255" s="158"/>
      <c r="S255" s="158"/>
      <c r="T255" s="158"/>
    </row>
    <row r="256" spans="1:20" s="112" customFormat="1" ht="28.5" customHeight="1">
      <c r="A256" s="111" t="s">
        <v>52</v>
      </c>
      <c r="B256" s="36"/>
      <c r="C256" s="36"/>
      <c r="D256" s="35" t="s">
        <v>66</v>
      </c>
      <c r="E256" s="46">
        <f>E257</f>
        <v>4964000</v>
      </c>
      <c r="F256" s="46">
        <f aca="true" t="shared" si="87" ref="F256:P256">F257</f>
        <v>4964000</v>
      </c>
      <c r="G256" s="46">
        <f t="shared" si="87"/>
        <v>3515000</v>
      </c>
      <c r="H256" s="46">
        <f t="shared" si="87"/>
        <v>81850</v>
      </c>
      <c r="I256" s="46">
        <f t="shared" si="87"/>
        <v>0</v>
      </c>
      <c r="J256" s="46">
        <f t="shared" si="87"/>
        <v>40000</v>
      </c>
      <c r="K256" s="46">
        <f t="shared" si="87"/>
        <v>0</v>
      </c>
      <c r="L256" s="46">
        <f t="shared" si="87"/>
        <v>0</v>
      </c>
      <c r="M256" s="46">
        <f t="shared" si="87"/>
        <v>0</v>
      </c>
      <c r="N256" s="46">
        <f t="shared" si="87"/>
        <v>40000</v>
      </c>
      <c r="O256" s="46">
        <f t="shared" si="87"/>
        <v>40000</v>
      </c>
      <c r="P256" s="46">
        <f t="shared" si="87"/>
        <v>5004000</v>
      </c>
      <c r="Q256" s="287"/>
      <c r="R256" s="156"/>
      <c r="S256" s="156"/>
      <c r="T256" s="156"/>
    </row>
    <row r="257" spans="1:20" s="114" customFormat="1" ht="33" customHeight="1">
      <c r="A257" s="113" t="s">
        <v>179</v>
      </c>
      <c r="B257" s="124"/>
      <c r="C257" s="124"/>
      <c r="D257" s="123" t="s">
        <v>66</v>
      </c>
      <c r="E257" s="79">
        <f>E258+E259</f>
        <v>4964000</v>
      </c>
      <c r="F257" s="79">
        <f aca="true" t="shared" si="88" ref="F257:P257">F258+F259</f>
        <v>4964000</v>
      </c>
      <c r="G257" s="79">
        <f t="shared" si="88"/>
        <v>3515000</v>
      </c>
      <c r="H257" s="79">
        <f t="shared" si="88"/>
        <v>81850</v>
      </c>
      <c r="I257" s="79">
        <f t="shared" si="88"/>
        <v>0</v>
      </c>
      <c r="J257" s="79">
        <f t="shared" si="88"/>
        <v>40000</v>
      </c>
      <c r="K257" s="79">
        <f t="shared" si="88"/>
        <v>0</v>
      </c>
      <c r="L257" s="79">
        <f t="shared" si="88"/>
        <v>0</v>
      </c>
      <c r="M257" s="79">
        <f t="shared" si="88"/>
        <v>0</v>
      </c>
      <c r="N257" s="79">
        <f t="shared" si="88"/>
        <v>40000</v>
      </c>
      <c r="O257" s="79">
        <f t="shared" si="88"/>
        <v>40000</v>
      </c>
      <c r="P257" s="79">
        <f t="shared" si="88"/>
        <v>5004000</v>
      </c>
      <c r="Q257" s="287"/>
      <c r="R257" s="165"/>
      <c r="S257" s="165"/>
      <c r="T257" s="165"/>
    </row>
    <row r="258" spans="1:20" s="4" customFormat="1" ht="58.5" customHeight="1">
      <c r="A258" s="80" t="s">
        <v>0</v>
      </c>
      <c r="B258" s="80" t="str">
        <f>'дод. 3'!A13</f>
        <v>0160</v>
      </c>
      <c r="C258" s="80" t="str">
        <f>'дод. 3'!B13</f>
        <v>0111</v>
      </c>
      <c r="D258" s="81" t="str">
        <f>'дод. 3'!C13</f>
        <v>Керівництво і управління у відповідній сфері у містах (місті Києві), селищах, селах, об’єднаних територіальних громадах</v>
      </c>
      <c r="E258" s="82">
        <f>F258+I258</f>
        <v>4614000</v>
      </c>
      <c r="F258" s="82">
        <f>4516800-52800+50000+100000</f>
        <v>4614000</v>
      </c>
      <c r="G258" s="82">
        <v>3515000</v>
      </c>
      <c r="H258" s="82">
        <v>81850</v>
      </c>
      <c r="I258" s="82"/>
      <c r="J258" s="82">
        <f>K258+N258</f>
        <v>40000</v>
      </c>
      <c r="K258" s="82"/>
      <c r="L258" s="82"/>
      <c r="M258" s="82"/>
      <c r="N258" s="82">
        <f>20000-10000+30000</f>
        <v>40000</v>
      </c>
      <c r="O258" s="82">
        <f>20000-10000+30000</f>
        <v>40000</v>
      </c>
      <c r="P258" s="82">
        <f>E258+J258</f>
        <v>4654000</v>
      </c>
      <c r="Q258" s="287"/>
      <c r="R258" s="158"/>
      <c r="S258" s="158"/>
      <c r="T258" s="158"/>
    </row>
    <row r="259" spans="1:20" s="4" customFormat="1" ht="37.5" customHeight="1">
      <c r="A259" s="80" t="s">
        <v>404</v>
      </c>
      <c r="B259" s="80" t="str">
        <f>'дод. 3'!A173</f>
        <v>6090</v>
      </c>
      <c r="C259" s="80" t="str">
        <f>'дод. 3'!B173</f>
        <v>0640</v>
      </c>
      <c r="D259" s="109" t="str">
        <f>'дод. 3'!C173</f>
        <v>Інша діяльність у сфері житлово-комунального господарства</v>
      </c>
      <c r="E259" s="82">
        <f>F259+I259</f>
        <v>350000</v>
      </c>
      <c r="F259" s="82">
        <f>540000-140000-50000</f>
        <v>350000</v>
      </c>
      <c r="G259" s="82"/>
      <c r="H259" s="82"/>
      <c r="I259" s="82"/>
      <c r="J259" s="82">
        <f>K259+N259</f>
        <v>0</v>
      </c>
      <c r="K259" s="82"/>
      <c r="L259" s="82"/>
      <c r="M259" s="82"/>
      <c r="N259" s="82"/>
      <c r="O259" s="82"/>
      <c r="P259" s="82">
        <f>E259+J259</f>
        <v>350000</v>
      </c>
      <c r="Q259" s="287"/>
      <c r="R259" s="158"/>
      <c r="S259" s="158"/>
      <c r="T259" s="158"/>
    </row>
    <row r="260" spans="1:20" s="112" customFormat="1" ht="31.5" customHeight="1">
      <c r="A260" s="111" t="s">
        <v>54</v>
      </c>
      <c r="B260" s="36"/>
      <c r="C260" s="36"/>
      <c r="D260" s="35" t="s">
        <v>65</v>
      </c>
      <c r="E260" s="46">
        <f>E261</f>
        <v>96614067.35</v>
      </c>
      <c r="F260" s="46">
        <f aca="true" t="shared" si="89" ref="F260:P260">F261</f>
        <v>96529155</v>
      </c>
      <c r="G260" s="46">
        <f t="shared" si="89"/>
        <v>0</v>
      </c>
      <c r="H260" s="46">
        <f t="shared" si="89"/>
        <v>0</v>
      </c>
      <c r="I260" s="46">
        <f t="shared" si="89"/>
        <v>84912.35</v>
      </c>
      <c r="J260" s="46">
        <f t="shared" si="89"/>
        <v>224987501.95</v>
      </c>
      <c r="K260" s="46">
        <f>K261</f>
        <v>14150000</v>
      </c>
      <c r="L260" s="46">
        <f t="shared" si="89"/>
        <v>1725540</v>
      </c>
      <c r="M260" s="46">
        <f t="shared" si="89"/>
        <v>46200</v>
      </c>
      <c r="N260" s="46">
        <f t="shared" si="89"/>
        <v>210837501.95</v>
      </c>
      <c r="O260" s="46">
        <f t="shared" si="89"/>
        <v>179449434</v>
      </c>
      <c r="P260" s="46">
        <f t="shared" si="89"/>
        <v>321601569.29999995</v>
      </c>
      <c r="Q260" s="287"/>
      <c r="R260" s="156"/>
      <c r="S260" s="156"/>
      <c r="T260" s="156"/>
    </row>
    <row r="261" spans="1:20" s="114" customFormat="1" ht="38.25" customHeight="1">
      <c r="A261" s="113" t="s">
        <v>55</v>
      </c>
      <c r="B261" s="124"/>
      <c r="C261" s="124"/>
      <c r="D261" s="123" t="s">
        <v>65</v>
      </c>
      <c r="E261" s="79">
        <f>E263+E264+E265+E268+E269+E273+E285+E274+E275+E286+E279+E281</f>
        <v>96614067.35</v>
      </c>
      <c r="F261" s="79">
        <f aca="true" t="shared" si="90" ref="F261:P261">F263+F264+F265+F268+F269+F273+F285+F274+F275+F286+F279+F281</f>
        <v>96529155</v>
      </c>
      <c r="G261" s="79">
        <f t="shared" si="90"/>
        <v>0</v>
      </c>
      <c r="H261" s="79">
        <f t="shared" si="90"/>
        <v>0</v>
      </c>
      <c r="I261" s="79">
        <f t="shared" si="90"/>
        <v>84912.35</v>
      </c>
      <c r="J261" s="79">
        <f>J263+J264+J265+J268+J269+J273+J285+J274+J275+J286+J279+J281</f>
        <v>224987501.95</v>
      </c>
      <c r="K261" s="79">
        <f>K263+K264+K265+K268+K269+K273+K285+K274+K275+K286+K279+K281</f>
        <v>14150000</v>
      </c>
      <c r="L261" s="79">
        <f t="shared" si="90"/>
        <v>1725540</v>
      </c>
      <c r="M261" s="79">
        <f t="shared" si="90"/>
        <v>46200</v>
      </c>
      <c r="N261" s="79">
        <f t="shared" si="90"/>
        <v>210837501.95</v>
      </c>
      <c r="O261" s="79">
        <f t="shared" si="90"/>
        <v>179449434</v>
      </c>
      <c r="P261" s="79">
        <f t="shared" si="90"/>
        <v>321601569.29999995</v>
      </c>
      <c r="Q261" s="287"/>
      <c r="R261" s="162"/>
      <c r="S261" s="162"/>
      <c r="T261" s="162"/>
    </row>
    <row r="262" spans="1:20" s="114" customFormat="1" ht="25.5" customHeight="1">
      <c r="A262" s="113"/>
      <c r="B262" s="124"/>
      <c r="C262" s="124"/>
      <c r="D262" s="123" t="s">
        <v>416</v>
      </c>
      <c r="E262" s="79">
        <f>E276+E282</f>
        <v>0</v>
      </c>
      <c r="F262" s="79">
        <f aca="true" t="shared" si="91" ref="F262:P262">F276+F282</f>
        <v>0</v>
      </c>
      <c r="G262" s="79">
        <f t="shared" si="91"/>
        <v>0</v>
      </c>
      <c r="H262" s="79">
        <f t="shared" si="91"/>
        <v>0</v>
      </c>
      <c r="I262" s="79">
        <f t="shared" si="91"/>
        <v>0</v>
      </c>
      <c r="J262" s="79">
        <f t="shared" si="91"/>
        <v>41934946</v>
      </c>
      <c r="K262" s="79">
        <f t="shared" si="91"/>
        <v>11900000</v>
      </c>
      <c r="L262" s="79">
        <f t="shared" si="91"/>
        <v>0</v>
      </c>
      <c r="M262" s="79">
        <f t="shared" si="91"/>
        <v>0</v>
      </c>
      <c r="N262" s="79">
        <f t="shared" si="91"/>
        <v>30034946</v>
      </c>
      <c r="O262" s="79">
        <f t="shared" si="91"/>
        <v>91</v>
      </c>
      <c r="P262" s="79">
        <f t="shared" si="91"/>
        <v>41934946</v>
      </c>
      <c r="Q262" s="287"/>
      <c r="R262" s="220"/>
      <c r="S262" s="220"/>
      <c r="T262" s="220"/>
    </row>
    <row r="263" spans="1:20" s="4" customFormat="1" ht="45">
      <c r="A263" s="80" t="s">
        <v>221</v>
      </c>
      <c r="B263" s="80" t="str">
        <f>'дод. 3'!A13</f>
        <v>0160</v>
      </c>
      <c r="C263" s="80" t="str">
        <f>'дод. 3'!B13</f>
        <v>0111</v>
      </c>
      <c r="D263" s="81" t="str">
        <f>'дод. 3'!C13</f>
        <v>Керівництво і управління у відповідній сфері у містах (місті Києві), селищах, селах, об’єднаних територіальних громадах</v>
      </c>
      <c r="E263" s="82">
        <f>F263+I263</f>
        <v>0</v>
      </c>
      <c r="F263" s="82"/>
      <c r="G263" s="82"/>
      <c r="H263" s="82"/>
      <c r="I263" s="82"/>
      <c r="J263" s="82">
        <f>K263+N263</f>
        <v>2600000</v>
      </c>
      <c r="K263" s="82">
        <f>2250000</f>
        <v>2250000</v>
      </c>
      <c r="L263" s="82">
        <f>1725540</f>
        <v>1725540</v>
      </c>
      <c r="M263" s="82">
        <f>46200</f>
        <v>46200</v>
      </c>
      <c r="N263" s="82">
        <f>350000</f>
        <v>350000</v>
      </c>
      <c r="O263" s="82"/>
      <c r="P263" s="82">
        <f>E263+J263</f>
        <v>2600000</v>
      </c>
      <c r="Q263" s="287"/>
      <c r="R263" s="158"/>
      <c r="S263" s="158"/>
      <c r="T263" s="158"/>
    </row>
    <row r="264" spans="1:20" s="4" customFormat="1" ht="22.5" customHeight="1">
      <c r="A264" s="80" t="s">
        <v>327</v>
      </c>
      <c r="B264" s="80" t="str">
        <f>'дод. 3'!A165</f>
        <v>6030</v>
      </c>
      <c r="C264" s="80" t="str">
        <f>'дод. 3'!B165</f>
        <v>0620</v>
      </c>
      <c r="D264" s="109" t="str">
        <f>'дод. 3'!C165</f>
        <v>Організація благоустрою населених пунктів</v>
      </c>
      <c r="E264" s="82">
        <f>F264+I264</f>
        <v>96000000</v>
      </c>
      <c r="F264" s="82">
        <f>40000000+20000000-2000000+20000000+15000000+13000000-10000000</f>
        <v>96000000</v>
      </c>
      <c r="G264" s="82"/>
      <c r="H264" s="82"/>
      <c r="I264" s="82"/>
      <c r="J264" s="82">
        <f>K264+N264</f>
        <v>87015500</v>
      </c>
      <c r="K264" s="82"/>
      <c r="L264" s="82"/>
      <c r="M264" s="82"/>
      <c r="N264" s="82">
        <f>60000000+30000000-3248000+263500</f>
        <v>87015500</v>
      </c>
      <c r="O264" s="82">
        <f>60000000+30000000-3248000+263500</f>
        <v>87015500</v>
      </c>
      <c r="P264" s="82">
        <f>E264+J264</f>
        <v>183015500</v>
      </c>
      <c r="Q264" s="287"/>
      <c r="R264" s="158"/>
      <c r="S264" s="158"/>
      <c r="T264" s="167"/>
    </row>
    <row r="265" spans="1:21" s="4" customFormat="1" ht="33" customHeight="1">
      <c r="A265" s="90" t="s">
        <v>328</v>
      </c>
      <c r="B265" s="90" t="str">
        <f>'дод. 3'!A170</f>
        <v>6080</v>
      </c>
      <c r="C265" s="90">
        <f>'дод. 3'!B170</f>
        <v>0</v>
      </c>
      <c r="D265" s="108" t="str">
        <f>'дод. 3'!C170</f>
        <v>Реалізація державних та місцевих житлових програм </v>
      </c>
      <c r="E265" s="82">
        <f>E267+E266</f>
        <v>84912.35</v>
      </c>
      <c r="F265" s="82">
        <f aca="true" t="shared" si="92" ref="F265:P265">F267+F266</f>
        <v>0</v>
      </c>
      <c r="G265" s="82">
        <f t="shared" si="92"/>
        <v>0</v>
      </c>
      <c r="H265" s="82">
        <f t="shared" si="92"/>
        <v>0</v>
      </c>
      <c r="I265" s="82">
        <f t="shared" si="92"/>
        <v>84912.35</v>
      </c>
      <c r="J265" s="82">
        <f t="shared" si="92"/>
        <v>557740.69</v>
      </c>
      <c r="K265" s="82">
        <f t="shared" si="92"/>
        <v>0</v>
      </c>
      <c r="L265" s="82">
        <f t="shared" si="92"/>
        <v>0</v>
      </c>
      <c r="M265" s="82">
        <f t="shared" si="92"/>
        <v>0</v>
      </c>
      <c r="N265" s="82">
        <f t="shared" si="92"/>
        <v>557740.69</v>
      </c>
      <c r="O265" s="82">
        <f t="shared" si="92"/>
        <v>500000</v>
      </c>
      <c r="P265" s="82">
        <f t="shared" si="92"/>
        <v>642653.04</v>
      </c>
      <c r="Q265" s="287"/>
      <c r="R265" s="159"/>
      <c r="S265" s="159"/>
      <c r="T265" s="159"/>
      <c r="U265" s="148"/>
    </row>
    <row r="266" spans="1:21" s="115" customFormat="1" ht="33" customHeight="1">
      <c r="A266" s="83" t="s">
        <v>629</v>
      </c>
      <c r="B266" s="83" t="str">
        <f>'дод. 3'!A171</f>
        <v>6082</v>
      </c>
      <c r="C266" s="83" t="str">
        <f>'дод. 3'!B171</f>
        <v>0610</v>
      </c>
      <c r="D266" s="106" t="str">
        <f>'дод. 3'!C171</f>
        <v>Придбання житла для окремих категорій населення відповідно до законодавства</v>
      </c>
      <c r="E266" s="85">
        <f>F266+I266</f>
        <v>0</v>
      </c>
      <c r="F266" s="85"/>
      <c r="G266" s="85"/>
      <c r="H266" s="85"/>
      <c r="I266" s="85"/>
      <c r="J266" s="85">
        <f>K266+N266</f>
        <v>500000</v>
      </c>
      <c r="K266" s="85"/>
      <c r="L266" s="85"/>
      <c r="M266" s="85"/>
      <c r="N266" s="85">
        <f>250000+250000</f>
        <v>500000</v>
      </c>
      <c r="O266" s="85">
        <f>250000+250000</f>
        <v>500000</v>
      </c>
      <c r="P266" s="85">
        <f>E266+J266</f>
        <v>500000</v>
      </c>
      <c r="Q266" s="287"/>
      <c r="R266" s="222"/>
      <c r="S266" s="222"/>
      <c r="T266" s="222"/>
      <c r="U266" s="223"/>
    </row>
    <row r="267" spans="1:20" s="115" customFormat="1" ht="68.25" customHeight="1">
      <c r="A267" s="83" t="s">
        <v>329</v>
      </c>
      <c r="B267" s="83" t="str">
        <f>'дод. 3'!A172</f>
        <v>6084</v>
      </c>
      <c r="C267" s="83" t="str">
        <f>'дод. 3'!B172</f>
        <v>0610</v>
      </c>
      <c r="D267" s="106" t="str">
        <f>'дод. 3'!C172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67" s="85">
        <f>F267+I267</f>
        <v>84912.35</v>
      </c>
      <c r="F267" s="85"/>
      <c r="G267" s="85"/>
      <c r="H267" s="85"/>
      <c r="I267" s="85">
        <f>84906+6.35</f>
        <v>84912.35</v>
      </c>
      <c r="J267" s="85">
        <f>K267+N267</f>
        <v>57740.69</v>
      </c>
      <c r="K267" s="85"/>
      <c r="L267" s="85"/>
      <c r="M267" s="85"/>
      <c r="N267" s="85">
        <f>39048+18692.69</f>
        <v>57740.69</v>
      </c>
      <c r="O267" s="85"/>
      <c r="P267" s="85">
        <f>E267+J267</f>
        <v>142653.04</v>
      </c>
      <c r="Q267" s="287"/>
      <c r="R267" s="160"/>
      <c r="S267" s="160"/>
      <c r="T267" s="160"/>
    </row>
    <row r="268" spans="1:20" s="4" customFormat="1" ht="36" customHeight="1">
      <c r="A268" s="80" t="s">
        <v>428</v>
      </c>
      <c r="B268" s="80" t="str">
        <f>'дод. 3'!A179</f>
        <v>7310</v>
      </c>
      <c r="C268" s="80" t="str">
        <f>'дод. 3'!B179</f>
        <v>0443</v>
      </c>
      <c r="D268" s="107" t="str">
        <f>'дод. 3'!C179</f>
        <v>Будівництво об'єктів житлово-комунального господарства</v>
      </c>
      <c r="E268" s="82">
        <f>F268+I268</f>
        <v>0</v>
      </c>
      <c r="F268" s="82"/>
      <c r="G268" s="82"/>
      <c r="H268" s="82"/>
      <c r="I268" s="82"/>
      <c r="J268" s="82">
        <f>K268+N268</f>
        <v>9601000</v>
      </c>
      <c r="K268" s="82"/>
      <c r="L268" s="82"/>
      <c r="M268" s="82"/>
      <c r="N268" s="82">
        <f>9900000+42500+8500+50000-400000</f>
        <v>9601000</v>
      </c>
      <c r="O268" s="82">
        <f>9900000+42500+8500+50000-400000</f>
        <v>9601000</v>
      </c>
      <c r="P268" s="82">
        <f>E268+J268</f>
        <v>9601000</v>
      </c>
      <c r="Q268" s="287"/>
      <c r="R268" s="158"/>
      <c r="S268" s="158"/>
      <c r="T268" s="167"/>
    </row>
    <row r="269" spans="1:20" s="4" customFormat="1" ht="36" customHeight="1">
      <c r="A269" s="80" t="s">
        <v>429</v>
      </c>
      <c r="B269" s="80" t="str">
        <f>'дод. 3'!A180</f>
        <v>7320</v>
      </c>
      <c r="C269" s="80">
        <f>'дод. 3'!B180</f>
        <v>0</v>
      </c>
      <c r="D269" s="107" t="str">
        <f>'дод. 3'!C180</f>
        <v>Будівництво об'єктів соціально-культурного призначення</v>
      </c>
      <c r="E269" s="82">
        <f>E270+E271+E272</f>
        <v>0</v>
      </c>
      <c r="F269" s="82">
        <f aca="true" t="shared" si="93" ref="F269:P269">F270+F271+F272</f>
        <v>0</v>
      </c>
      <c r="G269" s="82">
        <f t="shared" si="93"/>
        <v>0</v>
      </c>
      <c r="H269" s="82">
        <f t="shared" si="93"/>
        <v>0</v>
      </c>
      <c r="I269" s="82">
        <f t="shared" si="93"/>
        <v>0</v>
      </c>
      <c r="J269" s="82">
        <f t="shared" si="93"/>
        <v>19341755</v>
      </c>
      <c r="K269" s="82">
        <f t="shared" si="93"/>
        <v>0</v>
      </c>
      <c r="L269" s="82">
        <f t="shared" si="93"/>
        <v>0</v>
      </c>
      <c r="M269" s="82">
        <f t="shared" si="93"/>
        <v>0</v>
      </c>
      <c r="N269" s="82">
        <f t="shared" si="93"/>
        <v>19341755</v>
      </c>
      <c r="O269" s="82">
        <f t="shared" si="93"/>
        <v>19341755</v>
      </c>
      <c r="P269" s="82">
        <f t="shared" si="93"/>
        <v>19341755</v>
      </c>
      <c r="Q269" s="287"/>
      <c r="R269" s="159"/>
      <c r="S269" s="159"/>
      <c r="T269" s="159"/>
    </row>
    <row r="270" spans="1:20" s="115" customFormat="1" ht="25.5" customHeight="1">
      <c r="A270" s="83" t="s">
        <v>431</v>
      </c>
      <c r="B270" s="83" t="str">
        <f>'дод. 3'!A181</f>
        <v>7321</v>
      </c>
      <c r="C270" s="83" t="str">
        <f>'дод. 3'!B181</f>
        <v>0443</v>
      </c>
      <c r="D270" s="106" t="str">
        <f>'дод. 3'!C181</f>
        <v>Будівництво освітніх установ та закладів</v>
      </c>
      <c r="E270" s="85">
        <f>F270+I270</f>
        <v>0</v>
      </c>
      <c r="F270" s="85"/>
      <c r="G270" s="85"/>
      <c r="H270" s="85"/>
      <c r="I270" s="85"/>
      <c r="J270" s="85">
        <f>K270+N270</f>
        <v>6600755</v>
      </c>
      <c r="K270" s="85"/>
      <c r="L270" s="85"/>
      <c r="M270" s="85"/>
      <c r="N270" s="85">
        <f>3741000+7000000+221500+603037+318+125500+500000+100000-3000000-50000+400000-60600-3500000+30000+490000</f>
        <v>6600755</v>
      </c>
      <c r="O270" s="85">
        <f>3741000+7000000+221500+603037+318+125500+500000+100000-3000000-50000+400000-60600-3500000+30000+490000</f>
        <v>6600755</v>
      </c>
      <c r="P270" s="85">
        <f>E270+J270</f>
        <v>6600755</v>
      </c>
      <c r="Q270" s="287"/>
      <c r="R270" s="160"/>
      <c r="S270" s="160"/>
      <c r="T270" s="161"/>
    </row>
    <row r="271" spans="1:20" s="115" customFormat="1" ht="25.5" customHeight="1">
      <c r="A271" s="83" t="s">
        <v>433</v>
      </c>
      <c r="B271" s="83" t="str">
        <f>'дод. 3'!A182</f>
        <v>7322</v>
      </c>
      <c r="C271" s="83" t="str">
        <f>'дод. 3'!B182</f>
        <v>0443</v>
      </c>
      <c r="D271" s="106" t="str">
        <f>'дод. 3'!C182</f>
        <v>Будівництво медичних установ та закладів</v>
      </c>
      <c r="E271" s="85">
        <f>F271+I271</f>
        <v>0</v>
      </c>
      <c r="F271" s="85"/>
      <c r="G271" s="85"/>
      <c r="H271" s="85"/>
      <c r="I271" s="85"/>
      <c r="J271" s="85">
        <f>K271+N271</f>
        <v>5080000</v>
      </c>
      <c r="K271" s="85"/>
      <c r="L271" s="85"/>
      <c r="M271" s="85"/>
      <c r="N271" s="85">
        <f>5500000+259000-150000-37000-12000-480000</f>
        <v>5080000</v>
      </c>
      <c r="O271" s="85">
        <f>5500000+259000-150000-37000-12000-480000</f>
        <v>5080000</v>
      </c>
      <c r="P271" s="85">
        <f>E271+J271</f>
        <v>5080000</v>
      </c>
      <c r="Q271" s="287"/>
      <c r="R271" s="160"/>
      <c r="S271" s="160"/>
      <c r="T271" s="160"/>
    </row>
    <row r="272" spans="1:20" s="115" customFormat="1" ht="36" customHeight="1">
      <c r="A272" s="83" t="s">
        <v>435</v>
      </c>
      <c r="B272" s="83" t="str">
        <f>'дод. 3'!A183</f>
        <v>7325</v>
      </c>
      <c r="C272" s="83" t="str">
        <f>'дод. 3'!B183</f>
        <v>0443</v>
      </c>
      <c r="D272" s="106" t="str">
        <f>'дод. 3'!C183</f>
        <v>Будівництво споруд, установ та закладів фізичної культури і спорту</v>
      </c>
      <c r="E272" s="85">
        <f>F272+I272</f>
        <v>0</v>
      </c>
      <c r="F272" s="85"/>
      <c r="G272" s="85"/>
      <c r="H272" s="85"/>
      <c r="I272" s="85"/>
      <c r="J272" s="85">
        <f>K272+N272</f>
        <v>7661000</v>
      </c>
      <c r="K272" s="85"/>
      <c r="L272" s="85"/>
      <c r="M272" s="85"/>
      <c r="N272" s="85">
        <f>8500000-125000-580000-234000+100000</f>
        <v>7661000</v>
      </c>
      <c r="O272" s="85">
        <f>8500000-125000-580000-234000+100000</f>
        <v>7661000</v>
      </c>
      <c r="P272" s="85">
        <f>E272+J272</f>
        <v>7661000</v>
      </c>
      <c r="Q272" s="287"/>
      <c r="R272" s="160"/>
      <c r="S272" s="160"/>
      <c r="T272" s="160"/>
    </row>
    <row r="273" spans="1:20" s="4" customFormat="1" ht="36" customHeight="1">
      <c r="A273" s="80" t="s">
        <v>437</v>
      </c>
      <c r="B273" s="80" t="str">
        <f>'дод. 3'!A184</f>
        <v>7330</v>
      </c>
      <c r="C273" s="80" t="str">
        <f>'дод. 3'!B184</f>
        <v>0443</v>
      </c>
      <c r="D273" s="107" t="str">
        <f>'дод. 3'!C184</f>
        <v>Будівництво інших об'єктів соціальної та виробничої інфраструктури комунальної власності</v>
      </c>
      <c r="E273" s="82">
        <f>F273+I273</f>
        <v>0</v>
      </c>
      <c r="F273" s="82"/>
      <c r="G273" s="82"/>
      <c r="H273" s="82"/>
      <c r="I273" s="82"/>
      <c r="J273" s="82">
        <f>K273+N273</f>
        <v>42606486</v>
      </c>
      <c r="K273" s="82"/>
      <c r="L273" s="82"/>
      <c r="M273" s="82"/>
      <c r="N273" s="82">
        <f>30359000+870000-1111500+240000+300000+998900+425207+489680+498116+409160+482174+998774+468130+100000+1000+8500-448500+100000+234845+600000+1000000+215000+1741000+127400-800000-33200+255800-500000+4000000+75000+200000+75000-29000+275000-9000-2570000+2460000+100000</f>
        <v>42606486</v>
      </c>
      <c r="O273" s="82">
        <f>30359000+870000-1111500+240000+300000+998900+425207+489680+498116+409160+482174+998774+468130+100000+1000+8500-448500+100000+234845+600000+1000000+215000+1741000+127400-800000-33200+255800-500000+4000000+75000+200000+75000-29000+275000-9000-2570000+2460000+100000</f>
        <v>42606486</v>
      </c>
      <c r="P273" s="82">
        <f>E273+J273</f>
        <v>42606486</v>
      </c>
      <c r="Q273" s="287"/>
      <c r="R273" s="158"/>
      <c r="S273" s="158"/>
      <c r="T273" s="158"/>
    </row>
    <row r="274" spans="1:20" s="4" customFormat="1" ht="36" customHeight="1">
      <c r="A274" s="80" t="s">
        <v>585</v>
      </c>
      <c r="B274" s="80" t="str">
        <f>'дод. 3'!A185</f>
        <v>7340</v>
      </c>
      <c r="C274" s="80" t="str">
        <f>'дод. 3'!B185</f>
        <v>0443</v>
      </c>
      <c r="D274" s="107" t="str">
        <f>'дод. 3'!C185</f>
        <v>Проектування, реставрація та охорона пам'яток архітектури</v>
      </c>
      <c r="E274" s="82">
        <f>F274+I274</f>
        <v>0</v>
      </c>
      <c r="F274" s="82"/>
      <c r="G274" s="82"/>
      <c r="H274" s="82"/>
      <c r="I274" s="82"/>
      <c r="J274" s="82">
        <f>K274+N274</f>
        <v>1000000</v>
      </c>
      <c r="K274" s="82"/>
      <c r="L274" s="82"/>
      <c r="M274" s="82"/>
      <c r="N274" s="82">
        <f>650000-150000+500000</f>
        <v>1000000</v>
      </c>
      <c r="O274" s="82">
        <f>650000-150000+500000</f>
        <v>1000000</v>
      </c>
      <c r="P274" s="82">
        <f>E274+J274</f>
        <v>1000000</v>
      </c>
      <c r="Q274" s="287"/>
      <c r="R274" s="158"/>
      <c r="S274" s="158"/>
      <c r="T274" s="158"/>
    </row>
    <row r="275" spans="1:20" s="4" customFormat="1" ht="24" customHeight="1">
      <c r="A275" s="80" t="s">
        <v>613</v>
      </c>
      <c r="B275" s="80" t="str">
        <f>'дод. 3'!A187</f>
        <v>7360</v>
      </c>
      <c r="C275" s="80">
        <f>'дод. 3'!B187</f>
        <v>0</v>
      </c>
      <c r="D275" s="107" t="str">
        <f>'дод. 3'!C187</f>
        <v>Виконання інвестиційних проектів</v>
      </c>
      <c r="E275" s="82">
        <f>E277</f>
        <v>0</v>
      </c>
      <c r="F275" s="82">
        <f aca="true" t="shared" si="94" ref="F275:P276">F277</f>
        <v>0</v>
      </c>
      <c r="G275" s="82">
        <f t="shared" si="94"/>
        <v>0</v>
      </c>
      <c r="H275" s="82">
        <f t="shared" si="94"/>
        <v>0</v>
      </c>
      <c r="I275" s="82">
        <f t="shared" si="94"/>
        <v>0</v>
      </c>
      <c r="J275" s="82">
        <f t="shared" si="94"/>
        <v>333393</v>
      </c>
      <c r="K275" s="82">
        <f t="shared" si="94"/>
        <v>0</v>
      </c>
      <c r="L275" s="82">
        <f t="shared" si="94"/>
        <v>0</v>
      </c>
      <c r="M275" s="82">
        <f t="shared" si="94"/>
        <v>0</v>
      </c>
      <c r="N275" s="82">
        <f t="shared" si="94"/>
        <v>333393</v>
      </c>
      <c r="O275" s="82">
        <f t="shared" si="94"/>
        <v>298538</v>
      </c>
      <c r="P275" s="82">
        <f t="shared" si="94"/>
        <v>333393</v>
      </c>
      <c r="Q275" s="287"/>
      <c r="R275" s="158"/>
      <c r="S275" s="158"/>
      <c r="T275" s="158"/>
    </row>
    <row r="276" spans="1:20" s="4" customFormat="1" ht="17.25" customHeight="1">
      <c r="A276" s="80"/>
      <c r="B276" s="80"/>
      <c r="C276" s="80"/>
      <c r="D276" s="87" t="s">
        <v>416</v>
      </c>
      <c r="E276" s="82">
        <f>E278</f>
        <v>0</v>
      </c>
      <c r="F276" s="82">
        <f t="shared" si="94"/>
        <v>0</v>
      </c>
      <c r="G276" s="82">
        <f t="shared" si="94"/>
        <v>0</v>
      </c>
      <c r="H276" s="82">
        <f t="shared" si="94"/>
        <v>0</v>
      </c>
      <c r="I276" s="82">
        <f t="shared" si="94"/>
        <v>0</v>
      </c>
      <c r="J276" s="82">
        <f t="shared" si="94"/>
        <v>34946</v>
      </c>
      <c r="K276" s="82">
        <f t="shared" si="94"/>
        <v>0</v>
      </c>
      <c r="L276" s="82">
        <f t="shared" si="94"/>
        <v>0</v>
      </c>
      <c r="M276" s="82">
        <f t="shared" si="94"/>
        <v>0</v>
      </c>
      <c r="N276" s="82">
        <f t="shared" si="94"/>
        <v>34946</v>
      </c>
      <c r="O276" s="82">
        <f t="shared" si="94"/>
        <v>91</v>
      </c>
      <c r="P276" s="82">
        <f t="shared" si="94"/>
        <v>34946</v>
      </c>
      <c r="Q276" s="287"/>
      <c r="R276" s="158"/>
      <c r="S276" s="158"/>
      <c r="T276" s="158"/>
    </row>
    <row r="277" spans="1:20" s="115" customFormat="1" ht="48.75" customHeight="1">
      <c r="A277" s="83" t="s">
        <v>614</v>
      </c>
      <c r="B277" s="83" t="str">
        <f>'дод. 3'!A190</f>
        <v>7363</v>
      </c>
      <c r="C277" s="83" t="str">
        <f>'дод. 3'!B190</f>
        <v>0490</v>
      </c>
      <c r="D277" s="106" t="str">
        <f>'дод. 3'!C190</f>
        <v>Виконання інвестиційних проектів в рамках здійснення заходів щодо соціально-економічного розвитку окремих територій</v>
      </c>
      <c r="E277" s="85">
        <f>F277+I277</f>
        <v>0</v>
      </c>
      <c r="F277" s="85"/>
      <c r="G277" s="85"/>
      <c r="H277" s="85"/>
      <c r="I277" s="85"/>
      <c r="J277" s="85">
        <f>K277+N277</f>
        <v>333393</v>
      </c>
      <c r="K277" s="85"/>
      <c r="L277" s="85"/>
      <c r="M277" s="85"/>
      <c r="N277" s="85">
        <f>289447+34946+9000</f>
        <v>333393</v>
      </c>
      <c r="O277" s="85">
        <f>289447+91+9000</f>
        <v>298538</v>
      </c>
      <c r="P277" s="85">
        <f>E277+J277</f>
        <v>333393</v>
      </c>
      <c r="Q277" s="287"/>
      <c r="R277" s="160"/>
      <c r="S277" s="160"/>
      <c r="T277" s="160"/>
    </row>
    <row r="278" spans="1:20" s="115" customFormat="1" ht="22.5" customHeight="1">
      <c r="A278" s="83"/>
      <c r="B278" s="83"/>
      <c r="C278" s="83"/>
      <c r="D278" s="84" t="s">
        <v>416</v>
      </c>
      <c r="E278" s="85">
        <f>F278+I278</f>
        <v>0</v>
      </c>
      <c r="F278" s="85"/>
      <c r="G278" s="85"/>
      <c r="H278" s="85"/>
      <c r="I278" s="85"/>
      <c r="J278" s="85">
        <f>K278+N278</f>
        <v>34946</v>
      </c>
      <c r="K278" s="85"/>
      <c r="L278" s="85"/>
      <c r="M278" s="85"/>
      <c r="N278" s="85">
        <v>34946</v>
      </c>
      <c r="O278" s="85">
        <v>91</v>
      </c>
      <c r="P278" s="85">
        <f>E278+J278</f>
        <v>34946</v>
      </c>
      <c r="Q278" s="287"/>
      <c r="R278" s="160"/>
      <c r="S278" s="160"/>
      <c r="T278" s="160"/>
    </row>
    <row r="279" spans="1:20" s="4" customFormat="1" ht="27.75" customHeight="1">
      <c r="A279" s="80" t="s">
        <v>621</v>
      </c>
      <c r="B279" s="80" t="str">
        <f>'дод. 3'!A199</f>
        <v>7440</v>
      </c>
      <c r="C279" s="80">
        <f>'дод. 3'!B199</f>
        <v>0</v>
      </c>
      <c r="D279" s="107" t="str">
        <f>'дод. 3'!C199</f>
        <v>Утримання та розвиток транспортної інфраструктури</v>
      </c>
      <c r="E279" s="82">
        <f>E280</f>
        <v>0</v>
      </c>
      <c r="F279" s="82">
        <f aca="true" t="shared" si="95" ref="F279:P279">F280</f>
        <v>0</v>
      </c>
      <c r="G279" s="82">
        <f t="shared" si="95"/>
        <v>0</v>
      </c>
      <c r="H279" s="82">
        <f t="shared" si="95"/>
        <v>0</v>
      </c>
      <c r="I279" s="82">
        <f t="shared" si="95"/>
        <v>0</v>
      </c>
      <c r="J279" s="82">
        <f t="shared" si="95"/>
        <v>73389.14</v>
      </c>
      <c r="K279" s="82">
        <f t="shared" si="95"/>
        <v>0</v>
      </c>
      <c r="L279" s="82">
        <f t="shared" si="95"/>
        <v>0</v>
      </c>
      <c r="M279" s="82">
        <f t="shared" si="95"/>
        <v>0</v>
      </c>
      <c r="N279" s="82">
        <f t="shared" si="95"/>
        <v>73389.14</v>
      </c>
      <c r="O279" s="82">
        <f t="shared" si="95"/>
        <v>0</v>
      </c>
      <c r="P279" s="82">
        <f t="shared" si="95"/>
        <v>73389.14</v>
      </c>
      <c r="Q279" s="287"/>
      <c r="R279" s="158"/>
      <c r="S279" s="158"/>
      <c r="T279" s="158"/>
    </row>
    <row r="280" spans="1:20" s="115" customFormat="1" ht="36" customHeight="1">
      <c r="A280" s="83" t="s">
        <v>622</v>
      </c>
      <c r="B280" s="83" t="str">
        <f>'дод. 3'!A200</f>
        <v>7442</v>
      </c>
      <c r="C280" s="83" t="str">
        <f>'дод. 3'!B200</f>
        <v>0456</v>
      </c>
      <c r="D280" s="106" t="str">
        <f>'дод. 3'!C200</f>
        <v>Утримання та розвиток інших об’єктів транспортної інфраструктури</v>
      </c>
      <c r="E280" s="85">
        <f>F280+I280</f>
        <v>0</v>
      </c>
      <c r="F280" s="85"/>
      <c r="G280" s="85"/>
      <c r="H280" s="85"/>
      <c r="I280" s="85"/>
      <c r="J280" s="85">
        <f>K280+N280</f>
        <v>73389.14</v>
      </c>
      <c r="K280" s="85"/>
      <c r="L280" s="85"/>
      <c r="M280" s="85"/>
      <c r="N280" s="85">
        <v>73389.14</v>
      </c>
      <c r="O280" s="85"/>
      <c r="P280" s="85">
        <f>E280+J280</f>
        <v>73389.14</v>
      </c>
      <c r="Q280" s="287"/>
      <c r="R280" s="160"/>
      <c r="S280" s="160"/>
      <c r="T280" s="160"/>
    </row>
    <row r="281" spans="1:20" s="115" customFormat="1" ht="36" customHeight="1">
      <c r="A281" s="80" t="s">
        <v>641</v>
      </c>
      <c r="B281" s="92" t="s">
        <v>642</v>
      </c>
      <c r="C281" s="93"/>
      <c r="D281" s="245" t="s">
        <v>643</v>
      </c>
      <c r="E281" s="88">
        <f>F281+I281</f>
        <v>0</v>
      </c>
      <c r="F281" s="85"/>
      <c r="G281" s="85"/>
      <c r="H281" s="85"/>
      <c r="I281" s="85"/>
      <c r="J281" s="85">
        <f>J283</f>
        <v>41900000</v>
      </c>
      <c r="K281" s="85">
        <f aca="true" t="shared" si="96" ref="K281:P281">K283</f>
        <v>11900000</v>
      </c>
      <c r="L281" s="85">
        <f t="shared" si="96"/>
        <v>0</v>
      </c>
      <c r="M281" s="85">
        <f t="shared" si="96"/>
        <v>0</v>
      </c>
      <c r="N281" s="85">
        <f t="shared" si="96"/>
        <v>30000000</v>
      </c>
      <c r="O281" s="85">
        <f t="shared" si="96"/>
        <v>0</v>
      </c>
      <c r="P281" s="85">
        <f t="shared" si="96"/>
        <v>41900000</v>
      </c>
      <c r="Q281" s="287"/>
      <c r="R281" s="164"/>
      <c r="S281" s="164"/>
      <c r="T281" s="164"/>
    </row>
    <row r="282" spans="1:20" s="115" customFormat="1" ht="18.75" customHeight="1">
      <c r="A282" s="80"/>
      <c r="B282" s="92"/>
      <c r="C282" s="238"/>
      <c r="D282" s="246" t="str">
        <f aca="true" t="shared" si="97" ref="D282:I282">D284</f>
        <v>у т.ч. за рахунок субвенцій з держбюджету</v>
      </c>
      <c r="E282" s="88">
        <f t="shared" si="97"/>
        <v>0</v>
      </c>
      <c r="F282" s="88">
        <f t="shared" si="97"/>
        <v>0</v>
      </c>
      <c r="G282" s="88">
        <f t="shared" si="97"/>
        <v>0</v>
      </c>
      <c r="H282" s="88">
        <f t="shared" si="97"/>
        <v>0</v>
      </c>
      <c r="I282" s="88">
        <f t="shared" si="97"/>
        <v>0</v>
      </c>
      <c r="J282" s="88">
        <f>J284</f>
        <v>41900000</v>
      </c>
      <c r="K282" s="88">
        <f aca="true" t="shared" si="98" ref="K282:P282">K284</f>
        <v>11900000</v>
      </c>
      <c r="L282" s="88">
        <f t="shared" si="98"/>
        <v>0</v>
      </c>
      <c r="M282" s="88">
        <f t="shared" si="98"/>
        <v>0</v>
      </c>
      <c r="N282" s="88">
        <f t="shared" si="98"/>
        <v>30000000</v>
      </c>
      <c r="O282" s="88">
        <f t="shared" si="98"/>
        <v>0</v>
      </c>
      <c r="P282" s="88">
        <f t="shared" si="98"/>
        <v>41900000</v>
      </c>
      <c r="Q282" s="287">
        <v>14</v>
      </c>
      <c r="R282" s="164"/>
      <c r="S282" s="164"/>
      <c r="T282" s="164"/>
    </row>
    <row r="283" spans="1:20" s="115" customFormat="1" ht="50.25" customHeight="1">
      <c r="A283" s="83" t="s">
        <v>644</v>
      </c>
      <c r="B283" s="93" t="s">
        <v>645</v>
      </c>
      <c r="C283" s="242" t="s">
        <v>493</v>
      </c>
      <c r="D283" s="243" t="s">
        <v>646</v>
      </c>
      <c r="E283" s="88">
        <f>F283+I283</f>
        <v>0</v>
      </c>
      <c r="F283" s="85"/>
      <c r="G283" s="85"/>
      <c r="H283" s="85"/>
      <c r="I283" s="85"/>
      <c r="J283" s="85">
        <f>K283+N283</f>
        <v>41900000</v>
      </c>
      <c r="K283" s="85">
        <f>15900000-4000000</f>
        <v>11900000</v>
      </c>
      <c r="L283" s="85"/>
      <c r="M283" s="85"/>
      <c r="N283" s="85">
        <v>30000000</v>
      </c>
      <c r="O283" s="85"/>
      <c r="P283" s="85">
        <f>E283+J283</f>
        <v>41900000</v>
      </c>
      <c r="Q283" s="287"/>
      <c r="R283" s="164"/>
      <c r="S283" s="164"/>
      <c r="T283" s="164"/>
    </row>
    <row r="284" spans="1:20" s="115" customFormat="1" ht="24" customHeight="1">
      <c r="A284" s="83"/>
      <c r="B284" s="83"/>
      <c r="C284" s="244"/>
      <c r="D284" s="84" t="s">
        <v>416</v>
      </c>
      <c r="E284" s="85">
        <f>F284+I284</f>
        <v>0</v>
      </c>
      <c r="F284" s="85"/>
      <c r="G284" s="85"/>
      <c r="H284" s="85"/>
      <c r="I284" s="85"/>
      <c r="J284" s="85">
        <f>K284+N284</f>
        <v>41900000</v>
      </c>
      <c r="K284" s="85">
        <f>15900000-4000000</f>
        <v>11900000</v>
      </c>
      <c r="L284" s="85"/>
      <c r="M284" s="85"/>
      <c r="N284" s="85">
        <v>30000000</v>
      </c>
      <c r="O284" s="85"/>
      <c r="P284" s="85">
        <f>J284+E284</f>
        <v>41900000</v>
      </c>
      <c r="Q284" s="287"/>
      <c r="R284" s="164"/>
      <c r="S284" s="164"/>
      <c r="T284" s="164"/>
    </row>
    <row r="285" spans="1:20" s="4" customFormat="1" ht="28.5" customHeight="1">
      <c r="A285" s="86" t="s">
        <v>234</v>
      </c>
      <c r="B285" s="86" t="str">
        <f>'дод. 3'!A210</f>
        <v>7640</v>
      </c>
      <c r="C285" s="86" t="str">
        <f>'дод. 3'!B210</f>
        <v>0470</v>
      </c>
      <c r="D285" s="107" t="str">
        <f>'дод. 3'!C210</f>
        <v>Заходи з енергозбереження</v>
      </c>
      <c r="E285" s="88">
        <f>F285+I285</f>
        <v>529155</v>
      </c>
      <c r="F285" s="88">
        <f>529155+160000-160000</f>
        <v>529155</v>
      </c>
      <c r="G285" s="88"/>
      <c r="H285" s="88"/>
      <c r="I285" s="88"/>
      <c r="J285" s="88">
        <f>K285+N285</f>
        <v>19086155</v>
      </c>
      <c r="K285" s="88"/>
      <c r="L285" s="88"/>
      <c r="M285" s="88"/>
      <c r="N285" s="88">
        <f>18557000+529155-160000+160000</f>
        <v>19086155</v>
      </c>
      <c r="O285" s="88">
        <f>18557000+529155-160000+160000</f>
        <v>19086155</v>
      </c>
      <c r="P285" s="88">
        <f>E285+J285</f>
        <v>19615310</v>
      </c>
      <c r="Q285" s="287"/>
      <c r="R285" s="158"/>
      <c r="S285" s="158"/>
      <c r="T285" s="167"/>
    </row>
    <row r="286" spans="1:20" s="4" customFormat="1" ht="30" customHeight="1">
      <c r="A286" s="86" t="s">
        <v>615</v>
      </c>
      <c r="B286" s="86" t="str">
        <f>'дод. 3'!A215</f>
        <v>7690</v>
      </c>
      <c r="C286" s="86">
        <f>'дод. 3'!B215</f>
        <v>0</v>
      </c>
      <c r="D286" s="107" t="str">
        <f>'дод. 3'!C215</f>
        <v>Інша економічна діяльність</v>
      </c>
      <c r="E286" s="88">
        <f>E287</f>
        <v>0</v>
      </c>
      <c r="F286" s="88">
        <f aca="true" t="shared" si="99" ref="F286:P286">F287</f>
        <v>0</v>
      </c>
      <c r="G286" s="88">
        <f t="shared" si="99"/>
        <v>0</v>
      </c>
      <c r="H286" s="88">
        <f t="shared" si="99"/>
        <v>0</v>
      </c>
      <c r="I286" s="88">
        <f t="shared" si="99"/>
        <v>0</v>
      </c>
      <c r="J286" s="88">
        <f t="shared" si="99"/>
        <v>872083.12</v>
      </c>
      <c r="K286" s="88">
        <f t="shared" si="99"/>
        <v>0</v>
      </c>
      <c r="L286" s="88">
        <f t="shared" si="99"/>
        <v>0</v>
      </c>
      <c r="M286" s="88">
        <f t="shared" si="99"/>
        <v>0</v>
      </c>
      <c r="N286" s="88">
        <f t="shared" si="99"/>
        <v>872083.12</v>
      </c>
      <c r="O286" s="88">
        <f t="shared" si="99"/>
        <v>0</v>
      </c>
      <c r="P286" s="88">
        <f t="shared" si="99"/>
        <v>872083.12</v>
      </c>
      <c r="Q286" s="287"/>
      <c r="R286" s="158"/>
      <c r="S286" s="158"/>
      <c r="T286" s="167"/>
    </row>
    <row r="287" spans="1:20" s="115" customFormat="1" ht="108.75" customHeight="1">
      <c r="A287" s="83" t="s">
        <v>616</v>
      </c>
      <c r="B287" s="83" t="str">
        <f>'дод. 3'!A216</f>
        <v>7691</v>
      </c>
      <c r="C287" s="83" t="str">
        <f>'дод. 3'!B216</f>
        <v>0490</v>
      </c>
      <c r="D287" s="84" t="s">
        <v>499</v>
      </c>
      <c r="E287" s="85">
        <f>F287+I287</f>
        <v>0</v>
      </c>
      <c r="F287" s="85"/>
      <c r="G287" s="85"/>
      <c r="H287" s="85"/>
      <c r="I287" s="85"/>
      <c r="J287" s="85">
        <f>K287+N287</f>
        <v>872083.12</v>
      </c>
      <c r="K287" s="85"/>
      <c r="L287" s="85"/>
      <c r="M287" s="85"/>
      <c r="N287" s="85">
        <v>872083.12</v>
      </c>
      <c r="O287" s="85"/>
      <c r="P287" s="85">
        <f>E287+J287</f>
        <v>872083.12</v>
      </c>
      <c r="Q287" s="287"/>
      <c r="R287" s="160"/>
      <c r="S287" s="160"/>
      <c r="T287" s="161"/>
    </row>
    <row r="288" spans="1:20" s="114" customFormat="1" ht="28.5" customHeight="1">
      <c r="A288" s="111" t="s">
        <v>330</v>
      </c>
      <c r="B288" s="36"/>
      <c r="C288" s="36"/>
      <c r="D288" s="35" t="s">
        <v>72</v>
      </c>
      <c r="E288" s="46">
        <f>E289</f>
        <v>6389600</v>
      </c>
      <c r="F288" s="46">
        <f aca="true" t="shared" si="100" ref="F288:P288">F289</f>
        <v>6389600</v>
      </c>
      <c r="G288" s="46">
        <f t="shared" si="100"/>
        <v>4858230</v>
      </c>
      <c r="H288" s="46">
        <f t="shared" si="100"/>
        <v>81200</v>
      </c>
      <c r="I288" s="46">
        <f t="shared" si="100"/>
        <v>0</v>
      </c>
      <c r="J288" s="46">
        <f t="shared" si="100"/>
        <v>1263974.04</v>
      </c>
      <c r="K288" s="46">
        <f t="shared" si="100"/>
        <v>1123974.04</v>
      </c>
      <c r="L288" s="46">
        <f t="shared" si="100"/>
        <v>0</v>
      </c>
      <c r="M288" s="46">
        <f t="shared" si="100"/>
        <v>0</v>
      </c>
      <c r="N288" s="46">
        <f t="shared" si="100"/>
        <v>140000</v>
      </c>
      <c r="O288" s="46">
        <f t="shared" si="100"/>
        <v>140000</v>
      </c>
      <c r="P288" s="46">
        <f t="shared" si="100"/>
        <v>7653574.04</v>
      </c>
      <c r="Q288" s="287"/>
      <c r="R288" s="156"/>
      <c r="S288" s="156"/>
      <c r="T288" s="156"/>
    </row>
    <row r="289" spans="1:21" s="114" customFormat="1" ht="30">
      <c r="A289" s="113" t="s">
        <v>331</v>
      </c>
      <c r="B289" s="124"/>
      <c r="C289" s="124"/>
      <c r="D289" s="123" t="s">
        <v>72</v>
      </c>
      <c r="E289" s="79">
        <f>E290+E293+E291+E292</f>
        <v>6389600</v>
      </c>
      <c r="F289" s="79">
        <f aca="true" t="shared" si="101" ref="F289:P289">F290+F293+F291+F292</f>
        <v>6389600</v>
      </c>
      <c r="G289" s="79">
        <f t="shared" si="101"/>
        <v>4858230</v>
      </c>
      <c r="H289" s="79">
        <f t="shared" si="101"/>
        <v>81200</v>
      </c>
      <c r="I289" s="79">
        <f t="shared" si="101"/>
        <v>0</v>
      </c>
      <c r="J289" s="79">
        <f t="shared" si="101"/>
        <v>1263974.04</v>
      </c>
      <c r="K289" s="79">
        <f t="shared" si="101"/>
        <v>1123974.04</v>
      </c>
      <c r="L289" s="79">
        <f t="shared" si="101"/>
        <v>0</v>
      </c>
      <c r="M289" s="79">
        <f t="shared" si="101"/>
        <v>0</v>
      </c>
      <c r="N289" s="79">
        <f t="shared" si="101"/>
        <v>140000</v>
      </c>
      <c r="O289" s="79">
        <f t="shared" si="101"/>
        <v>140000</v>
      </c>
      <c r="P289" s="79">
        <f t="shared" si="101"/>
        <v>7653574.04</v>
      </c>
      <c r="Q289" s="287"/>
      <c r="R289" s="165"/>
      <c r="S289" s="165"/>
      <c r="T289" s="165"/>
      <c r="U289" s="149"/>
    </row>
    <row r="290" spans="1:20" s="4" customFormat="1" ht="45">
      <c r="A290" s="80" t="s">
        <v>332</v>
      </c>
      <c r="B290" s="80" t="str">
        <f>'дод. 3'!A13</f>
        <v>0160</v>
      </c>
      <c r="C290" s="80" t="str">
        <f>'дод. 3'!B13</f>
        <v>0111</v>
      </c>
      <c r="D290" s="81" t="str">
        <f>'дод. 3'!C13</f>
        <v>Керівництво і управління у відповідній сфері у містах (місті Києві), селищах, селах, об’єднаних територіальних громадах</v>
      </c>
      <c r="E290" s="82">
        <f>F290+I290</f>
        <v>6189600</v>
      </c>
      <c r="F290" s="82">
        <f>6208400-28800+10000</f>
        <v>6189600</v>
      </c>
      <c r="G290" s="82">
        <v>4858230</v>
      </c>
      <c r="H290" s="82">
        <v>81200</v>
      </c>
      <c r="I290" s="82"/>
      <c r="J290" s="82">
        <f>K290+N290</f>
        <v>0</v>
      </c>
      <c r="K290" s="82"/>
      <c r="L290" s="82"/>
      <c r="M290" s="82"/>
      <c r="N290" s="82">
        <f>20000-20000</f>
        <v>0</v>
      </c>
      <c r="O290" s="82">
        <f>20000-20000</f>
        <v>0</v>
      </c>
      <c r="P290" s="82">
        <f>E290+J290</f>
        <v>6189600</v>
      </c>
      <c r="Q290" s="287"/>
      <c r="R290" s="158"/>
      <c r="S290" s="158"/>
      <c r="T290" s="158"/>
    </row>
    <row r="291" spans="1:20" s="4" customFormat="1" ht="32.25" customHeight="1">
      <c r="A291" s="80" t="s">
        <v>489</v>
      </c>
      <c r="B291" s="137" t="str">
        <f>'дод. 3'!A173</f>
        <v>6090</v>
      </c>
      <c r="C291" s="137" t="str">
        <f>'дод. 3'!B173</f>
        <v>0640</v>
      </c>
      <c r="D291" s="109" t="str">
        <f>'дод. 3'!C173</f>
        <v>Інша діяльність у сфері житлово-комунального господарства</v>
      </c>
      <c r="E291" s="82">
        <f>F291+I291</f>
        <v>200000</v>
      </c>
      <c r="F291" s="82">
        <f>150000+50000</f>
        <v>200000</v>
      </c>
      <c r="G291" s="82"/>
      <c r="H291" s="82"/>
      <c r="I291" s="82"/>
      <c r="J291" s="82">
        <f>K291+N291</f>
        <v>0</v>
      </c>
      <c r="K291" s="82"/>
      <c r="L291" s="82"/>
      <c r="M291" s="82"/>
      <c r="N291" s="82"/>
      <c r="O291" s="82"/>
      <c r="P291" s="82">
        <f>E291+J291</f>
        <v>200000</v>
      </c>
      <c r="Q291" s="287"/>
      <c r="R291" s="158"/>
      <c r="S291" s="158"/>
      <c r="T291" s="158"/>
    </row>
    <row r="292" spans="1:20" s="4" customFormat="1" ht="32.25" customHeight="1">
      <c r="A292" s="80" t="s">
        <v>632</v>
      </c>
      <c r="B292" s="137" t="str">
        <f>'дод. 3'!A186</f>
        <v>7350</v>
      </c>
      <c r="C292" s="137" t="str">
        <f>'дод. 3'!B186</f>
        <v>0443</v>
      </c>
      <c r="D292" s="109" t="str">
        <f>'дод. 3'!C186</f>
        <v>Розроблення схем планування та забудови територій (містобудівної документації)</v>
      </c>
      <c r="E292" s="82">
        <f>F292+I292</f>
        <v>0</v>
      </c>
      <c r="F292" s="82"/>
      <c r="G292" s="82"/>
      <c r="H292" s="82"/>
      <c r="I292" s="82"/>
      <c r="J292" s="82">
        <f>K292+N292</f>
        <v>140000</v>
      </c>
      <c r="K292" s="82"/>
      <c r="L292" s="82"/>
      <c r="M292" s="82"/>
      <c r="N292" s="82">
        <v>140000</v>
      </c>
      <c r="O292" s="82">
        <v>140000</v>
      </c>
      <c r="P292" s="82">
        <f>E292+J292</f>
        <v>140000</v>
      </c>
      <c r="Q292" s="287"/>
      <c r="R292" s="158"/>
      <c r="S292" s="158"/>
      <c r="T292" s="158"/>
    </row>
    <row r="293" spans="1:20" s="4" customFormat="1" ht="18.75" customHeight="1">
      <c r="A293" s="90" t="s">
        <v>333</v>
      </c>
      <c r="B293" s="90" t="str">
        <f>'дод. 3'!A215</f>
        <v>7690</v>
      </c>
      <c r="C293" s="90">
        <f>'дод. 3'!B215</f>
        <v>0</v>
      </c>
      <c r="D293" s="108" t="str">
        <f>'дод. 3'!C215</f>
        <v>Інша економічна діяльність</v>
      </c>
      <c r="E293" s="82">
        <f>E294</f>
        <v>0</v>
      </c>
      <c r="F293" s="82">
        <f aca="true" t="shared" si="102" ref="F293:P293">F294</f>
        <v>0</v>
      </c>
      <c r="G293" s="82">
        <f t="shared" si="102"/>
        <v>0</v>
      </c>
      <c r="H293" s="82">
        <f t="shared" si="102"/>
        <v>0</v>
      </c>
      <c r="I293" s="82">
        <f t="shared" si="102"/>
        <v>0</v>
      </c>
      <c r="J293" s="82">
        <f t="shared" si="102"/>
        <v>1123974.04</v>
      </c>
      <c r="K293" s="82">
        <f t="shared" si="102"/>
        <v>1123974.04</v>
      </c>
      <c r="L293" s="82">
        <f t="shared" si="102"/>
        <v>0</v>
      </c>
      <c r="M293" s="82">
        <f t="shared" si="102"/>
        <v>0</v>
      </c>
      <c r="N293" s="82">
        <f t="shared" si="102"/>
        <v>0</v>
      </c>
      <c r="O293" s="82">
        <f t="shared" si="102"/>
        <v>0</v>
      </c>
      <c r="P293" s="82">
        <f t="shared" si="102"/>
        <v>1123974.04</v>
      </c>
      <c r="Q293" s="287"/>
      <c r="R293" s="159"/>
      <c r="S293" s="159"/>
      <c r="T293" s="159"/>
    </row>
    <row r="294" spans="1:20" s="115" customFormat="1" ht="110.25" customHeight="1">
      <c r="A294" s="116" t="s">
        <v>471</v>
      </c>
      <c r="B294" s="138" t="str">
        <f>'дод. 3'!A216</f>
        <v>7691</v>
      </c>
      <c r="C294" s="138" t="str">
        <f>'дод. 3'!B216</f>
        <v>0490</v>
      </c>
      <c r="D294" s="84" t="s">
        <v>499</v>
      </c>
      <c r="E294" s="85">
        <f>F294+I294</f>
        <v>0</v>
      </c>
      <c r="F294" s="85"/>
      <c r="G294" s="85"/>
      <c r="H294" s="85"/>
      <c r="I294" s="85"/>
      <c r="J294" s="85">
        <f>K294+N294</f>
        <v>1123974.04</v>
      </c>
      <c r="K294" s="85">
        <f>341539+752435.04+30000</f>
        <v>1123974.04</v>
      </c>
      <c r="L294" s="85"/>
      <c r="M294" s="85"/>
      <c r="N294" s="85"/>
      <c r="O294" s="85"/>
      <c r="P294" s="85">
        <f>E294+J294</f>
        <v>1123974.04</v>
      </c>
      <c r="Q294" s="287"/>
      <c r="R294" s="160"/>
      <c r="S294" s="160"/>
      <c r="T294" s="160"/>
    </row>
    <row r="295" spans="1:20" s="114" customFormat="1" ht="36.75" customHeight="1">
      <c r="A295" s="111" t="s">
        <v>336</v>
      </c>
      <c r="B295" s="36"/>
      <c r="C295" s="36"/>
      <c r="D295" s="35" t="s">
        <v>75</v>
      </c>
      <c r="E295" s="46">
        <f>E296</f>
        <v>3656700</v>
      </c>
      <c r="F295" s="46">
        <f aca="true" t="shared" si="103" ref="F295:P296">F296</f>
        <v>3656700</v>
      </c>
      <c r="G295" s="46">
        <f t="shared" si="103"/>
        <v>2745200</v>
      </c>
      <c r="H295" s="46">
        <f t="shared" si="103"/>
        <v>36300</v>
      </c>
      <c r="I295" s="46">
        <f t="shared" si="103"/>
        <v>0</v>
      </c>
      <c r="J295" s="46">
        <f t="shared" si="103"/>
        <v>40000</v>
      </c>
      <c r="K295" s="46">
        <f t="shared" si="103"/>
        <v>0</v>
      </c>
      <c r="L295" s="46">
        <f t="shared" si="103"/>
        <v>0</v>
      </c>
      <c r="M295" s="46">
        <f t="shared" si="103"/>
        <v>0</v>
      </c>
      <c r="N295" s="46">
        <f t="shared" si="103"/>
        <v>40000</v>
      </c>
      <c r="O295" s="46">
        <f t="shared" si="103"/>
        <v>40000</v>
      </c>
      <c r="P295" s="46">
        <f t="shared" si="103"/>
        <v>3696700</v>
      </c>
      <c r="Q295" s="287"/>
      <c r="R295" s="156"/>
      <c r="S295" s="156"/>
      <c r="T295" s="156"/>
    </row>
    <row r="296" spans="1:20" s="114" customFormat="1" ht="41.25" customHeight="1">
      <c r="A296" s="113" t="s">
        <v>334</v>
      </c>
      <c r="B296" s="124"/>
      <c r="C296" s="124"/>
      <c r="D296" s="123" t="s">
        <v>75</v>
      </c>
      <c r="E296" s="79">
        <f>E297</f>
        <v>3656700</v>
      </c>
      <c r="F296" s="79">
        <f t="shared" si="103"/>
        <v>3656700</v>
      </c>
      <c r="G296" s="79">
        <f t="shared" si="103"/>
        <v>2745200</v>
      </c>
      <c r="H296" s="79">
        <f t="shared" si="103"/>
        <v>36300</v>
      </c>
      <c r="I296" s="79">
        <f t="shared" si="103"/>
        <v>0</v>
      </c>
      <c r="J296" s="79">
        <f t="shared" si="103"/>
        <v>40000</v>
      </c>
      <c r="K296" s="79">
        <f t="shared" si="103"/>
        <v>0</v>
      </c>
      <c r="L296" s="79">
        <f t="shared" si="103"/>
        <v>0</v>
      </c>
      <c r="M296" s="79">
        <f t="shared" si="103"/>
        <v>0</v>
      </c>
      <c r="N296" s="79">
        <f t="shared" si="103"/>
        <v>40000</v>
      </c>
      <c r="O296" s="79">
        <f t="shared" si="103"/>
        <v>40000</v>
      </c>
      <c r="P296" s="79">
        <f t="shared" si="103"/>
        <v>3696700</v>
      </c>
      <c r="Q296" s="287"/>
      <c r="R296" s="157"/>
      <c r="S296" s="157"/>
      <c r="T296" s="157"/>
    </row>
    <row r="297" spans="1:20" s="115" customFormat="1" ht="47.25" customHeight="1">
      <c r="A297" s="80" t="s">
        <v>335</v>
      </c>
      <c r="B297" s="80" t="str">
        <f>'дод. 3'!A13</f>
        <v>0160</v>
      </c>
      <c r="C297" s="80" t="str">
        <f>'дод. 3'!B13</f>
        <v>0111</v>
      </c>
      <c r="D297" s="81" t="str">
        <f>'дод. 3'!C13</f>
        <v>Керівництво і управління у відповідній сфері у містах (місті Києві), селищах, селах, об’єднаних територіальних громадах</v>
      </c>
      <c r="E297" s="82">
        <f>F297+I297</f>
        <v>3656700</v>
      </c>
      <c r="F297" s="82">
        <f>3525900-19200+150000</f>
        <v>3656700</v>
      </c>
      <c r="G297" s="82">
        <v>2745200</v>
      </c>
      <c r="H297" s="82">
        <v>36300</v>
      </c>
      <c r="I297" s="82"/>
      <c r="J297" s="82">
        <f>K297+N297</f>
        <v>40000</v>
      </c>
      <c r="K297" s="82"/>
      <c r="L297" s="82"/>
      <c r="M297" s="82"/>
      <c r="N297" s="82">
        <v>40000</v>
      </c>
      <c r="O297" s="82">
        <v>40000</v>
      </c>
      <c r="P297" s="82">
        <f>E297+J297</f>
        <v>3696700</v>
      </c>
      <c r="Q297" s="287"/>
      <c r="R297" s="158"/>
      <c r="S297" s="158"/>
      <c r="T297" s="158"/>
    </row>
    <row r="298" spans="1:20" s="112" customFormat="1" ht="28.5">
      <c r="A298" s="111" t="s">
        <v>337</v>
      </c>
      <c r="B298" s="36"/>
      <c r="C298" s="36"/>
      <c r="D298" s="35" t="s">
        <v>71</v>
      </c>
      <c r="E298" s="46">
        <f>E299</f>
        <v>17567206</v>
      </c>
      <c r="F298" s="46">
        <f aca="true" t="shared" si="104" ref="F298:P298">F299</f>
        <v>16667206</v>
      </c>
      <c r="G298" s="46">
        <f t="shared" si="104"/>
        <v>11700000</v>
      </c>
      <c r="H298" s="46">
        <f t="shared" si="104"/>
        <v>328583.65</v>
      </c>
      <c r="I298" s="46">
        <f t="shared" si="104"/>
        <v>900000</v>
      </c>
      <c r="J298" s="46">
        <f t="shared" si="104"/>
        <v>287843.33</v>
      </c>
      <c r="K298" s="46">
        <f t="shared" si="104"/>
        <v>14343.33</v>
      </c>
      <c r="L298" s="46">
        <f t="shared" si="104"/>
        <v>0</v>
      </c>
      <c r="M298" s="46">
        <f t="shared" si="104"/>
        <v>0</v>
      </c>
      <c r="N298" s="46">
        <f t="shared" si="104"/>
        <v>273500</v>
      </c>
      <c r="O298" s="46">
        <f t="shared" si="104"/>
        <v>273500</v>
      </c>
      <c r="P298" s="46">
        <f t="shared" si="104"/>
        <v>17855049.33</v>
      </c>
      <c r="Q298" s="287"/>
      <c r="R298" s="156"/>
      <c r="S298" s="156"/>
      <c r="T298" s="156"/>
    </row>
    <row r="299" spans="1:20" s="114" customFormat="1" ht="30.75" customHeight="1">
      <c r="A299" s="113" t="s">
        <v>338</v>
      </c>
      <c r="B299" s="124"/>
      <c r="C299" s="124"/>
      <c r="D299" s="123" t="s">
        <v>71</v>
      </c>
      <c r="E299" s="79">
        <f>E300+E301+E302+E303+E304+E305+E307</f>
        <v>17567206</v>
      </c>
      <c r="F299" s="79">
        <f aca="true" t="shared" si="105" ref="F299:O299">F300+F301+F302+F303+F304+F305+F307</f>
        <v>16667206</v>
      </c>
      <c r="G299" s="79">
        <f t="shared" si="105"/>
        <v>11700000</v>
      </c>
      <c r="H299" s="79">
        <f t="shared" si="105"/>
        <v>328583.65</v>
      </c>
      <c r="I299" s="79">
        <f t="shared" si="105"/>
        <v>900000</v>
      </c>
      <c r="J299" s="79">
        <f t="shared" si="105"/>
        <v>287843.33</v>
      </c>
      <c r="K299" s="79">
        <f t="shared" si="105"/>
        <v>14343.33</v>
      </c>
      <c r="L299" s="79">
        <f t="shared" si="105"/>
        <v>0</v>
      </c>
      <c r="M299" s="79">
        <f t="shared" si="105"/>
        <v>0</v>
      </c>
      <c r="N299" s="79">
        <f t="shared" si="105"/>
        <v>273500</v>
      </c>
      <c r="O299" s="79">
        <f t="shared" si="105"/>
        <v>273500</v>
      </c>
      <c r="P299" s="79">
        <f>P300+P301+P302+P303+P304+P305+P307</f>
        <v>17855049.33</v>
      </c>
      <c r="Q299" s="287"/>
      <c r="R299" s="165"/>
      <c r="S299" s="165"/>
      <c r="T299" s="165"/>
    </row>
    <row r="300" spans="1:20" s="112" customFormat="1" ht="54" customHeight="1">
      <c r="A300" s="80" t="s">
        <v>339</v>
      </c>
      <c r="B300" s="80" t="str">
        <f>'дод. 3'!A13</f>
        <v>0160</v>
      </c>
      <c r="C300" s="80" t="str">
        <f>'дод. 3'!B13</f>
        <v>0111</v>
      </c>
      <c r="D300" s="81" t="str">
        <f>'дод. 3'!C13</f>
        <v>Керівництво і управління у відповідній сфері у містах (місті Києві), селищах, селах, об’єднаних територіальних громадах</v>
      </c>
      <c r="E300" s="82">
        <f>F300+I300</f>
        <v>15013300</v>
      </c>
      <c r="F300" s="82">
        <f>15102100-88800</f>
        <v>15013300</v>
      </c>
      <c r="G300" s="82">
        <v>11700000</v>
      </c>
      <c r="H300" s="82">
        <v>250267</v>
      </c>
      <c r="I300" s="82"/>
      <c r="J300" s="82">
        <f>K300+N300</f>
        <v>19500</v>
      </c>
      <c r="K300" s="82"/>
      <c r="L300" s="82"/>
      <c r="M300" s="82"/>
      <c r="N300" s="82">
        <f>150000-130500</f>
        <v>19500</v>
      </c>
      <c r="O300" s="82">
        <f>150000-130500</f>
        <v>19500</v>
      </c>
      <c r="P300" s="82">
        <f>E300+J300</f>
        <v>15032800</v>
      </c>
      <c r="Q300" s="287"/>
      <c r="R300" s="158"/>
      <c r="S300" s="158"/>
      <c r="T300" s="158"/>
    </row>
    <row r="301" spans="1:20" s="129" customFormat="1" ht="29.25" customHeight="1">
      <c r="A301" s="80" t="s">
        <v>340</v>
      </c>
      <c r="B301" s="80" t="str">
        <f>'дод. 3'!A176</f>
        <v>7130</v>
      </c>
      <c r="C301" s="80" t="str">
        <f>'дод. 3'!B176</f>
        <v>0421</v>
      </c>
      <c r="D301" s="109" t="str">
        <f>'дод. 3'!C176</f>
        <v>Здійснення  заходів із землеустрою</v>
      </c>
      <c r="E301" s="82">
        <f>F301+I301</f>
        <v>650000</v>
      </c>
      <c r="F301" s="127">
        <f>50000+500000+50000+50000</f>
        <v>650000</v>
      </c>
      <c r="G301" s="128"/>
      <c r="H301" s="128"/>
      <c r="I301" s="128"/>
      <c r="J301" s="82">
        <f>K301+N301</f>
        <v>14343.33</v>
      </c>
      <c r="K301" s="128">
        <v>14343.33</v>
      </c>
      <c r="L301" s="128"/>
      <c r="M301" s="128"/>
      <c r="N301" s="128"/>
      <c r="O301" s="128"/>
      <c r="P301" s="82">
        <f>E301+J301</f>
        <v>664343.33</v>
      </c>
      <c r="Q301" s="287"/>
      <c r="R301" s="158"/>
      <c r="S301" s="158"/>
      <c r="T301" s="158"/>
    </row>
    <row r="302" spans="1:20" s="4" customFormat="1" ht="15">
      <c r="A302" s="90" t="s">
        <v>341</v>
      </c>
      <c r="B302" s="90" t="str">
        <f>'дод. 3'!A209</f>
        <v>7610</v>
      </c>
      <c r="C302" s="90" t="str">
        <f>'дод. 3'!B209</f>
        <v>0411</v>
      </c>
      <c r="D302" s="108" t="str">
        <f>'дод. 3'!C209</f>
        <v>Сприяння розвитку малого та середнього підприємництва</v>
      </c>
      <c r="E302" s="82">
        <f>F302+I302</f>
        <v>1152000</v>
      </c>
      <c r="F302" s="82">
        <f>185000+67000</f>
        <v>252000</v>
      </c>
      <c r="G302" s="82"/>
      <c r="H302" s="82"/>
      <c r="I302" s="82">
        <v>900000</v>
      </c>
      <c r="J302" s="82">
        <f>K302+N302</f>
        <v>0</v>
      </c>
      <c r="K302" s="82"/>
      <c r="L302" s="82"/>
      <c r="M302" s="82"/>
      <c r="N302" s="82"/>
      <c r="O302" s="82"/>
      <c r="P302" s="82">
        <f>E302+J302</f>
        <v>1152000</v>
      </c>
      <c r="Q302" s="287"/>
      <c r="R302" s="158"/>
      <c r="S302" s="158"/>
      <c r="T302" s="158"/>
    </row>
    <row r="303" spans="1:20" s="118" customFormat="1" ht="37.5" customHeight="1">
      <c r="A303" s="90" t="s">
        <v>417</v>
      </c>
      <c r="B303" s="90" t="str">
        <f>'дод. 3'!A211</f>
        <v>7650</v>
      </c>
      <c r="C303" s="90" t="str">
        <f>'дод. 3'!B211</f>
        <v>0490</v>
      </c>
      <c r="D303" s="108" t="str">
        <f>'дод. 3'!C211</f>
        <v>Проведення експертної  грошової  оцінки  земельної ділянки чи права на неї</v>
      </c>
      <c r="E303" s="82">
        <f>F303+I303</f>
        <v>0</v>
      </c>
      <c r="F303" s="82"/>
      <c r="G303" s="82"/>
      <c r="H303" s="82"/>
      <c r="I303" s="82"/>
      <c r="J303" s="82">
        <f>K303+N303</f>
        <v>50000</v>
      </c>
      <c r="K303" s="82"/>
      <c r="L303" s="82"/>
      <c r="M303" s="82"/>
      <c r="N303" s="82">
        <f>25000+25000</f>
        <v>50000</v>
      </c>
      <c r="O303" s="82">
        <f>25000+25000</f>
        <v>50000</v>
      </c>
      <c r="P303" s="82">
        <f>E303+J303</f>
        <v>50000</v>
      </c>
      <c r="Q303" s="287"/>
      <c r="R303" s="158"/>
      <c r="S303" s="158"/>
      <c r="T303" s="158"/>
    </row>
    <row r="304" spans="1:20" s="118" customFormat="1" ht="45">
      <c r="A304" s="90" t="s">
        <v>419</v>
      </c>
      <c r="B304" s="90" t="str">
        <f>'дод. 3'!A212</f>
        <v>7660</v>
      </c>
      <c r="C304" s="90" t="str">
        <f>'дод. 3'!B212</f>
        <v>0490</v>
      </c>
      <c r="D304" s="108" t="str">
        <f>'дод. 3'!C212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04" s="82">
        <f>F304+I304</f>
        <v>0</v>
      </c>
      <c r="F304" s="82"/>
      <c r="G304" s="82"/>
      <c r="H304" s="82"/>
      <c r="I304" s="82"/>
      <c r="J304" s="82">
        <f>K304+N304</f>
        <v>25000</v>
      </c>
      <c r="K304" s="82"/>
      <c r="L304" s="82"/>
      <c r="M304" s="82"/>
      <c r="N304" s="82">
        <v>25000</v>
      </c>
      <c r="O304" s="82">
        <v>25000</v>
      </c>
      <c r="P304" s="82">
        <f>E304+J304</f>
        <v>25000</v>
      </c>
      <c r="Q304" s="287"/>
      <c r="R304" s="158"/>
      <c r="S304" s="158"/>
      <c r="T304" s="158"/>
    </row>
    <row r="305" spans="1:20" s="4" customFormat="1" ht="22.5" customHeight="1">
      <c r="A305" s="90" t="s">
        <v>411</v>
      </c>
      <c r="B305" s="90" t="str">
        <f>'дод. 3'!A215</f>
        <v>7690</v>
      </c>
      <c r="C305" s="90">
        <f>'дод. 3'!B215</f>
        <v>0</v>
      </c>
      <c r="D305" s="108" t="str">
        <f>'дод. 3'!C215</f>
        <v>Інша економічна діяльність</v>
      </c>
      <c r="E305" s="82">
        <f>E306</f>
        <v>731906</v>
      </c>
      <c r="F305" s="82">
        <f aca="true" t="shared" si="106" ref="F305:P305">F306</f>
        <v>731906</v>
      </c>
      <c r="G305" s="82">
        <f t="shared" si="106"/>
        <v>0</v>
      </c>
      <c r="H305" s="82">
        <f t="shared" si="106"/>
        <v>78316.65</v>
      </c>
      <c r="I305" s="82">
        <f t="shared" si="106"/>
        <v>0</v>
      </c>
      <c r="J305" s="82">
        <f t="shared" si="106"/>
        <v>0</v>
      </c>
      <c r="K305" s="82">
        <f t="shared" si="106"/>
        <v>0</v>
      </c>
      <c r="L305" s="82">
        <f t="shared" si="106"/>
        <v>0</v>
      </c>
      <c r="M305" s="82">
        <f t="shared" si="106"/>
        <v>0</v>
      </c>
      <c r="N305" s="82">
        <f t="shared" si="106"/>
        <v>0</v>
      </c>
      <c r="O305" s="82">
        <f t="shared" si="106"/>
        <v>0</v>
      </c>
      <c r="P305" s="82">
        <f t="shared" si="106"/>
        <v>731906</v>
      </c>
      <c r="Q305" s="287"/>
      <c r="R305" s="159">
        <f>R306</f>
        <v>0</v>
      </c>
      <c r="S305" s="159">
        <f>S306</f>
        <v>0</v>
      </c>
      <c r="T305" s="159"/>
    </row>
    <row r="306" spans="1:20" s="115" customFormat="1" ht="23.25" customHeight="1">
      <c r="A306" s="116" t="s">
        <v>412</v>
      </c>
      <c r="B306" s="116" t="str">
        <f>'дод. 3'!A217</f>
        <v>7693</v>
      </c>
      <c r="C306" s="116" t="str">
        <f>'дод. 3'!B217</f>
        <v>0490</v>
      </c>
      <c r="D306" s="117" t="str">
        <f>'дод. 3'!C217</f>
        <v>Інші заходи, пов'язані з економічною діяльністю</v>
      </c>
      <c r="E306" s="85">
        <f>F306+I306</f>
        <v>731906</v>
      </c>
      <c r="F306" s="85">
        <f>642000+89906</f>
        <v>731906</v>
      </c>
      <c r="G306" s="85"/>
      <c r="H306" s="85">
        <v>78316.65</v>
      </c>
      <c r="I306" s="85"/>
      <c r="J306" s="85">
        <f>K306+N306</f>
        <v>0</v>
      </c>
      <c r="K306" s="85"/>
      <c r="L306" s="85"/>
      <c r="M306" s="85"/>
      <c r="N306" s="85"/>
      <c r="O306" s="85"/>
      <c r="P306" s="85">
        <f>E306+J306</f>
        <v>731906</v>
      </c>
      <c r="Q306" s="287"/>
      <c r="R306" s="160"/>
      <c r="S306" s="160"/>
      <c r="T306" s="160"/>
    </row>
    <row r="307" spans="1:20" s="4" customFormat="1" ht="55.5" customHeight="1">
      <c r="A307" s="90" t="s">
        <v>597</v>
      </c>
      <c r="B307" s="218" t="str">
        <f>'дод. 3'!A242</f>
        <v>9800</v>
      </c>
      <c r="C307" s="218" t="str">
        <f>'дод. 3'!B242</f>
        <v>0180</v>
      </c>
      <c r="D307" s="110" t="str">
        <f>'дод. 3'!C242</f>
        <v>Субвенція з місцевого бюджету державному бюджету на виконання програм соціально-економічного розвитку регіонів </v>
      </c>
      <c r="E307" s="82">
        <f>F307+I307</f>
        <v>20000</v>
      </c>
      <c r="F307" s="82">
        <v>20000</v>
      </c>
      <c r="G307" s="82"/>
      <c r="H307" s="82"/>
      <c r="I307" s="82"/>
      <c r="J307" s="82">
        <f>K307+N307</f>
        <v>179000</v>
      </c>
      <c r="K307" s="82"/>
      <c r="L307" s="82"/>
      <c r="M307" s="82"/>
      <c r="N307" s="82">
        <v>179000</v>
      </c>
      <c r="O307" s="82">
        <v>179000</v>
      </c>
      <c r="P307" s="82">
        <f>E307+J307</f>
        <v>199000</v>
      </c>
      <c r="Q307" s="287"/>
      <c r="R307" s="158"/>
      <c r="S307" s="158"/>
      <c r="T307" s="158"/>
    </row>
    <row r="308" spans="1:20" s="112" customFormat="1" ht="31.5" customHeight="1">
      <c r="A308" s="111" t="s">
        <v>347</v>
      </c>
      <c r="B308" s="36"/>
      <c r="C308" s="36"/>
      <c r="D308" s="35" t="s">
        <v>350</v>
      </c>
      <c r="E308" s="46">
        <f>E309</f>
        <v>232370</v>
      </c>
      <c r="F308" s="46">
        <f aca="true" t="shared" si="107" ref="F308:P309">F309</f>
        <v>232370</v>
      </c>
      <c r="G308" s="46">
        <f t="shared" si="107"/>
        <v>190467</v>
      </c>
      <c r="H308" s="46">
        <f t="shared" si="107"/>
        <v>0</v>
      </c>
      <c r="I308" s="46">
        <f t="shared" si="107"/>
        <v>0</v>
      </c>
      <c r="J308" s="46">
        <f t="shared" si="107"/>
        <v>0</v>
      </c>
      <c r="K308" s="46">
        <f t="shared" si="107"/>
        <v>0</v>
      </c>
      <c r="L308" s="46">
        <f t="shared" si="107"/>
        <v>0</v>
      </c>
      <c r="M308" s="46">
        <f t="shared" si="107"/>
        <v>0</v>
      </c>
      <c r="N308" s="46">
        <f t="shared" si="107"/>
        <v>0</v>
      </c>
      <c r="O308" s="46">
        <f t="shared" si="107"/>
        <v>0</v>
      </c>
      <c r="P308" s="46">
        <f t="shared" si="107"/>
        <v>232370</v>
      </c>
      <c r="Q308" s="287"/>
      <c r="R308" s="156">
        <f>R310</f>
        <v>0</v>
      </c>
      <c r="S308" s="156">
        <f>S310</f>
        <v>0</v>
      </c>
      <c r="T308" s="156">
        <f>T310</f>
        <v>0</v>
      </c>
    </row>
    <row r="309" spans="1:20" s="114" customFormat="1" ht="36.75" customHeight="1">
      <c r="A309" s="113" t="s">
        <v>348</v>
      </c>
      <c r="B309" s="124"/>
      <c r="C309" s="124"/>
      <c r="D309" s="123" t="s">
        <v>350</v>
      </c>
      <c r="E309" s="79">
        <f>E310</f>
        <v>232370</v>
      </c>
      <c r="F309" s="79">
        <f t="shared" si="107"/>
        <v>232370</v>
      </c>
      <c r="G309" s="79">
        <f t="shared" si="107"/>
        <v>190467</v>
      </c>
      <c r="H309" s="79">
        <f t="shared" si="107"/>
        <v>0</v>
      </c>
      <c r="I309" s="79">
        <f t="shared" si="107"/>
        <v>0</v>
      </c>
      <c r="J309" s="79">
        <f t="shared" si="107"/>
        <v>0</v>
      </c>
      <c r="K309" s="79">
        <f t="shared" si="107"/>
        <v>0</v>
      </c>
      <c r="L309" s="79">
        <f t="shared" si="107"/>
        <v>0</v>
      </c>
      <c r="M309" s="79">
        <f t="shared" si="107"/>
        <v>0</v>
      </c>
      <c r="N309" s="79">
        <f t="shared" si="107"/>
        <v>0</v>
      </c>
      <c r="O309" s="79">
        <f t="shared" si="107"/>
        <v>0</v>
      </c>
      <c r="P309" s="79">
        <f t="shared" si="107"/>
        <v>232370</v>
      </c>
      <c r="Q309" s="289">
        <v>15</v>
      </c>
      <c r="R309" s="165">
        <f>R310</f>
        <v>0</v>
      </c>
      <c r="S309" s="165">
        <f>S310</f>
        <v>0</v>
      </c>
      <c r="T309" s="165">
        <f>T310</f>
        <v>0</v>
      </c>
    </row>
    <row r="310" spans="1:20" s="4" customFormat="1" ht="45">
      <c r="A310" s="80" t="s">
        <v>349</v>
      </c>
      <c r="B310" s="80" t="str">
        <f>'дод. 3'!A13</f>
        <v>0160</v>
      </c>
      <c r="C310" s="80" t="str">
        <f>'дод. 3'!B13</f>
        <v>0111</v>
      </c>
      <c r="D310" s="81" t="str">
        <f>'дод. 3'!C13</f>
        <v>Керівництво і управління у відповідній сфері у містах (місті Києві), селищах, селах, об’єднаних територіальних громадах</v>
      </c>
      <c r="E310" s="82">
        <f>F310+I310</f>
        <v>232370</v>
      </c>
      <c r="F310" s="82">
        <f>146700+85670</f>
        <v>232370</v>
      </c>
      <c r="G310" s="82">
        <f>120245+70222</f>
        <v>190467</v>
      </c>
      <c r="H310" s="82"/>
      <c r="I310" s="82"/>
      <c r="J310" s="82">
        <f>K310+N310</f>
        <v>0</v>
      </c>
      <c r="K310" s="82"/>
      <c r="L310" s="82"/>
      <c r="M310" s="82"/>
      <c r="N310" s="82"/>
      <c r="O310" s="82"/>
      <c r="P310" s="82">
        <f>E310+J310</f>
        <v>232370</v>
      </c>
      <c r="Q310" s="289"/>
      <c r="R310" s="158"/>
      <c r="S310" s="158"/>
      <c r="T310" s="158"/>
    </row>
    <row r="311" spans="1:20" s="112" customFormat="1" ht="33" customHeight="1">
      <c r="A311" s="111" t="s">
        <v>342</v>
      </c>
      <c r="B311" s="36"/>
      <c r="C311" s="36"/>
      <c r="D311" s="35" t="s">
        <v>73</v>
      </c>
      <c r="E311" s="46">
        <f>E312</f>
        <v>107867750.97</v>
      </c>
      <c r="F311" s="46">
        <f>F312</f>
        <v>104420643.41</v>
      </c>
      <c r="G311" s="46">
        <f aca="true" t="shared" si="108" ref="G311:P311">G312</f>
        <v>13148077</v>
      </c>
      <c r="H311" s="46">
        <f t="shared" si="108"/>
        <v>183655</v>
      </c>
      <c r="I311" s="46">
        <f t="shared" si="108"/>
        <v>0</v>
      </c>
      <c r="J311" s="46">
        <f t="shared" si="108"/>
        <v>4633800</v>
      </c>
      <c r="K311" s="46">
        <f t="shared" si="108"/>
        <v>4020000</v>
      </c>
      <c r="L311" s="46">
        <f t="shared" si="108"/>
        <v>0</v>
      </c>
      <c r="M311" s="46">
        <f t="shared" si="108"/>
        <v>0</v>
      </c>
      <c r="N311" s="46">
        <f t="shared" si="108"/>
        <v>613800</v>
      </c>
      <c r="O311" s="46">
        <f t="shared" si="108"/>
        <v>613800</v>
      </c>
      <c r="P311" s="46">
        <f t="shared" si="108"/>
        <v>112501550.97</v>
      </c>
      <c r="Q311" s="289"/>
      <c r="R311" s="156"/>
      <c r="S311" s="156"/>
      <c r="T311" s="156"/>
    </row>
    <row r="312" spans="1:20" s="114" customFormat="1" ht="30.75" customHeight="1">
      <c r="A312" s="113" t="s">
        <v>343</v>
      </c>
      <c r="B312" s="124"/>
      <c r="C312" s="124"/>
      <c r="D312" s="123" t="s">
        <v>73</v>
      </c>
      <c r="E312" s="79">
        <f>E314+E315+E316+E317+E318+E319+E320+E322</f>
        <v>107867750.97</v>
      </c>
      <c r="F312" s="79">
        <f>F314+F315+F316+F317+F318+F319+F320+F322</f>
        <v>104420643.41</v>
      </c>
      <c r="G312" s="79">
        <f>G314+G315+G316+G317+G318+G319+G320+G322</f>
        <v>13148077</v>
      </c>
      <c r="H312" s="79">
        <f aca="true" t="shared" si="109" ref="H312:P312">H314+H315+H316+H317+H318+H319+H320+H322</f>
        <v>183655</v>
      </c>
      <c r="I312" s="79">
        <f t="shared" si="109"/>
        <v>0</v>
      </c>
      <c r="J312" s="79">
        <f t="shared" si="109"/>
        <v>4633800</v>
      </c>
      <c r="K312" s="79">
        <f t="shared" si="109"/>
        <v>4020000</v>
      </c>
      <c r="L312" s="79">
        <f t="shared" si="109"/>
        <v>0</v>
      </c>
      <c r="M312" s="79">
        <f t="shared" si="109"/>
        <v>0</v>
      </c>
      <c r="N312" s="79">
        <f t="shared" si="109"/>
        <v>613800</v>
      </c>
      <c r="O312" s="79">
        <f t="shared" si="109"/>
        <v>613800</v>
      </c>
      <c r="P312" s="79">
        <f t="shared" si="109"/>
        <v>112501550.97</v>
      </c>
      <c r="Q312" s="289"/>
      <c r="R312" s="162"/>
      <c r="S312" s="162"/>
      <c r="T312" s="162"/>
    </row>
    <row r="313" spans="1:20" s="114" customFormat="1" ht="19.5" customHeight="1">
      <c r="A313" s="113"/>
      <c r="B313" s="124"/>
      <c r="C313" s="124"/>
      <c r="D313" s="84" t="s">
        <v>416</v>
      </c>
      <c r="E313" s="79"/>
      <c r="F313" s="79"/>
      <c r="G313" s="79"/>
      <c r="H313" s="79"/>
      <c r="I313" s="79"/>
      <c r="J313" s="79">
        <v>4000000</v>
      </c>
      <c r="K313" s="79">
        <v>4000000</v>
      </c>
      <c r="L313" s="79"/>
      <c r="M313" s="79"/>
      <c r="N313" s="79"/>
      <c r="O313" s="79"/>
      <c r="P313" s="79">
        <f>J313+E313</f>
        <v>4000000</v>
      </c>
      <c r="Q313" s="289"/>
      <c r="R313" s="220"/>
      <c r="S313" s="220"/>
      <c r="T313" s="220"/>
    </row>
    <row r="314" spans="1:20" s="4" customFormat="1" ht="45">
      <c r="A314" s="80" t="s">
        <v>344</v>
      </c>
      <c r="B314" s="80" t="str">
        <f>'дод. 3'!A13</f>
        <v>0160</v>
      </c>
      <c r="C314" s="80" t="str">
        <f>'дод. 3'!B13</f>
        <v>0111</v>
      </c>
      <c r="D314" s="87" t="str">
        <f>'дод. 3'!C13</f>
        <v>Керівництво і управління у відповідній сфері у містах (місті Києві), селищах, селах, об’єднаних територіальних громадах</v>
      </c>
      <c r="E314" s="82">
        <f>F314+I314</f>
        <v>16851191</v>
      </c>
      <c r="F314" s="82">
        <f>16667200-105600+267991+21600</f>
        <v>16851191</v>
      </c>
      <c r="G314" s="82">
        <f>12928412+219665</f>
        <v>13148077</v>
      </c>
      <c r="H314" s="82">
        <v>183655</v>
      </c>
      <c r="I314" s="82"/>
      <c r="J314" s="82">
        <f aca="true" t="shared" si="110" ref="J314:J322">K314+N314</f>
        <v>61000</v>
      </c>
      <c r="K314" s="82"/>
      <c r="L314" s="82"/>
      <c r="M314" s="82"/>
      <c r="N314" s="82">
        <f>184000-123000</f>
        <v>61000</v>
      </c>
      <c r="O314" s="82">
        <f>184000-123000</f>
        <v>61000</v>
      </c>
      <c r="P314" s="82">
        <f>E314+J314</f>
        <v>16912191</v>
      </c>
      <c r="Q314" s="289"/>
      <c r="R314" s="158"/>
      <c r="S314" s="158"/>
      <c r="T314" s="158"/>
    </row>
    <row r="315" spans="1:20" s="4" customFormat="1" ht="23.25" customHeight="1">
      <c r="A315" s="80" t="s">
        <v>403</v>
      </c>
      <c r="B315" s="80" t="str">
        <f>'дод. 3'!A210</f>
        <v>7640</v>
      </c>
      <c r="C315" s="80" t="str">
        <f>'дод. 3'!B210</f>
        <v>0470</v>
      </c>
      <c r="D315" s="107" t="str">
        <f>'дод. 3'!C210</f>
        <v>Заходи з енергозбереження</v>
      </c>
      <c r="E315" s="82">
        <f>F315+I315</f>
        <v>75000</v>
      </c>
      <c r="F315" s="82">
        <v>75000</v>
      </c>
      <c r="G315" s="82"/>
      <c r="H315" s="82"/>
      <c r="I315" s="82"/>
      <c r="J315" s="82">
        <f>K315+N315</f>
        <v>0</v>
      </c>
      <c r="K315" s="82"/>
      <c r="L315" s="82"/>
      <c r="M315" s="82"/>
      <c r="N315" s="82"/>
      <c r="O315" s="82"/>
      <c r="P315" s="82">
        <f aca="true" t="shared" si="111" ref="P315:P322">E315+J315</f>
        <v>75000</v>
      </c>
      <c r="Q315" s="289"/>
      <c r="R315" s="158"/>
      <c r="S315" s="158"/>
      <c r="T315" s="158"/>
    </row>
    <row r="316" spans="1:20" s="4" customFormat="1" ht="27" customHeight="1">
      <c r="A316" s="80" t="s">
        <v>345</v>
      </c>
      <c r="B316" s="80" t="str">
        <f>'дод. 3'!A226</f>
        <v>8340</v>
      </c>
      <c r="C316" s="80" t="str">
        <f>'дод. 3'!B226</f>
        <v>0540</v>
      </c>
      <c r="D316" s="107" t="str">
        <f>'дод. 3'!C226</f>
        <v>Природоохоронні заходи за рахунок цільових фондів</v>
      </c>
      <c r="E316" s="82">
        <f>F316+I316</f>
        <v>0</v>
      </c>
      <c r="F316" s="82"/>
      <c r="G316" s="82"/>
      <c r="H316" s="82"/>
      <c r="I316" s="82"/>
      <c r="J316" s="82">
        <f t="shared" si="110"/>
        <v>20000</v>
      </c>
      <c r="K316" s="82">
        <v>20000</v>
      </c>
      <c r="L316" s="82"/>
      <c r="M316" s="82"/>
      <c r="N316" s="82"/>
      <c r="O316" s="82"/>
      <c r="P316" s="82">
        <f t="shared" si="111"/>
        <v>20000</v>
      </c>
      <c r="Q316" s="289"/>
      <c r="R316" s="158"/>
      <c r="S316" s="158"/>
      <c r="T316" s="158"/>
    </row>
    <row r="317" spans="1:20" s="4" customFormat="1" ht="22.5" customHeight="1">
      <c r="A317" s="80" t="s">
        <v>346</v>
      </c>
      <c r="B317" s="80" t="str">
        <f>'дод. 3'!A229</f>
        <v>8600</v>
      </c>
      <c r="C317" s="80" t="str">
        <f>'дод. 3'!B229</f>
        <v>0170</v>
      </c>
      <c r="D317" s="107" t="str">
        <f>'дод. 3'!C229</f>
        <v>Обслуговування місцевого боргу</v>
      </c>
      <c r="E317" s="82">
        <f>F317+I317</f>
        <v>177952.41</v>
      </c>
      <c r="F317" s="82">
        <f>180850-2897.59</f>
        <v>177952.41</v>
      </c>
      <c r="G317" s="82"/>
      <c r="H317" s="82"/>
      <c r="I317" s="82"/>
      <c r="J317" s="82">
        <f t="shared" si="110"/>
        <v>0</v>
      </c>
      <c r="K317" s="82"/>
      <c r="L317" s="82"/>
      <c r="M317" s="82"/>
      <c r="N317" s="82"/>
      <c r="O317" s="82"/>
      <c r="P317" s="82">
        <f t="shared" si="111"/>
        <v>177952.41</v>
      </c>
      <c r="Q317" s="289"/>
      <c r="R317" s="158"/>
      <c r="S317" s="158"/>
      <c r="T317" s="158"/>
    </row>
    <row r="318" spans="1:20" s="4" customFormat="1" ht="21" customHeight="1">
      <c r="A318" s="80" t="s">
        <v>374</v>
      </c>
      <c r="B318" s="80" t="str">
        <f>'дод. 3'!A230</f>
        <v>8700</v>
      </c>
      <c r="C318" s="80" t="str">
        <f>'дод. 3'!B230</f>
        <v>0133</v>
      </c>
      <c r="D318" s="107" t="str">
        <f>'дод. 3'!C230</f>
        <v>Резервний фонд</v>
      </c>
      <c r="E318" s="82">
        <f>15430600-500000-700000-211500+200000+41298+669995.82-6700-262200-22626-43510-50000-50000-30100+313616-175000-500000+42959.44+25000+13710+15100+55000-6102960.7-800000-2000000-150000+9000000-7500-100000-201950-426739+17520+3000-10000000-800+164894-7330-85670-86000-25000</f>
        <v>3447107.5599999987</v>
      </c>
      <c r="F318" s="82"/>
      <c r="G318" s="82"/>
      <c r="H318" s="82"/>
      <c r="I318" s="82"/>
      <c r="J318" s="82">
        <f t="shared" si="110"/>
        <v>0</v>
      </c>
      <c r="K318" s="82"/>
      <c r="L318" s="82"/>
      <c r="M318" s="82"/>
      <c r="N318" s="82"/>
      <c r="O318" s="82"/>
      <c r="P318" s="82">
        <f t="shared" si="111"/>
        <v>3447107.5599999987</v>
      </c>
      <c r="Q318" s="289"/>
      <c r="R318" s="158"/>
      <c r="S318" s="158"/>
      <c r="T318" s="158"/>
    </row>
    <row r="319" spans="1:20" s="4" customFormat="1" ht="21.75" customHeight="1">
      <c r="A319" s="80" t="s">
        <v>375</v>
      </c>
      <c r="B319" s="80" t="str">
        <f>'дод. 3'!A234</f>
        <v>9110</v>
      </c>
      <c r="C319" s="80" t="str">
        <f>'дод. 3'!B234</f>
        <v>0180</v>
      </c>
      <c r="D319" s="107" t="str">
        <f>'дод. 3'!C234</f>
        <v>Реверсна дотація</v>
      </c>
      <c r="E319" s="82">
        <f>F319+I319</f>
        <v>87299600</v>
      </c>
      <c r="F319" s="82">
        <v>87299600</v>
      </c>
      <c r="G319" s="82"/>
      <c r="H319" s="82"/>
      <c r="I319" s="82"/>
      <c r="J319" s="82">
        <f t="shared" si="110"/>
        <v>0</v>
      </c>
      <c r="K319" s="82"/>
      <c r="L319" s="82"/>
      <c r="M319" s="82"/>
      <c r="N319" s="82"/>
      <c r="O319" s="82"/>
      <c r="P319" s="82">
        <f t="shared" si="111"/>
        <v>87299600</v>
      </c>
      <c r="Q319" s="289"/>
      <c r="R319" s="158"/>
      <c r="S319" s="158"/>
      <c r="T319" s="158"/>
    </row>
    <row r="320" spans="1:20" s="4" customFormat="1" ht="89.25" customHeight="1">
      <c r="A320" s="80" t="s">
        <v>649</v>
      </c>
      <c r="B320" s="80" t="s">
        <v>651</v>
      </c>
      <c r="C320" s="80" t="s">
        <v>78</v>
      </c>
      <c r="D320" s="259" t="s">
        <v>650</v>
      </c>
      <c r="E320" s="82">
        <f>F320+I320</f>
        <v>0</v>
      </c>
      <c r="F320" s="82"/>
      <c r="G320" s="82"/>
      <c r="H320" s="82"/>
      <c r="I320" s="82"/>
      <c r="J320" s="82">
        <f>K320+N320</f>
        <v>4000000</v>
      </c>
      <c r="K320" s="82">
        <v>4000000</v>
      </c>
      <c r="L320" s="82"/>
      <c r="M320" s="82"/>
      <c r="N320" s="82"/>
      <c r="O320" s="82"/>
      <c r="P320" s="82">
        <f t="shared" si="111"/>
        <v>4000000</v>
      </c>
      <c r="Q320" s="289"/>
      <c r="R320" s="241"/>
      <c r="S320" s="241"/>
      <c r="T320" s="241"/>
    </row>
    <row r="321" spans="1:20" s="4" customFormat="1" ht="24" customHeight="1">
      <c r="A321" s="80"/>
      <c r="B321" s="80"/>
      <c r="C321" s="80"/>
      <c r="D321" s="84" t="s">
        <v>416</v>
      </c>
      <c r="E321" s="82"/>
      <c r="F321" s="82"/>
      <c r="G321" s="82"/>
      <c r="H321" s="82"/>
      <c r="I321" s="82"/>
      <c r="J321" s="82">
        <v>4000000</v>
      </c>
      <c r="K321" s="82">
        <v>4000000</v>
      </c>
      <c r="L321" s="82"/>
      <c r="M321" s="82"/>
      <c r="N321" s="82"/>
      <c r="O321" s="82"/>
      <c r="P321" s="82">
        <f>J321+E321</f>
        <v>4000000</v>
      </c>
      <c r="Q321" s="289"/>
      <c r="R321" s="241"/>
      <c r="S321" s="241"/>
      <c r="T321" s="241"/>
    </row>
    <row r="322" spans="1:20" s="4" customFormat="1" ht="21.75" customHeight="1">
      <c r="A322" s="80" t="s">
        <v>500</v>
      </c>
      <c r="B322" s="80" t="str">
        <f>'дод. 3'!A240</f>
        <v>9770</v>
      </c>
      <c r="C322" s="80" t="str">
        <f>'дод. 3'!B240</f>
        <v>0180</v>
      </c>
      <c r="D322" s="107" t="str">
        <f>'дод. 3'!C240</f>
        <v>Інші субвенції з місцевого бюджету </v>
      </c>
      <c r="E322" s="82">
        <f>F322+I322</f>
        <v>16900</v>
      </c>
      <c r="F322" s="82">
        <f>4900+12000</f>
        <v>16900</v>
      </c>
      <c r="G322" s="82"/>
      <c r="H322" s="82"/>
      <c r="I322" s="82"/>
      <c r="J322" s="82">
        <f t="shared" si="110"/>
        <v>552800</v>
      </c>
      <c r="K322" s="82"/>
      <c r="L322" s="82"/>
      <c r="M322" s="82"/>
      <c r="N322" s="82">
        <f>500000+14800+38000</f>
        <v>552800</v>
      </c>
      <c r="O322" s="82">
        <f>500000+14800+38000</f>
        <v>552800</v>
      </c>
      <c r="P322" s="82">
        <f t="shared" si="111"/>
        <v>569700</v>
      </c>
      <c r="Q322" s="289"/>
      <c r="R322" s="158"/>
      <c r="S322" s="158"/>
      <c r="T322" s="158"/>
    </row>
    <row r="323" spans="1:20" s="112" customFormat="1" ht="20.25" customHeight="1">
      <c r="A323" s="37"/>
      <c r="B323" s="36"/>
      <c r="C323" s="36"/>
      <c r="D323" s="35" t="s">
        <v>39</v>
      </c>
      <c r="E323" s="46">
        <f aca="true" t="shared" si="112" ref="E323:P323">E11+E60+E93+E129+E205+E210+E223+E256+E260+E288+E295+E298+E308+E311</f>
        <v>2905450923.2599998</v>
      </c>
      <c r="F323" s="46">
        <f t="shared" si="112"/>
        <v>2856194967.2</v>
      </c>
      <c r="G323" s="46">
        <f t="shared" si="112"/>
        <v>670634786.1</v>
      </c>
      <c r="H323" s="46">
        <f t="shared" si="112"/>
        <v>96170501.65</v>
      </c>
      <c r="I323" s="46">
        <f t="shared" si="112"/>
        <v>45808848.5</v>
      </c>
      <c r="J323" s="46">
        <f t="shared" si="112"/>
        <v>613741879.58</v>
      </c>
      <c r="K323" s="46">
        <f t="shared" si="112"/>
        <v>89333187.86</v>
      </c>
      <c r="L323" s="46">
        <f t="shared" si="112"/>
        <v>6315206</v>
      </c>
      <c r="M323" s="46">
        <f t="shared" si="112"/>
        <v>2472134</v>
      </c>
      <c r="N323" s="46">
        <f t="shared" si="112"/>
        <v>524408691.71999997</v>
      </c>
      <c r="O323" s="46">
        <f t="shared" si="112"/>
        <v>472232871.17</v>
      </c>
      <c r="P323" s="46">
        <f t="shared" si="112"/>
        <v>3519192802.8399997</v>
      </c>
      <c r="Q323" s="289"/>
      <c r="R323" s="156">
        <f>P323-E323-J323</f>
        <v>0</v>
      </c>
      <c r="S323" s="156"/>
      <c r="T323" s="156"/>
    </row>
    <row r="324" spans="1:20" s="112" customFormat="1" ht="27.75" customHeight="1">
      <c r="A324" s="59"/>
      <c r="B324" s="60"/>
      <c r="C324" s="60"/>
      <c r="D324" s="35" t="s">
        <v>416</v>
      </c>
      <c r="E324" s="47">
        <f>E62+E95+E131+E225+E262</f>
        <v>1637408712.9</v>
      </c>
      <c r="F324" s="47">
        <f>F62+F95+F131+F225+F262</f>
        <v>1637408712.9</v>
      </c>
      <c r="G324" s="47">
        <f>G62+G95+G131+G225+G262</f>
        <v>213388985</v>
      </c>
      <c r="H324" s="47">
        <f>H62+H95+H131+H225+H262</f>
        <v>0</v>
      </c>
      <c r="I324" s="47">
        <f>I62+I95+I131+I225+I262</f>
        <v>0</v>
      </c>
      <c r="J324" s="47">
        <f>J62+J95+J131+J225+J262+J320</f>
        <v>77222964.55</v>
      </c>
      <c r="K324" s="47">
        <f>K62+K95+K131+K225+K262+K313</f>
        <v>15900000</v>
      </c>
      <c r="L324" s="47">
        <f>L62+L95+L131+L225+L262</f>
        <v>0</v>
      </c>
      <c r="M324" s="47">
        <f>M62+M95+M131+M225+M262</f>
        <v>0</v>
      </c>
      <c r="N324" s="47">
        <f>N62+N95+N131+N225+N262</f>
        <v>61322964.55</v>
      </c>
      <c r="O324" s="47">
        <f>O62+O95+O131+O225+O262</f>
        <v>15037601.499999998</v>
      </c>
      <c r="P324" s="47">
        <f>P62+P95+P131+P225+P262+P320</f>
        <v>1714631677.4499998</v>
      </c>
      <c r="Q324" s="289"/>
      <c r="R324" s="96"/>
      <c r="S324" s="96"/>
      <c r="T324" s="96"/>
    </row>
    <row r="325" spans="1:17" s="168" customFormat="1" ht="36.75" customHeight="1">
      <c r="A325" s="97"/>
      <c r="B325" s="94"/>
      <c r="C325" s="94"/>
      <c r="D325" s="95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289"/>
    </row>
    <row r="326" spans="1:25" s="33" customFormat="1" ht="27.75" customHeight="1">
      <c r="A326" s="273"/>
      <c r="B326" s="274"/>
      <c r="C326" s="274"/>
      <c r="D326" s="229"/>
      <c r="E326" s="202"/>
      <c r="F326" s="202"/>
      <c r="G326" s="202"/>
      <c r="H326" s="202"/>
      <c r="I326" s="202"/>
      <c r="J326" s="202"/>
      <c r="K326" s="202"/>
      <c r="L326" s="202"/>
      <c r="M326" s="228"/>
      <c r="N326" s="205"/>
      <c r="O326" s="247"/>
      <c r="P326" s="249"/>
      <c r="Q326" s="289"/>
      <c r="R326" s="249"/>
      <c r="S326" s="249"/>
      <c r="T326" s="96"/>
      <c r="U326" s="96"/>
      <c r="V326" s="248"/>
      <c r="W326" s="96">
        <f>W324-'дод. 3'!AL244</f>
        <v>0</v>
      </c>
      <c r="X326" s="96">
        <f>X324-'дод. 3'!AM244</f>
        <v>0</v>
      </c>
      <c r="Y326" s="96">
        <f>Y324-'дод. 3'!AN244</f>
        <v>0</v>
      </c>
    </row>
    <row r="327" spans="1:22" s="4" customFormat="1" ht="42.75" customHeight="1">
      <c r="A327" s="203"/>
      <c r="B327" s="226"/>
      <c r="C327" s="226"/>
      <c r="D327" s="226"/>
      <c r="E327" s="226"/>
      <c r="F327" s="226"/>
      <c r="G327" s="226"/>
      <c r="H327" s="226"/>
      <c r="I327" s="202"/>
      <c r="J327" s="202"/>
      <c r="K327" s="269"/>
      <c r="L327" s="202"/>
      <c r="M327" s="205"/>
      <c r="N327" s="205"/>
      <c r="O327" s="271"/>
      <c r="P327" s="271"/>
      <c r="Q327" s="289"/>
      <c r="R327" s="250"/>
      <c r="S327" s="250"/>
      <c r="T327" s="251"/>
      <c r="U327" s="251"/>
      <c r="V327" s="248"/>
    </row>
    <row r="328" spans="1:22" ht="32.25" customHeight="1">
      <c r="A328" s="261" t="s">
        <v>665</v>
      </c>
      <c r="B328" s="261"/>
      <c r="C328" s="261"/>
      <c r="D328" s="95"/>
      <c r="E328" s="254"/>
      <c r="F328" s="254"/>
      <c r="G328" s="254"/>
      <c r="H328" s="254"/>
      <c r="I328" s="254"/>
      <c r="J328" s="254"/>
      <c r="K328" s="254"/>
      <c r="L328" s="254"/>
      <c r="M328" s="254"/>
      <c r="N328" s="228"/>
      <c r="O328" s="254"/>
      <c r="P328" s="252"/>
      <c r="Q328" s="289"/>
      <c r="R328" s="253"/>
      <c r="S328" s="253"/>
      <c r="T328" s="251"/>
      <c r="U328" s="251"/>
      <c r="V328" s="248"/>
    </row>
    <row r="329" spans="1:20" s="131" customFormat="1" ht="36" customHeight="1">
      <c r="A329" s="261" t="s">
        <v>664</v>
      </c>
      <c r="B329" s="94"/>
      <c r="C329" s="94"/>
      <c r="D329" s="95"/>
      <c r="E329" s="96"/>
      <c r="F329" s="96"/>
      <c r="G329" s="96"/>
      <c r="H329" s="96"/>
      <c r="I329" s="96"/>
      <c r="J329" s="96"/>
      <c r="K329" s="96"/>
      <c r="L329" s="96"/>
      <c r="M329" s="96"/>
      <c r="N329" s="228" t="s">
        <v>666</v>
      </c>
      <c r="O329" s="96"/>
      <c r="P329" s="77"/>
      <c r="Q329" s="289"/>
      <c r="R329" s="146"/>
      <c r="S329" s="146"/>
      <c r="T329" s="146"/>
    </row>
    <row r="330" spans="1:20" s="131" customFormat="1" ht="22.5" customHeight="1">
      <c r="A330" s="17"/>
      <c r="B330" s="6"/>
      <c r="C330" s="43"/>
      <c r="D330" s="57"/>
      <c r="E330" s="57"/>
      <c r="F330" s="16"/>
      <c r="G330" s="16"/>
      <c r="H330" s="16"/>
      <c r="I330" s="16"/>
      <c r="J330" s="56"/>
      <c r="K330" s="56"/>
      <c r="L330" s="16"/>
      <c r="M330" s="16"/>
      <c r="N330" s="16"/>
      <c r="O330" s="68"/>
      <c r="P330" s="77"/>
      <c r="Q330" s="289"/>
      <c r="R330" s="146"/>
      <c r="S330" s="133"/>
      <c r="T330" s="147"/>
    </row>
    <row r="331" spans="1:20" s="131" customFormat="1" ht="22.5" customHeight="1">
      <c r="A331" s="17"/>
      <c r="B331" s="6"/>
      <c r="C331" s="43"/>
      <c r="D331" s="16"/>
      <c r="E331" s="56">
        <f>E323-'дод. 3'!D243</f>
        <v>0</v>
      </c>
      <c r="F331" s="56">
        <f>F323-'дод. 3'!E243</f>
        <v>0</v>
      </c>
      <c r="G331" s="56">
        <f>G323-'дод. 3'!F243</f>
        <v>0</v>
      </c>
      <c r="H331" s="56">
        <f>H323-'дод. 3'!G243</f>
        <v>0</v>
      </c>
      <c r="I331" s="56">
        <f>I323-'дод. 3'!H243</f>
        <v>0</v>
      </c>
      <c r="J331" s="56">
        <f>J323-'дод. 3'!I243</f>
        <v>0</v>
      </c>
      <c r="K331" s="56">
        <f>K323-'дод. 3'!J243</f>
        <v>0</v>
      </c>
      <c r="L331" s="56">
        <f>L323-'дод. 3'!K243</f>
        <v>0</v>
      </c>
      <c r="M331" s="56">
        <f>M323-'дод. 3'!L243</f>
        <v>0</v>
      </c>
      <c r="N331" s="56">
        <f>N323-'дод. 3'!M243</f>
        <v>0</v>
      </c>
      <c r="O331" s="56">
        <f>O323-'дод. 3'!N243</f>
        <v>0</v>
      </c>
      <c r="P331" s="56">
        <f>P323-'дод. 3'!O243</f>
        <v>0</v>
      </c>
      <c r="Q331" s="289"/>
      <c r="R331" s="146"/>
      <c r="S331" s="133"/>
      <c r="T331" s="147"/>
    </row>
    <row r="332" spans="1:20" s="131" customFormat="1" ht="22.5" customHeight="1">
      <c r="A332" s="66"/>
      <c r="B332" s="67"/>
      <c r="C332" s="67"/>
      <c r="D332" s="213"/>
      <c r="E332" s="56">
        <f>E324-'дод. 3'!D244</f>
        <v>0</v>
      </c>
      <c r="F332" s="56">
        <f>F324-'дод. 3'!E244</f>
        <v>0</v>
      </c>
      <c r="G332" s="56">
        <f>G324-'дод. 3'!F244</f>
        <v>0</v>
      </c>
      <c r="H332" s="56">
        <f>H324-'дод. 3'!G244</f>
        <v>0</v>
      </c>
      <c r="I332" s="56">
        <f>I324-'дод. 3'!H244</f>
        <v>0</v>
      </c>
      <c r="J332" s="56">
        <f>J324-'дод. 3'!I244</f>
        <v>0</v>
      </c>
      <c r="K332" s="56">
        <f>K324-'дод. 3'!J244</f>
        <v>0</v>
      </c>
      <c r="L332" s="56">
        <f>L324-'дод. 3'!K244</f>
        <v>0</v>
      </c>
      <c r="M332" s="56">
        <f>M324-'дод. 3'!L244</f>
        <v>0</v>
      </c>
      <c r="N332" s="56">
        <f>N324-'дод. 3'!M244</f>
        <v>0</v>
      </c>
      <c r="O332" s="56">
        <f>O324-'дод. 3'!N244</f>
        <v>0</v>
      </c>
      <c r="P332" s="56">
        <f>P324-'дод. 3'!O244</f>
        <v>0</v>
      </c>
      <c r="Q332" s="289"/>
      <c r="R332" s="146"/>
      <c r="S332" s="133"/>
      <c r="T332" s="147"/>
    </row>
    <row r="333" spans="1:20" s="131" customFormat="1" ht="22.5" customHeight="1">
      <c r="A333" s="66"/>
      <c r="B333" s="67"/>
      <c r="C333" s="67"/>
      <c r="D333" s="213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77"/>
      <c r="Q333" s="289"/>
      <c r="R333" s="146"/>
      <c r="S333" s="133"/>
      <c r="T333" s="147"/>
    </row>
    <row r="334" spans="1:20" s="131" customFormat="1" ht="22.5" customHeight="1">
      <c r="A334" s="66"/>
      <c r="B334" s="67"/>
      <c r="C334" s="67"/>
      <c r="D334" s="213"/>
      <c r="E334" s="68"/>
      <c r="F334" s="68"/>
      <c r="G334" s="68"/>
      <c r="H334" s="68"/>
      <c r="I334" s="68"/>
      <c r="J334" s="68"/>
      <c r="K334" s="68"/>
      <c r="L334" s="68"/>
      <c r="M334" s="68"/>
      <c r="N334" s="67"/>
      <c r="O334" s="68"/>
      <c r="P334" s="77"/>
      <c r="Q334" s="289"/>
      <c r="R334" s="146"/>
      <c r="S334" s="133"/>
      <c r="T334" s="147"/>
    </row>
    <row r="335" spans="1:20" s="131" customFormat="1" ht="35.25" customHeight="1">
      <c r="A335" s="66"/>
      <c r="B335" s="67"/>
      <c r="C335" s="67"/>
      <c r="D335" s="213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77"/>
      <c r="Q335" s="289"/>
      <c r="R335" s="146"/>
      <c r="T335" s="147"/>
    </row>
    <row r="336" spans="1:20" s="131" customFormat="1" ht="22.5" customHeight="1">
      <c r="A336" s="66"/>
      <c r="B336" s="67"/>
      <c r="C336" s="67"/>
      <c r="D336" s="213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77"/>
      <c r="Q336" s="289"/>
      <c r="R336" s="146"/>
      <c r="S336" s="133"/>
      <c r="T336" s="147"/>
    </row>
    <row r="337" spans="1:20" s="131" customFormat="1" ht="22.5" customHeight="1">
      <c r="A337" s="66"/>
      <c r="B337" s="67"/>
      <c r="C337" s="67"/>
      <c r="D337" s="213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77"/>
      <c r="Q337" s="199"/>
      <c r="R337" s="146"/>
      <c r="S337" s="133"/>
      <c r="T337" s="147"/>
    </row>
    <row r="338" spans="1:20" s="131" customFormat="1" ht="22.5" customHeight="1">
      <c r="A338" s="66"/>
      <c r="B338" s="67"/>
      <c r="C338" s="67"/>
      <c r="D338" s="213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77"/>
      <c r="Q338" s="199"/>
      <c r="R338" s="146"/>
      <c r="S338" s="133"/>
      <c r="T338" s="147"/>
    </row>
    <row r="339" spans="1:20" s="131" customFormat="1" ht="22.5" customHeight="1">
      <c r="A339" s="66"/>
      <c r="B339" s="67"/>
      <c r="C339" s="67"/>
      <c r="D339" s="213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77"/>
      <c r="Q339" s="199"/>
      <c r="R339" s="146"/>
      <c r="S339" s="146"/>
      <c r="T339" s="146"/>
    </row>
    <row r="340" spans="1:20" s="29" customFormat="1" ht="24.75" customHeight="1">
      <c r="A340" s="101"/>
      <c r="B340" s="288"/>
      <c r="C340" s="288"/>
      <c r="D340" s="288"/>
      <c r="E340" s="68"/>
      <c r="F340" s="67"/>
      <c r="G340" s="67"/>
      <c r="H340" s="67"/>
      <c r="I340" s="67"/>
      <c r="J340" s="67"/>
      <c r="K340" s="67"/>
      <c r="L340" s="67"/>
      <c r="M340" s="67"/>
      <c r="N340" s="67"/>
      <c r="O340" s="68"/>
      <c r="P340" s="78"/>
      <c r="Q340" s="199"/>
      <c r="R340" s="146"/>
      <c r="S340" s="146"/>
      <c r="T340" s="146"/>
    </row>
    <row r="341" spans="1:20" s="29" customFormat="1" ht="24.75" customHeight="1">
      <c r="A341" s="101"/>
      <c r="B341" s="76"/>
      <c r="C341" s="76"/>
      <c r="D341" s="76"/>
      <c r="E341" s="68"/>
      <c r="F341" s="67"/>
      <c r="G341" s="67"/>
      <c r="H341" s="67"/>
      <c r="I341" s="67"/>
      <c r="J341" s="67"/>
      <c r="K341" s="67"/>
      <c r="L341" s="67"/>
      <c r="M341" s="67"/>
      <c r="N341" s="67"/>
      <c r="O341" s="68"/>
      <c r="P341" s="78"/>
      <c r="Q341" s="199"/>
      <c r="R341" s="146"/>
      <c r="S341" s="146"/>
      <c r="T341" s="146"/>
    </row>
    <row r="342" spans="1:20" s="29" customFormat="1" ht="24.75" customHeight="1">
      <c r="A342" s="101"/>
      <c r="B342" s="76"/>
      <c r="C342" s="76"/>
      <c r="D342" s="76"/>
      <c r="E342" s="68"/>
      <c r="F342" s="67"/>
      <c r="G342" s="67"/>
      <c r="H342" s="67"/>
      <c r="I342" s="67"/>
      <c r="J342" s="67"/>
      <c r="K342" s="67"/>
      <c r="L342" s="67"/>
      <c r="M342" s="67"/>
      <c r="N342" s="67"/>
      <c r="O342" s="68"/>
      <c r="P342" s="78"/>
      <c r="Q342" s="199"/>
      <c r="R342" s="146"/>
      <c r="S342" s="146"/>
      <c r="T342" s="146"/>
    </row>
    <row r="343" spans="1:20" s="29" customFormat="1" ht="24.75" customHeight="1">
      <c r="A343" s="101"/>
      <c r="B343" s="76"/>
      <c r="C343" s="76"/>
      <c r="D343" s="76"/>
      <c r="E343" s="68"/>
      <c r="F343" s="67"/>
      <c r="G343" s="67"/>
      <c r="H343" s="67"/>
      <c r="I343" s="67"/>
      <c r="J343" s="67"/>
      <c r="K343" s="67"/>
      <c r="L343" s="67"/>
      <c r="M343" s="67"/>
      <c r="N343" s="67"/>
      <c r="O343" s="68"/>
      <c r="P343" s="78"/>
      <c r="Q343" s="199"/>
      <c r="R343" s="146"/>
      <c r="S343" s="146"/>
      <c r="T343" s="146"/>
    </row>
    <row r="344" spans="1:20" s="29" customFormat="1" ht="15">
      <c r="A344" s="71"/>
      <c r="B344" s="73"/>
      <c r="C344" s="67"/>
      <c r="D344" s="214"/>
      <c r="E344" s="68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78"/>
      <c r="Q344" s="199"/>
      <c r="R344" s="146"/>
      <c r="S344" s="146"/>
      <c r="T344" s="146"/>
    </row>
    <row r="345" spans="1:20" s="29" customFormat="1" ht="15">
      <c r="A345" s="102"/>
      <c r="B345" s="67"/>
      <c r="C345" s="67"/>
      <c r="D345" s="213"/>
      <c r="E345" s="68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199"/>
      <c r="R345" s="146"/>
      <c r="S345" s="146"/>
      <c r="T345" s="146"/>
    </row>
    <row r="346" spans="1:20" s="29" customFormat="1" ht="15">
      <c r="A346" s="66"/>
      <c r="B346" s="72"/>
      <c r="C346" s="73"/>
      <c r="D346" s="214"/>
      <c r="E346" s="68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199"/>
      <c r="R346" s="146"/>
      <c r="S346" s="146"/>
      <c r="T346" s="146"/>
    </row>
    <row r="347" spans="1:20" s="29" customFormat="1" ht="15">
      <c r="A347" s="72"/>
      <c r="B347" s="73"/>
      <c r="C347" s="73"/>
      <c r="D347" s="215"/>
      <c r="E347" s="67"/>
      <c r="F347" s="67"/>
      <c r="G347" s="68"/>
      <c r="H347" s="68"/>
      <c r="I347" s="68"/>
      <c r="J347" s="67"/>
      <c r="K347" s="67"/>
      <c r="L347" s="67"/>
      <c r="M347" s="67"/>
      <c r="N347" s="67"/>
      <c r="O347" s="67"/>
      <c r="P347" s="67"/>
      <c r="Q347" s="199"/>
      <c r="R347" s="146"/>
      <c r="S347" s="146"/>
      <c r="T347" s="146"/>
    </row>
    <row r="348" spans="1:20" s="29" customFormat="1" ht="15">
      <c r="A348" s="101"/>
      <c r="B348" s="103"/>
      <c r="C348" s="103"/>
      <c r="D348" s="214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199"/>
      <c r="R348" s="146"/>
      <c r="S348" s="146"/>
      <c r="T348" s="146"/>
    </row>
    <row r="349" spans="1:20" s="29" customFormat="1" ht="15">
      <c r="A349" s="101"/>
      <c r="B349" s="103"/>
      <c r="C349" s="103"/>
      <c r="D349" s="214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199"/>
      <c r="R349" s="146"/>
      <c r="S349" s="146"/>
      <c r="T349" s="146"/>
    </row>
    <row r="350" spans="1:20" s="29" customFormat="1" ht="15">
      <c r="A350" s="101"/>
      <c r="B350" s="103"/>
      <c r="C350" s="103"/>
      <c r="D350" s="214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199"/>
      <c r="R350" s="146"/>
      <c r="S350" s="146"/>
      <c r="T350" s="146"/>
    </row>
    <row r="351" spans="1:20" s="29" customFormat="1" ht="15">
      <c r="A351" s="101"/>
      <c r="B351" s="103"/>
      <c r="C351" s="103"/>
      <c r="D351" s="214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199"/>
      <c r="R351" s="146"/>
      <c r="S351" s="146"/>
      <c r="T351" s="146"/>
    </row>
    <row r="352" spans="1:20" s="29" customFormat="1" ht="15">
      <c r="A352" s="101"/>
      <c r="B352" s="103"/>
      <c r="C352" s="103"/>
      <c r="D352" s="214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199"/>
      <c r="R352" s="146"/>
      <c r="S352" s="146"/>
      <c r="T352" s="146"/>
    </row>
    <row r="353" spans="1:20" s="29" customFormat="1" ht="15">
      <c r="A353" s="101"/>
      <c r="B353" s="103"/>
      <c r="C353" s="103"/>
      <c r="D353" s="214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199"/>
      <c r="R353" s="146"/>
      <c r="S353" s="146"/>
      <c r="T353" s="146"/>
    </row>
    <row r="354" spans="1:20" s="29" customFormat="1" ht="26.25" customHeight="1">
      <c r="A354" s="101"/>
      <c r="B354" s="103"/>
      <c r="C354" s="103"/>
      <c r="D354" s="214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199"/>
      <c r="R354" s="146"/>
      <c r="S354" s="146"/>
      <c r="T354" s="146"/>
    </row>
    <row r="355" spans="1:20" s="29" customFormat="1" ht="26.25" customHeight="1">
      <c r="A355" s="69"/>
      <c r="B355" s="70"/>
      <c r="C355" s="70"/>
      <c r="D355" s="216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199"/>
      <c r="R355" s="146"/>
      <c r="S355" s="146"/>
      <c r="T355" s="146"/>
    </row>
    <row r="356" spans="1:20" s="29" customFormat="1" ht="26.25" customHeight="1">
      <c r="A356" s="69"/>
      <c r="B356" s="70"/>
      <c r="C356" s="70"/>
      <c r="D356" s="216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199"/>
      <c r="R356" s="146"/>
      <c r="S356" s="146"/>
      <c r="T356" s="146"/>
    </row>
    <row r="357" spans="1:20" s="29" customFormat="1" ht="26.25" customHeight="1">
      <c r="A357" s="69"/>
      <c r="B357" s="70"/>
      <c r="C357" s="70"/>
      <c r="D357" s="216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199"/>
      <c r="R357" s="146"/>
      <c r="S357" s="146"/>
      <c r="T357" s="146"/>
    </row>
    <row r="358" spans="1:20" s="29" customFormat="1" ht="26.25" customHeight="1">
      <c r="A358" s="69"/>
      <c r="B358" s="70"/>
      <c r="C358" s="70"/>
      <c r="D358" s="216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199"/>
      <c r="R358" s="146"/>
      <c r="S358" s="146"/>
      <c r="T358" s="146"/>
    </row>
    <row r="359" spans="1:20" s="29" customFormat="1" ht="15">
      <c r="A359" s="69"/>
      <c r="B359" s="70"/>
      <c r="C359" s="70"/>
      <c r="D359" s="216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199"/>
      <c r="R359" s="146"/>
      <c r="S359" s="146"/>
      <c r="T359" s="146"/>
    </row>
    <row r="360" spans="1:20" s="29" customFormat="1" ht="15">
      <c r="A360" s="69"/>
      <c r="B360" s="70"/>
      <c r="C360" s="70"/>
      <c r="D360" s="216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199"/>
      <c r="R360" s="146"/>
      <c r="S360" s="146"/>
      <c r="T360" s="146"/>
    </row>
    <row r="361" spans="1:20" s="29" customFormat="1" ht="15">
      <c r="A361" s="69"/>
      <c r="B361" s="70"/>
      <c r="C361" s="70"/>
      <c r="D361" s="216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199"/>
      <c r="R361" s="146"/>
      <c r="S361" s="146"/>
      <c r="T361" s="146"/>
    </row>
    <row r="362" spans="1:20" s="29" customFormat="1" ht="15">
      <c r="A362" s="69"/>
      <c r="B362" s="70"/>
      <c r="C362" s="70"/>
      <c r="D362" s="216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199"/>
      <c r="R362" s="146"/>
      <c r="S362" s="146"/>
      <c r="T362" s="146"/>
    </row>
    <row r="363" spans="1:20" s="29" customFormat="1" ht="15">
      <c r="A363" s="69"/>
      <c r="B363" s="70"/>
      <c r="C363" s="70"/>
      <c r="D363" s="216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199"/>
      <c r="R363" s="146"/>
      <c r="S363" s="146"/>
      <c r="T363" s="146"/>
    </row>
    <row r="364" spans="1:20" s="29" customFormat="1" ht="15">
      <c r="A364" s="69"/>
      <c r="B364" s="70"/>
      <c r="C364" s="70"/>
      <c r="D364" s="216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199"/>
      <c r="R364" s="146"/>
      <c r="S364" s="146"/>
      <c r="T364" s="146"/>
    </row>
    <row r="365" spans="1:20" s="29" customFormat="1" ht="15">
      <c r="A365" s="69"/>
      <c r="B365" s="70"/>
      <c r="C365" s="70"/>
      <c r="D365" s="216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199"/>
      <c r="R365" s="146"/>
      <c r="S365" s="146"/>
      <c r="T365" s="146"/>
    </row>
    <row r="366" spans="1:20" s="29" customFormat="1" ht="15">
      <c r="A366" s="69"/>
      <c r="B366" s="70"/>
      <c r="C366" s="70"/>
      <c r="D366" s="216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199"/>
      <c r="R366" s="146"/>
      <c r="S366" s="146"/>
      <c r="T366" s="146"/>
    </row>
    <row r="367" spans="1:20" s="29" customFormat="1" ht="15">
      <c r="A367" s="69"/>
      <c r="B367" s="70"/>
      <c r="C367" s="70"/>
      <c r="D367" s="216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199"/>
      <c r="R367" s="146"/>
      <c r="S367" s="146"/>
      <c r="T367" s="146"/>
    </row>
    <row r="368" spans="1:20" s="29" customFormat="1" ht="15">
      <c r="A368" s="69"/>
      <c r="B368" s="70"/>
      <c r="C368" s="70"/>
      <c r="D368" s="216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199"/>
      <c r="R368" s="146"/>
      <c r="S368" s="146"/>
      <c r="T368" s="146"/>
    </row>
    <row r="369" spans="1:20" s="29" customFormat="1" ht="15">
      <c r="A369" s="69"/>
      <c r="B369" s="70"/>
      <c r="C369" s="70"/>
      <c r="D369" s="216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199"/>
      <c r="R369" s="146"/>
      <c r="S369" s="146"/>
      <c r="T369" s="146"/>
    </row>
    <row r="370" spans="1:20" s="29" customFormat="1" ht="15">
      <c r="A370" s="69"/>
      <c r="B370" s="70"/>
      <c r="C370" s="70"/>
      <c r="D370" s="216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199"/>
      <c r="R370" s="146"/>
      <c r="S370" s="146"/>
      <c r="T370" s="146"/>
    </row>
    <row r="371" spans="1:20" s="29" customFormat="1" ht="15">
      <c r="A371" s="69"/>
      <c r="B371" s="70"/>
      <c r="C371" s="70"/>
      <c r="D371" s="216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199"/>
      <c r="R371" s="146"/>
      <c r="S371" s="146"/>
      <c r="T371" s="146"/>
    </row>
    <row r="372" spans="1:20" s="29" customFormat="1" ht="15">
      <c r="A372" s="69"/>
      <c r="B372" s="70"/>
      <c r="C372" s="70"/>
      <c r="D372" s="216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199"/>
      <c r="R372" s="146"/>
      <c r="S372" s="146"/>
      <c r="T372" s="146"/>
    </row>
    <row r="373" spans="1:20" s="29" customFormat="1" ht="15">
      <c r="A373" s="69"/>
      <c r="B373" s="70"/>
      <c r="C373" s="70"/>
      <c r="D373" s="216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199"/>
      <c r="R373" s="146"/>
      <c r="S373" s="146"/>
      <c r="T373" s="146"/>
    </row>
    <row r="374" spans="1:20" s="29" customFormat="1" ht="15">
      <c r="A374" s="69"/>
      <c r="B374" s="70"/>
      <c r="C374" s="70"/>
      <c r="D374" s="216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199"/>
      <c r="R374" s="146"/>
      <c r="S374" s="146"/>
      <c r="T374" s="146"/>
    </row>
    <row r="375" spans="1:20" s="29" customFormat="1" ht="15">
      <c r="A375" s="69"/>
      <c r="B375" s="70"/>
      <c r="C375" s="70"/>
      <c r="D375" s="216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136"/>
      <c r="Q375" s="199"/>
      <c r="R375" s="146"/>
      <c r="S375" s="146"/>
      <c r="T375" s="146"/>
    </row>
    <row r="376" spans="1:20" s="29" customFormat="1" ht="15">
      <c r="A376" s="69"/>
      <c r="B376" s="70"/>
      <c r="C376" s="70"/>
      <c r="D376" s="216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134"/>
      <c r="Q376" s="199"/>
      <c r="R376" s="146"/>
      <c r="S376" s="146"/>
      <c r="T376" s="146"/>
    </row>
    <row r="377" spans="1:20" s="29" customFormat="1" ht="15">
      <c r="A377" s="69"/>
      <c r="B377" s="70"/>
      <c r="C377" s="70"/>
      <c r="D377" s="216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134"/>
      <c r="Q377" s="199"/>
      <c r="R377" s="146"/>
      <c r="S377" s="146"/>
      <c r="T377" s="146"/>
    </row>
    <row r="378" spans="1:20" s="29" customFormat="1" ht="15">
      <c r="A378" s="69"/>
      <c r="B378" s="70"/>
      <c r="C378" s="70"/>
      <c r="D378" s="216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134"/>
      <c r="Q378" s="199"/>
      <c r="R378" s="146"/>
      <c r="S378" s="146"/>
      <c r="T378" s="146"/>
    </row>
    <row r="379" spans="1:20" s="29" customFormat="1" ht="15">
      <c r="A379" s="69"/>
      <c r="B379" s="70"/>
      <c r="C379" s="70"/>
      <c r="D379" s="216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134"/>
      <c r="Q379" s="199"/>
      <c r="R379" s="146"/>
      <c r="S379" s="146"/>
      <c r="T379" s="146"/>
    </row>
    <row r="380" spans="1:20" s="29" customFormat="1" ht="15">
      <c r="A380" s="69"/>
      <c r="B380" s="70"/>
      <c r="C380" s="70"/>
      <c r="D380" s="216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134"/>
      <c r="Q380" s="199"/>
      <c r="R380" s="146"/>
      <c r="S380" s="146"/>
      <c r="T380" s="146"/>
    </row>
    <row r="381" spans="1:20" s="29" customFormat="1" ht="15">
      <c r="A381" s="69"/>
      <c r="B381" s="70"/>
      <c r="C381" s="70"/>
      <c r="D381" s="216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134"/>
      <c r="Q381" s="199"/>
      <c r="R381" s="146"/>
      <c r="S381" s="146"/>
      <c r="T381" s="146"/>
    </row>
    <row r="382" ht="15">
      <c r="B382" s="70"/>
    </row>
    <row r="383" ht="15">
      <c r="B383" s="70"/>
    </row>
    <row r="384" ht="15">
      <c r="B384" s="70"/>
    </row>
    <row r="385" ht="15">
      <c r="B385" s="70"/>
    </row>
    <row r="386" ht="15">
      <c r="B386" s="70"/>
    </row>
    <row r="387" ht="15">
      <c r="B387" s="70"/>
    </row>
    <row r="388" ht="15">
      <c r="B388" s="70"/>
    </row>
    <row r="389" ht="15">
      <c r="B389" s="70"/>
    </row>
    <row r="390" ht="15">
      <c r="B390" s="70"/>
    </row>
    <row r="391" ht="15">
      <c r="B391" s="70"/>
    </row>
    <row r="392" ht="15">
      <c r="B392" s="70"/>
    </row>
    <row r="393" ht="15">
      <c r="B393" s="70"/>
    </row>
    <row r="394" ht="15">
      <c r="B394" s="70"/>
    </row>
    <row r="395" ht="15">
      <c r="B395" s="70"/>
    </row>
    <row r="396" ht="15">
      <c r="B396" s="70"/>
    </row>
    <row r="397" ht="15">
      <c r="B397" s="70"/>
    </row>
    <row r="398" ht="15">
      <c r="B398" s="70"/>
    </row>
    <row r="399" ht="15">
      <c r="B399" s="70"/>
    </row>
    <row r="400" ht="15">
      <c r="B400" s="70"/>
    </row>
    <row r="401" ht="15">
      <c r="B401" s="70"/>
    </row>
    <row r="402" ht="15">
      <c r="B402" s="70"/>
    </row>
    <row r="403" ht="15">
      <c r="B403" s="70"/>
    </row>
    <row r="404" ht="15">
      <c r="B404" s="70"/>
    </row>
    <row r="405" ht="15">
      <c r="B405" s="70"/>
    </row>
    <row r="406" ht="15">
      <c r="B406" s="70"/>
    </row>
    <row r="407" ht="15">
      <c r="B407" s="70"/>
    </row>
    <row r="408" ht="15">
      <c r="B408" s="70"/>
    </row>
    <row r="409" ht="15">
      <c r="B409" s="70"/>
    </row>
    <row r="410" ht="15">
      <c r="B410" s="70"/>
    </row>
    <row r="411" ht="15">
      <c r="B411" s="70"/>
    </row>
    <row r="412" ht="15">
      <c r="B412" s="70"/>
    </row>
    <row r="413" ht="15">
      <c r="B413" s="70"/>
    </row>
    <row r="414" ht="15">
      <c r="B414" s="70"/>
    </row>
    <row r="415" ht="15">
      <c r="B415" s="70"/>
    </row>
    <row r="416" ht="15">
      <c r="B416" s="70"/>
    </row>
    <row r="417" ht="15">
      <c r="B417" s="70"/>
    </row>
    <row r="418" ht="15">
      <c r="B418" s="70"/>
    </row>
    <row r="419" ht="15">
      <c r="B419" s="70"/>
    </row>
    <row r="420" ht="15">
      <c r="B420" s="70"/>
    </row>
    <row r="421" ht="15">
      <c r="B421" s="70"/>
    </row>
    <row r="422" ht="15">
      <c r="B422" s="70"/>
    </row>
    <row r="423" ht="15">
      <c r="B423" s="70"/>
    </row>
    <row r="424" ht="15">
      <c r="B424" s="70"/>
    </row>
    <row r="425" ht="15">
      <c r="B425" s="70"/>
    </row>
    <row r="426" ht="15">
      <c r="B426" s="70"/>
    </row>
    <row r="427" ht="15">
      <c r="B427" s="70"/>
    </row>
    <row r="428" ht="15">
      <c r="B428" s="70"/>
    </row>
    <row r="429" ht="15">
      <c r="B429" s="70"/>
    </row>
    <row r="430" ht="15">
      <c r="B430" s="70"/>
    </row>
    <row r="431" ht="15">
      <c r="B431" s="70"/>
    </row>
    <row r="432" ht="15">
      <c r="B432" s="70"/>
    </row>
    <row r="433" ht="15">
      <c r="B433" s="70"/>
    </row>
    <row r="434" ht="15">
      <c r="B434" s="70"/>
    </row>
    <row r="435" ht="15">
      <c r="B435" s="70"/>
    </row>
    <row r="436" ht="15">
      <c r="B436" s="70"/>
    </row>
    <row r="437" ht="15">
      <c r="B437" s="70"/>
    </row>
    <row r="438" ht="15">
      <c r="B438" s="70"/>
    </row>
    <row r="439" ht="15">
      <c r="B439" s="70"/>
    </row>
    <row r="440" ht="15">
      <c r="B440" s="70"/>
    </row>
    <row r="441" ht="15">
      <c r="B441" s="70"/>
    </row>
    <row r="442" ht="15">
      <c r="B442" s="70"/>
    </row>
    <row r="443" ht="15">
      <c r="B443" s="70"/>
    </row>
    <row r="444" ht="15">
      <c r="B444" s="70"/>
    </row>
    <row r="445" ht="15">
      <c r="B445" s="70"/>
    </row>
    <row r="446" ht="15">
      <c r="B446" s="70"/>
    </row>
    <row r="447" ht="15">
      <c r="B447" s="70"/>
    </row>
    <row r="448" ht="15">
      <c r="B448" s="70"/>
    </row>
    <row r="449" ht="15">
      <c r="B449" s="70"/>
    </row>
    <row r="450" ht="15">
      <c r="B450" s="70"/>
    </row>
    <row r="451" ht="15">
      <c r="B451" s="70"/>
    </row>
    <row r="452" ht="15">
      <c r="B452" s="70"/>
    </row>
    <row r="453" ht="15">
      <c r="B453" s="70"/>
    </row>
    <row r="454" ht="15">
      <c r="B454" s="70"/>
    </row>
    <row r="455" ht="15">
      <c r="B455" s="70"/>
    </row>
    <row r="456" ht="15">
      <c r="B456" s="70"/>
    </row>
    <row r="457" ht="15">
      <c r="B457" s="70"/>
    </row>
    <row r="458" ht="15">
      <c r="B458" s="70"/>
    </row>
    <row r="459" ht="15">
      <c r="B459" s="70"/>
    </row>
    <row r="460" ht="15">
      <c r="B460" s="70"/>
    </row>
    <row r="461" ht="15">
      <c r="B461" s="70"/>
    </row>
    <row r="462" ht="15">
      <c r="B462" s="70"/>
    </row>
    <row r="463" ht="15">
      <c r="B463" s="70"/>
    </row>
    <row r="464" ht="15">
      <c r="B464" s="70"/>
    </row>
    <row r="465" ht="15">
      <c r="B465" s="70"/>
    </row>
    <row r="466" ht="15">
      <c r="B466" s="70"/>
    </row>
    <row r="467" ht="15">
      <c r="B467" s="70"/>
    </row>
    <row r="468" ht="15">
      <c r="B468" s="70"/>
    </row>
    <row r="469" ht="15">
      <c r="B469" s="70"/>
    </row>
    <row r="470" ht="15">
      <c r="B470" s="70"/>
    </row>
    <row r="471" ht="15">
      <c r="B471" s="70"/>
    </row>
    <row r="472" ht="15">
      <c r="B472" s="70"/>
    </row>
    <row r="473" ht="15">
      <c r="B473" s="70"/>
    </row>
    <row r="474" ht="15">
      <c r="B474" s="70"/>
    </row>
    <row r="475" ht="15">
      <c r="B475" s="70"/>
    </row>
    <row r="476" ht="15">
      <c r="B476" s="70"/>
    </row>
    <row r="477" ht="15">
      <c r="B477" s="70"/>
    </row>
    <row r="478" ht="15">
      <c r="B478" s="70"/>
    </row>
    <row r="479" ht="15">
      <c r="B479" s="70"/>
    </row>
    <row r="480" ht="15">
      <c r="B480" s="70"/>
    </row>
    <row r="481" ht="15">
      <c r="B481" s="70"/>
    </row>
    <row r="482" ht="15">
      <c r="B482" s="70"/>
    </row>
    <row r="483" ht="15">
      <c r="B483" s="70"/>
    </row>
    <row r="484" ht="15">
      <c r="B484" s="70"/>
    </row>
    <row r="485" ht="15">
      <c r="B485" s="70"/>
    </row>
    <row r="486" ht="15">
      <c r="B486" s="70"/>
    </row>
    <row r="487" ht="15">
      <c r="B487" s="70"/>
    </row>
    <row r="488" ht="15">
      <c r="B488" s="70"/>
    </row>
    <row r="489" ht="15">
      <c r="B489" s="70"/>
    </row>
    <row r="490" ht="15">
      <c r="B490" s="70"/>
    </row>
    <row r="491" ht="15">
      <c r="B491" s="70"/>
    </row>
    <row r="492" ht="15">
      <c r="B492" s="70"/>
    </row>
  </sheetData>
  <sheetProtection/>
  <mergeCells count="37">
    <mergeCell ref="Q282:Q308"/>
    <mergeCell ref="Q309:Q336"/>
    <mergeCell ref="L3:P3"/>
    <mergeCell ref="Q139:Q168"/>
    <mergeCell ref="Q170:Q194"/>
    <mergeCell ref="Q1:Q35"/>
    <mergeCell ref="Q36:Q68"/>
    <mergeCell ref="Q69:Q103"/>
    <mergeCell ref="Q104:Q138"/>
    <mergeCell ref="Q195:Q223"/>
    <mergeCell ref="Q224:Q251"/>
    <mergeCell ref="Q252:Q281"/>
    <mergeCell ref="B340:D340"/>
    <mergeCell ref="G8:H8"/>
    <mergeCell ref="E8:E10"/>
    <mergeCell ref="H9:H10"/>
    <mergeCell ref="G9:G10"/>
    <mergeCell ref="D7:D10"/>
    <mergeCell ref="C7:C10"/>
    <mergeCell ref="B7:B10"/>
    <mergeCell ref="A7:A10"/>
    <mergeCell ref="N8:N10"/>
    <mergeCell ref="M9:M10"/>
    <mergeCell ref="O9:O10"/>
    <mergeCell ref="J7:O7"/>
    <mergeCell ref="L9:L10"/>
    <mergeCell ref="L8:M8"/>
    <mergeCell ref="A326:C326"/>
    <mergeCell ref="L4:P4"/>
    <mergeCell ref="L1:O1"/>
    <mergeCell ref="D5:O5"/>
    <mergeCell ref="J8:J10"/>
    <mergeCell ref="I8:I10"/>
    <mergeCell ref="K8:K10"/>
    <mergeCell ref="F8:F10"/>
    <mergeCell ref="E7:I7"/>
    <mergeCell ref="P7:P10"/>
  </mergeCells>
  <printOptions horizontalCentered="1"/>
  <pageMargins left="0.3" right="0.31" top="0.48" bottom="0.3937007874015748" header="0.1968503937007874" footer="0.1968503937007874"/>
  <pageSetup fitToHeight="100" fitToWidth="1" horizontalDpi="600" verticalDpi="600" orientation="landscape" paperSize="9" scale="43" r:id="rId3"/>
  <headerFooter alignWithMargins="0">
    <oddHeader>&amp;R&amp;20Продовження додатку 2</oddHeader>
  </headerFooter>
  <rowBreaks count="1" manualBreakCount="1">
    <brk id="32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89"/>
  <sheetViews>
    <sheetView showGridLines="0" showZeros="0" tabSelected="1" view="pageBreakPreview" zoomScale="25" zoomScaleNormal="70" zoomScaleSheetLayoutView="25" zoomScalePageLayoutView="0" workbookViewId="0" topLeftCell="A1">
      <selection activeCell="K4" sqref="K4:O4"/>
    </sheetView>
  </sheetViews>
  <sheetFormatPr defaultColWidth="9.16015625" defaultRowHeight="12.75"/>
  <cols>
    <col min="1" max="1" width="19.16015625" style="5" customWidth="1"/>
    <col min="2" max="2" width="18.66015625" style="1" customWidth="1"/>
    <col min="3" max="3" width="69" style="42" customWidth="1"/>
    <col min="4" max="4" width="24.83203125" style="2" customWidth="1"/>
    <col min="5" max="5" width="23.16015625" style="2" customWidth="1"/>
    <col min="6" max="7" width="21.5" style="2" customWidth="1"/>
    <col min="8" max="8" width="19.33203125" style="2" customWidth="1"/>
    <col min="9" max="9" width="21.66015625" style="2" customWidth="1"/>
    <col min="10" max="10" width="18.83203125" style="2" customWidth="1"/>
    <col min="11" max="11" width="18.66015625" style="2" customWidth="1"/>
    <col min="12" max="12" width="18" style="2" customWidth="1"/>
    <col min="13" max="13" width="20.33203125" style="2" customWidth="1"/>
    <col min="14" max="14" width="22.33203125" style="2" customWidth="1"/>
    <col min="15" max="15" width="24.5" style="2" customWidth="1"/>
    <col min="16" max="16" width="6.5" style="199" customWidth="1"/>
    <col min="17" max="17" width="21.5" style="131" customWidth="1"/>
    <col min="18" max="18" width="23" style="131" customWidth="1"/>
    <col min="19" max="26" width="17.5" style="131" customWidth="1"/>
    <col min="27" max="27" width="20.83203125" style="131" customWidth="1"/>
    <col min="28" max="28" width="21.5" style="131" customWidth="1"/>
    <col min="29" max="29" width="17.5" style="131" customWidth="1"/>
    <col min="30" max="30" width="19.66015625" style="131" customWidth="1"/>
    <col min="31" max="34" width="17.5" style="131" customWidth="1"/>
    <col min="35" max="35" width="17.5" style="132" customWidth="1"/>
    <col min="36" max="16384" width="9.16015625" style="2" customWidth="1"/>
  </cols>
  <sheetData>
    <row r="1" spans="1:16" ht="26.25" customHeight="1">
      <c r="A1" s="17"/>
      <c r="K1" s="276" t="s">
        <v>667</v>
      </c>
      <c r="L1" s="276"/>
      <c r="M1" s="276"/>
      <c r="N1" s="276"/>
      <c r="O1" s="201"/>
      <c r="P1" s="289">
        <v>16</v>
      </c>
    </row>
    <row r="2" spans="1:16" ht="26.25" customHeight="1">
      <c r="A2" s="17"/>
      <c r="K2" s="201" t="s">
        <v>663</v>
      </c>
      <c r="L2" s="201"/>
      <c r="M2" s="201"/>
      <c r="N2" s="201"/>
      <c r="O2" s="201"/>
      <c r="P2" s="289"/>
    </row>
    <row r="3" spans="1:16" ht="26.25" customHeight="1">
      <c r="A3" s="17"/>
      <c r="K3" s="275" t="s">
        <v>668</v>
      </c>
      <c r="L3" s="275"/>
      <c r="M3" s="275"/>
      <c r="N3" s="275"/>
      <c r="O3" s="275"/>
      <c r="P3" s="289"/>
    </row>
    <row r="4" spans="1:16" ht="24.75" customHeight="1">
      <c r="A4" s="17"/>
      <c r="K4" s="275"/>
      <c r="L4" s="275"/>
      <c r="M4" s="275"/>
      <c r="N4" s="275"/>
      <c r="O4" s="275"/>
      <c r="P4" s="289"/>
    </row>
    <row r="5" spans="1:16" ht="39.75" customHeight="1">
      <c r="A5" s="17"/>
      <c r="K5" s="264"/>
      <c r="L5" s="264"/>
      <c r="M5" s="264"/>
      <c r="N5" s="264"/>
      <c r="O5" s="264"/>
      <c r="P5" s="289"/>
    </row>
    <row r="6" spans="1:16" ht="45.75" customHeight="1">
      <c r="A6" s="277" t="s">
        <v>361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89"/>
    </row>
    <row r="7" spans="1:35" s="16" customFormat="1" ht="24" customHeight="1">
      <c r="A7" s="17"/>
      <c r="B7" s="23"/>
      <c r="C7" s="44"/>
      <c r="O7" s="16" t="s">
        <v>373</v>
      </c>
      <c r="P7" s="289"/>
      <c r="Q7" s="190"/>
      <c r="R7" s="190"/>
      <c r="S7" s="190"/>
      <c r="T7" s="190"/>
      <c r="U7" s="190"/>
      <c r="V7" s="190"/>
      <c r="W7" s="190"/>
      <c r="X7" s="190"/>
      <c r="Y7" s="190"/>
      <c r="Z7" s="293"/>
      <c r="AA7" s="293"/>
      <c r="AB7" s="293"/>
      <c r="AC7" s="293"/>
      <c r="AD7" s="293"/>
      <c r="AE7" s="293"/>
      <c r="AF7" s="293"/>
      <c r="AG7" s="293"/>
      <c r="AH7" s="293"/>
      <c r="AI7" s="293"/>
    </row>
    <row r="8" spans="1:35" ht="21.75" customHeight="1">
      <c r="A8" s="291" t="s">
        <v>165</v>
      </c>
      <c r="B8" s="291" t="s">
        <v>80</v>
      </c>
      <c r="C8" s="291" t="s">
        <v>178</v>
      </c>
      <c r="D8" s="290" t="s">
        <v>362</v>
      </c>
      <c r="E8" s="290"/>
      <c r="F8" s="290"/>
      <c r="G8" s="290"/>
      <c r="H8" s="290"/>
      <c r="I8" s="290" t="s">
        <v>363</v>
      </c>
      <c r="J8" s="290"/>
      <c r="K8" s="290"/>
      <c r="L8" s="290"/>
      <c r="M8" s="290"/>
      <c r="N8" s="290"/>
      <c r="O8" s="290" t="s">
        <v>364</v>
      </c>
      <c r="P8" s="289"/>
      <c r="Q8" s="190"/>
      <c r="R8" s="190"/>
      <c r="S8" s="190"/>
      <c r="T8" s="190"/>
      <c r="U8" s="190"/>
      <c r="V8" s="190"/>
      <c r="W8" s="190"/>
      <c r="X8" s="190"/>
      <c r="Y8" s="190"/>
      <c r="Z8" s="294"/>
      <c r="AA8" s="294"/>
      <c r="AB8" s="294"/>
      <c r="AC8" s="294"/>
      <c r="AD8" s="294"/>
      <c r="AE8" s="294"/>
      <c r="AF8" s="294"/>
      <c r="AG8" s="294"/>
      <c r="AH8" s="294"/>
      <c r="AI8" s="294"/>
    </row>
    <row r="9" spans="1:35" ht="29.25" customHeight="1">
      <c r="A9" s="291"/>
      <c r="B9" s="291"/>
      <c r="C9" s="291"/>
      <c r="D9" s="290" t="s">
        <v>365</v>
      </c>
      <c r="E9" s="290" t="s">
        <v>366</v>
      </c>
      <c r="F9" s="290"/>
      <c r="G9" s="290"/>
      <c r="H9" s="290" t="s">
        <v>368</v>
      </c>
      <c r="I9" s="290" t="s">
        <v>365</v>
      </c>
      <c r="J9" s="290" t="s">
        <v>366</v>
      </c>
      <c r="K9" s="290" t="s">
        <v>367</v>
      </c>
      <c r="L9" s="290"/>
      <c r="M9" s="290" t="s">
        <v>368</v>
      </c>
      <c r="N9" s="38" t="s">
        <v>367</v>
      </c>
      <c r="O9" s="290"/>
      <c r="P9" s="289"/>
      <c r="Q9" s="190"/>
      <c r="R9" s="190"/>
      <c r="S9" s="190"/>
      <c r="T9" s="190"/>
      <c r="U9" s="190"/>
      <c r="V9" s="190"/>
      <c r="W9" s="190"/>
      <c r="X9" s="190"/>
      <c r="Y9" s="189"/>
      <c r="Z9" s="294"/>
      <c r="AA9" s="294"/>
      <c r="AB9" s="294"/>
      <c r="AC9" s="294"/>
      <c r="AD9" s="294"/>
      <c r="AE9" s="294"/>
      <c r="AF9" s="294"/>
      <c r="AG9" s="169"/>
      <c r="AH9" s="169"/>
      <c r="AI9" s="170"/>
    </row>
    <row r="10" spans="1:35" ht="20.25" customHeight="1">
      <c r="A10" s="291"/>
      <c r="B10" s="291"/>
      <c r="C10" s="291"/>
      <c r="D10" s="290"/>
      <c r="E10" s="290"/>
      <c r="F10" s="290" t="s">
        <v>369</v>
      </c>
      <c r="G10" s="290" t="s">
        <v>370</v>
      </c>
      <c r="H10" s="290"/>
      <c r="I10" s="290"/>
      <c r="J10" s="290"/>
      <c r="K10" s="290" t="s">
        <v>369</v>
      </c>
      <c r="L10" s="290" t="s">
        <v>370</v>
      </c>
      <c r="M10" s="290"/>
      <c r="N10" s="290" t="s">
        <v>371</v>
      </c>
      <c r="O10" s="290"/>
      <c r="P10" s="289"/>
      <c r="Q10" s="191"/>
      <c r="R10" s="192"/>
      <c r="S10" s="192"/>
      <c r="T10" s="190"/>
      <c r="U10" s="190"/>
      <c r="V10" s="190"/>
      <c r="W10" s="192"/>
      <c r="X10" s="192"/>
      <c r="Y10" s="192"/>
      <c r="Z10" s="194"/>
      <c r="AA10" s="195"/>
      <c r="AB10" s="172"/>
      <c r="AC10" s="172"/>
      <c r="AD10" s="294"/>
      <c r="AE10" s="294"/>
      <c r="AF10" s="294"/>
      <c r="AG10" s="172"/>
      <c r="AH10" s="172"/>
      <c r="AI10" s="173"/>
    </row>
    <row r="11" spans="1:35" ht="71.25" customHeight="1">
      <c r="A11" s="291"/>
      <c r="B11" s="291"/>
      <c r="C11" s="291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89"/>
      <c r="Q11" s="189"/>
      <c r="R11" s="189"/>
      <c r="S11" s="193"/>
      <c r="T11" s="190"/>
      <c r="U11" s="190"/>
      <c r="V11" s="190"/>
      <c r="W11" s="190"/>
      <c r="X11" s="190"/>
      <c r="Y11" s="193"/>
      <c r="Z11" s="194"/>
      <c r="AA11" s="196"/>
      <c r="AB11" s="169"/>
      <c r="AC11" s="171"/>
      <c r="AD11" s="294"/>
      <c r="AE11" s="294"/>
      <c r="AF11" s="294"/>
      <c r="AG11" s="169"/>
      <c r="AH11" s="169"/>
      <c r="AI11" s="174"/>
    </row>
    <row r="12" spans="1:35" s="21" customFormat="1" ht="27.75" customHeight="1">
      <c r="A12" s="22" t="s">
        <v>76</v>
      </c>
      <c r="B12" s="34"/>
      <c r="C12" s="39" t="s">
        <v>77</v>
      </c>
      <c r="D12" s="55">
        <f>D13+D14</f>
        <v>179693463</v>
      </c>
      <c r="E12" s="55">
        <f aca="true" t="shared" si="0" ref="E12:N12">E13+E14</f>
        <v>179693463</v>
      </c>
      <c r="F12" s="55">
        <f t="shared" si="0"/>
        <v>135306129</v>
      </c>
      <c r="G12" s="55">
        <f t="shared" si="0"/>
        <v>3676960</v>
      </c>
      <c r="H12" s="55">
        <f t="shared" si="0"/>
        <v>0</v>
      </c>
      <c r="I12" s="55">
        <f t="shared" si="0"/>
        <v>6459214</v>
      </c>
      <c r="J12" s="55">
        <f t="shared" si="0"/>
        <v>2250000</v>
      </c>
      <c r="K12" s="55">
        <f t="shared" si="0"/>
        <v>1725540</v>
      </c>
      <c r="L12" s="55">
        <f t="shared" si="0"/>
        <v>46200</v>
      </c>
      <c r="M12" s="55">
        <f t="shared" si="0"/>
        <v>4209214</v>
      </c>
      <c r="N12" s="55">
        <f t="shared" si="0"/>
        <v>3859214</v>
      </c>
      <c r="O12" s="55">
        <f>O13+O14</f>
        <v>186152677</v>
      </c>
      <c r="P12" s="289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</row>
    <row r="13" spans="1:35" ht="57.75" customHeight="1">
      <c r="A13" s="5" t="s">
        <v>180</v>
      </c>
      <c r="B13" s="5" t="s">
        <v>79</v>
      </c>
      <c r="C13" s="18" t="s">
        <v>181</v>
      </c>
      <c r="D13" s="51">
        <f>'дод. 2'!E13+'дод. 2'!E63+'дод. 2'!E96+'дод. 2'!E132+'дод. 2'!E207+'дод. 2'!E212+'дод. 2'!E226+'дод. 2'!E258+'дод. 2'!E263+'дод. 2'!E290+'дод. 2'!E297+'дод. 2'!E300+'дод. 2'!E310+'дод. 2'!E314</f>
        <v>179565963</v>
      </c>
      <c r="E13" s="51">
        <f>'дод. 2'!F13+'дод. 2'!F63+'дод. 2'!F96+'дод. 2'!F132+'дод. 2'!F207+'дод. 2'!F212+'дод. 2'!F226+'дод. 2'!F258+'дод. 2'!F263+'дод. 2'!F290+'дод. 2'!F297+'дод. 2'!F300+'дод. 2'!F310+'дод. 2'!F314</f>
        <v>179565963</v>
      </c>
      <c r="F13" s="51">
        <f>'дод. 2'!G13+'дод. 2'!G63+'дод. 2'!G96+'дод. 2'!G132+'дод. 2'!G207+'дод. 2'!G212+'дод. 2'!G226+'дод. 2'!G258+'дод. 2'!G263+'дод. 2'!G290+'дод. 2'!G297+'дод. 2'!G300+'дод. 2'!G310+'дод. 2'!G314</f>
        <v>135306129</v>
      </c>
      <c r="G13" s="51">
        <f>'дод. 2'!H13+'дод. 2'!H63+'дод. 2'!H96+'дод. 2'!H132+'дод. 2'!H207+'дод. 2'!H212+'дод. 2'!H226+'дод. 2'!H258+'дод. 2'!H263+'дод. 2'!H290+'дод. 2'!H297+'дод. 2'!H300+'дод. 2'!H310+'дод. 2'!H314</f>
        <v>3676960</v>
      </c>
      <c r="H13" s="51">
        <f>'дод. 2'!I13+'дод. 2'!I63+'дод. 2'!I96+'дод. 2'!I132+'дод. 2'!I207+'дод. 2'!I212+'дод. 2'!I226+'дод. 2'!I258+'дод. 2'!I263+'дод. 2'!I290+'дод. 2'!I297+'дод. 2'!I300+'дод. 2'!I310+'дод. 2'!I314</f>
        <v>0</v>
      </c>
      <c r="I13" s="51">
        <f>'дод. 2'!J13+'дод. 2'!J63+'дод. 2'!J96+'дод. 2'!J132+'дод. 2'!J207+'дод. 2'!J212+'дод. 2'!J226+'дод. 2'!J258+'дод. 2'!J263+'дод. 2'!J290+'дод. 2'!J297+'дод. 2'!J300+'дод. 2'!J310+'дод. 2'!J314</f>
        <v>6459214</v>
      </c>
      <c r="J13" s="51">
        <f>'дод. 2'!K13+'дод. 2'!K63+'дод. 2'!K96+'дод. 2'!K132+'дод. 2'!K207+'дод. 2'!K212+'дод. 2'!K226+'дод. 2'!K258+'дод. 2'!K263+'дод. 2'!K290+'дод. 2'!K297+'дод. 2'!K300+'дод. 2'!K310+'дод. 2'!K314</f>
        <v>2250000</v>
      </c>
      <c r="K13" s="51">
        <f>'дод. 2'!L13+'дод. 2'!L63+'дод. 2'!L96+'дод. 2'!L132+'дод. 2'!L207+'дод. 2'!L212+'дод. 2'!L226+'дод. 2'!L258+'дод. 2'!L263+'дод. 2'!L290+'дод. 2'!L297+'дод. 2'!L300+'дод. 2'!L310+'дод. 2'!L314</f>
        <v>1725540</v>
      </c>
      <c r="L13" s="51">
        <f>'дод. 2'!M13+'дод. 2'!M63+'дод. 2'!M96+'дод. 2'!M132+'дод. 2'!M207+'дод. 2'!M212+'дод. 2'!M226+'дод. 2'!M258+'дод. 2'!M263+'дод. 2'!M290+'дод. 2'!M297+'дод. 2'!M300+'дод. 2'!M310+'дод. 2'!M314</f>
        <v>46200</v>
      </c>
      <c r="M13" s="51">
        <f>'дод. 2'!N13+'дод. 2'!N63+'дод. 2'!N96+'дод. 2'!N132+'дод. 2'!N207+'дод. 2'!N212+'дод. 2'!N226+'дод. 2'!N258+'дод. 2'!N263+'дод. 2'!N290+'дод. 2'!N297+'дод. 2'!N300+'дод. 2'!N310+'дод. 2'!N314</f>
        <v>4209214</v>
      </c>
      <c r="N13" s="51">
        <f>'дод. 2'!O13+'дод. 2'!O63+'дод. 2'!O96+'дод. 2'!O132+'дод. 2'!O207+'дод. 2'!O212+'дод. 2'!O226+'дод. 2'!O258+'дод. 2'!O263+'дод. 2'!O290+'дод. 2'!O297+'дод. 2'!O300+'дод. 2'!O310+'дод. 2'!O314</f>
        <v>3859214</v>
      </c>
      <c r="O13" s="51">
        <f>'дод. 2'!P13+'дод. 2'!P63+'дод. 2'!P96+'дод. 2'!P132+'дод. 2'!P207+'дод. 2'!P212+'дод. 2'!P226+'дод. 2'!P258+'дод. 2'!P263+'дод. 2'!P290+'дод. 2'!P297+'дод. 2'!P300+'дод. 2'!P310+'дод. 2'!P314</f>
        <v>186025177</v>
      </c>
      <c r="P13" s="289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</row>
    <row r="14" spans="1:35" ht="27" customHeight="1">
      <c r="A14" s="5" t="s">
        <v>78</v>
      </c>
      <c r="B14" s="5" t="s">
        <v>140</v>
      </c>
      <c r="C14" s="18" t="s">
        <v>386</v>
      </c>
      <c r="D14" s="51">
        <f>'дод. 2'!E14</f>
        <v>127500</v>
      </c>
      <c r="E14" s="51">
        <f>'дод. 2'!F14</f>
        <v>127500</v>
      </c>
      <c r="F14" s="51">
        <f>'дод. 2'!G14</f>
        <v>0</v>
      </c>
      <c r="G14" s="51">
        <f>'дод. 2'!H14</f>
        <v>0</v>
      </c>
      <c r="H14" s="51">
        <f>'дод. 2'!I14</f>
        <v>0</v>
      </c>
      <c r="I14" s="51">
        <f>'дод. 2'!J14</f>
        <v>0</v>
      </c>
      <c r="J14" s="51">
        <f>'дод. 2'!K14</f>
        <v>0</v>
      </c>
      <c r="K14" s="51">
        <f>'дод. 2'!L14</f>
        <v>0</v>
      </c>
      <c r="L14" s="51">
        <f>'дод. 2'!M14</f>
        <v>0</v>
      </c>
      <c r="M14" s="51">
        <f>'дод. 2'!N14</f>
        <v>0</v>
      </c>
      <c r="N14" s="51">
        <f>'дод. 2'!O14</f>
        <v>0</v>
      </c>
      <c r="O14" s="51">
        <f>'дод. 2'!P14</f>
        <v>127500</v>
      </c>
      <c r="P14" s="289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</row>
    <row r="15" spans="1:35" s="21" customFormat="1" ht="24" customHeight="1">
      <c r="A15" s="22" t="s">
        <v>81</v>
      </c>
      <c r="B15" s="34"/>
      <c r="C15" s="39" t="s">
        <v>82</v>
      </c>
      <c r="D15" s="55">
        <f aca="true" t="shared" si="1" ref="D15:O15">D17+D18+D20+D22+D24+D25+D26+D28+D29</f>
        <v>767728670.25</v>
      </c>
      <c r="E15" s="55">
        <f t="shared" si="1"/>
        <v>767728670.25</v>
      </c>
      <c r="F15" s="55">
        <f t="shared" si="1"/>
        <v>496892361</v>
      </c>
      <c r="G15" s="55">
        <f t="shared" si="1"/>
        <v>70210860</v>
      </c>
      <c r="H15" s="55">
        <f t="shared" si="1"/>
        <v>0</v>
      </c>
      <c r="I15" s="55">
        <f t="shared" si="1"/>
        <v>78081485.65</v>
      </c>
      <c r="J15" s="55">
        <f t="shared" si="1"/>
        <v>50066378</v>
      </c>
      <c r="K15" s="55">
        <f t="shared" si="1"/>
        <v>4398944</v>
      </c>
      <c r="L15" s="55">
        <f t="shared" si="1"/>
        <v>2371330</v>
      </c>
      <c r="M15" s="55">
        <f t="shared" si="1"/>
        <v>28015107.65</v>
      </c>
      <c r="N15" s="55">
        <f t="shared" si="1"/>
        <v>27815687.65</v>
      </c>
      <c r="O15" s="55">
        <f t="shared" si="1"/>
        <v>845810155.9</v>
      </c>
      <c r="P15" s="289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</row>
    <row r="16" spans="1:35" s="28" customFormat="1" ht="24" customHeight="1">
      <c r="A16" s="22"/>
      <c r="B16" s="34"/>
      <c r="C16" s="11" t="s">
        <v>416</v>
      </c>
      <c r="D16" s="55">
        <f>D19+D21+D23+D27+D30</f>
        <v>267908342.9</v>
      </c>
      <c r="E16" s="55">
        <f aca="true" t="shared" si="2" ref="E16:O16">E19+E21+E23+E27+E30</f>
        <v>267908342.9</v>
      </c>
      <c r="F16" s="55">
        <f t="shared" si="2"/>
        <v>213388985</v>
      </c>
      <c r="G16" s="55">
        <f t="shared" si="2"/>
        <v>0</v>
      </c>
      <c r="H16" s="55">
        <f t="shared" si="2"/>
        <v>0</v>
      </c>
      <c r="I16" s="55">
        <f t="shared" si="2"/>
        <v>6154492</v>
      </c>
      <c r="J16" s="55">
        <f t="shared" si="2"/>
        <v>0</v>
      </c>
      <c r="K16" s="55">
        <f t="shared" si="2"/>
        <v>0</v>
      </c>
      <c r="L16" s="55">
        <f t="shared" si="2"/>
        <v>0</v>
      </c>
      <c r="M16" s="55">
        <f t="shared" si="2"/>
        <v>6154492</v>
      </c>
      <c r="N16" s="55">
        <f t="shared" si="2"/>
        <v>6154492</v>
      </c>
      <c r="O16" s="55">
        <f t="shared" si="2"/>
        <v>274062834.9</v>
      </c>
      <c r="P16" s="289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</row>
    <row r="17" spans="1:35" ht="27" customHeight="1">
      <c r="A17" s="5" t="s">
        <v>83</v>
      </c>
      <c r="B17" s="5" t="s">
        <v>84</v>
      </c>
      <c r="C17" s="18" t="s">
        <v>222</v>
      </c>
      <c r="D17" s="51">
        <f>'дод. 2'!E64</f>
        <v>190678766.35</v>
      </c>
      <c r="E17" s="51">
        <f>'дод. 2'!F64</f>
        <v>190678766.35</v>
      </c>
      <c r="F17" s="51">
        <f>'дод. 2'!G64</f>
        <v>119291300</v>
      </c>
      <c r="G17" s="51">
        <f>'дод. 2'!H64</f>
        <v>22031690</v>
      </c>
      <c r="H17" s="51">
        <f>'дод. 2'!I64</f>
        <v>0</v>
      </c>
      <c r="I17" s="51">
        <f>'дод. 2'!J64</f>
        <v>20383896.65</v>
      </c>
      <c r="J17" s="51">
        <f>'дод. 2'!K64</f>
        <v>16065511</v>
      </c>
      <c r="K17" s="51">
        <f>'дод. 2'!L64</f>
        <v>0</v>
      </c>
      <c r="L17" s="51">
        <f>'дод. 2'!M64</f>
        <v>0</v>
      </c>
      <c r="M17" s="51">
        <f>'дод. 2'!N64</f>
        <v>4318385.65</v>
      </c>
      <c r="N17" s="51">
        <f>'дод. 2'!O64</f>
        <v>4318385.65</v>
      </c>
      <c r="O17" s="51">
        <f>'дод. 2'!P64</f>
        <v>211062663</v>
      </c>
      <c r="P17" s="289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</row>
    <row r="18" spans="1:35" ht="71.25" customHeight="1">
      <c r="A18" s="5" t="s">
        <v>85</v>
      </c>
      <c r="B18" s="5" t="s">
        <v>86</v>
      </c>
      <c r="C18" s="18" t="s">
        <v>580</v>
      </c>
      <c r="D18" s="51">
        <f>'дод. 2'!E65</f>
        <v>412358400.9</v>
      </c>
      <c r="E18" s="51">
        <f>'дод. 2'!F65</f>
        <v>412358400.9</v>
      </c>
      <c r="F18" s="51">
        <f>'дод. 2'!G65</f>
        <v>272601385</v>
      </c>
      <c r="G18" s="51">
        <f>'дод. 2'!H65</f>
        <v>34867640</v>
      </c>
      <c r="H18" s="51">
        <f>'дод. 2'!I65</f>
        <v>0</v>
      </c>
      <c r="I18" s="51">
        <f>'дод. 2'!J65</f>
        <v>43216819</v>
      </c>
      <c r="J18" s="51">
        <f>'дод. 2'!K65</f>
        <v>25377767</v>
      </c>
      <c r="K18" s="51">
        <f>'дод. 2'!L65</f>
        <v>624000</v>
      </c>
      <c r="L18" s="51">
        <f>'дод. 2'!M65</f>
        <v>36920</v>
      </c>
      <c r="M18" s="51">
        <f>'дод. 2'!N65</f>
        <v>17839052</v>
      </c>
      <c r="N18" s="51">
        <f>'дод. 2'!O65</f>
        <v>17839052</v>
      </c>
      <c r="O18" s="51">
        <f>'дод. 2'!P65</f>
        <v>455575219.9</v>
      </c>
      <c r="P18" s="289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</row>
    <row r="19" spans="2:35" ht="28.5" customHeight="1">
      <c r="B19" s="5"/>
      <c r="C19" s="13" t="s">
        <v>416</v>
      </c>
      <c r="D19" s="51">
        <f>'дод. 2'!E66</f>
        <v>252514507.9</v>
      </c>
      <c r="E19" s="51">
        <f>'дод. 2'!F66</f>
        <v>252514507.9</v>
      </c>
      <c r="F19" s="51">
        <f>'дод. 2'!G66</f>
        <v>201155985</v>
      </c>
      <c r="G19" s="51">
        <f>'дод. 2'!H66</f>
        <v>0</v>
      </c>
      <c r="H19" s="51">
        <f>'дод. 2'!I66</f>
        <v>0</v>
      </c>
      <c r="I19" s="51">
        <f>'дод. 2'!J66</f>
        <v>1416542</v>
      </c>
      <c r="J19" s="51">
        <f>'дод. 2'!K66</f>
        <v>0</v>
      </c>
      <c r="K19" s="51">
        <f>'дод. 2'!L66</f>
        <v>0</v>
      </c>
      <c r="L19" s="51">
        <f>'дод. 2'!M66</f>
        <v>0</v>
      </c>
      <c r="M19" s="51">
        <f>'дод. 2'!N66</f>
        <v>1416542</v>
      </c>
      <c r="N19" s="51">
        <f>'дод. 2'!O66</f>
        <v>1416542</v>
      </c>
      <c r="O19" s="51">
        <f>'дод. 2'!P66</f>
        <v>253931049.9</v>
      </c>
      <c r="P19" s="289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</row>
    <row r="20" spans="1:35" ht="42.75" customHeight="1">
      <c r="A20" s="5" t="s">
        <v>87</v>
      </c>
      <c r="B20" s="5" t="s">
        <v>86</v>
      </c>
      <c r="C20" s="18" t="s">
        <v>49</v>
      </c>
      <c r="D20" s="51">
        <f>'дод. 2'!E67</f>
        <v>778340</v>
      </c>
      <c r="E20" s="51">
        <f>'дод. 2'!F67</f>
        <v>778340</v>
      </c>
      <c r="F20" s="51">
        <f>'дод. 2'!G67</f>
        <v>637000</v>
      </c>
      <c r="G20" s="51">
        <f>'дод. 2'!H67</f>
        <v>0</v>
      </c>
      <c r="H20" s="51">
        <f>'дод. 2'!I67</f>
        <v>0</v>
      </c>
      <c r="I20" s="51">
        <f>'дод. 2'!J67</f>
        <v>0</v>
      </c>
      <c r="J20" s="51">
        <f>'дод. 2'!K67</f>
        <v>0</v>
      </c>
      <c r="K20" s="51">
        <f>'дод. 2'!L67</f>
        <v>0</v>
      </c>
      <c r="L20" s="51">
        <f>'дод. 2'!M67</f>
        <v>0</v>
      </c>
      <c r="M20" s="51">
        <f>'дод. 2'!N67</f>
        <v>0</v>
      </c>
      <c r="N20" s="51">
        <f>'дод. 2'!O67</f>
        <v>0</v>
      </c>
      <c r="O20" s="51">
        <f>'дод. 2'!P67</f>
        <v>778340</v>
      </c>
      <c r="P20" s="289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</row>
    <row r="21" spans="2:35" ht="24.75" customHeight="1">
      <c r="B21" s="5"/>
      <c r="C21" s="13" t="s">
        <v>416</v>
      </c>
      <c r="D21" s="51">
        <f>'дод. 2'!E68</f>
        <v>777140</v>
      </c>
      <c r="E21" s="51">
        <f>'дод. 2'!F68</f>
        <v>777140</v>
      </c>
      <c r="F21" s="51">
        <f>'дод. 2'!G68</f>
        <v>637000</v>
      </c>
      <c r="G21" s="51">
        <f>'дод. 2'!H68</f>
        <v>0</v>
      </c>
      <c r="H21" s="51">
        <f>'дод. 2'!I68</f>
        <v>0</v>
      </c>
      <c r="I21" s="51">
        <f>'дод. 2'!J68</f>
        <v>0</v>
      </c>
      <c r="J21" s="51">
        <f>'дод. 2'!K68</f>
        <v>0</v>
      </c>
      <c r="K21" s="51">
        <f>'дод. 2'!L68</f>
        <v>0</v>
      </c>
      <c r="L21" s="51">
        <f>'дод. 2'!M68</f>
        <v>0</v>
      </c>
      <c r="M21" s="51">
        <f>'дод. 2'!N68</f>
        <v>0</v>
      </c>
      <c r="N21" s="51">
        <f>'дод. 2'!O68</f>
        <v>0</v>
      </c>
      <c r="O21" s="51">
        <f>'дод. 2'!P68</f>
        <v>777140</v>
      </c>
      <c r="P21" s="289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</row>
    <row r="22" spans="1:35" ht="87" customHeight="1">
      <c r="A22" s="5" t="s">
        <v>89</v>
      </c>
      <c r="B22" s="5" t="s">
        <v>90</v>
      </c>
      <c r="C22" s="18" t="s">
        <v>182</v>
      </c>
      <c r="D22" s="51">
        <f>'дод. 2'!E69</f>
        <v>7485765</v>
      </c>
      <c r="E22" s="51">
        <f>'дод. 2'!F69</f>
        <v>7485765</v>
      </c>
      <c r="F22" s="51">
        <f>'дод. 2'!G69</f>
        <v>5205700</v>
      </c>
      <c r="G22" s="51">
        <f>'дод. 2'!H69</f>
        <v>615230</v>
      </c>
      <c r="H22" s="51">
        <f>'дод. 2'!I69</f>
        <v>0</v>
      </c>
      <c r="I22" s="51">
        <f>'дод. 2'!J69</f>
        <v>100000</v>
      </c>
      <c r="J22" s="51">
        <f>'дод. 2'!K69</f>
        <v>0</v>
      </c>
      <c r="K22" s="51">
        <f>'дод. 2'!L69</f>
        <v>0</v>
      </c>
      <c r="L22" s="51">
        <f>'дод. 2'!M69</f>
        <v>0</v>
      </c>
      <c r="M22" s="51">
        <f>'дод. 2'!N69</f>
        <v>100000</v>
      </c>
      <c r="N22" s="51">
        <f>'дод. 2'!O69</f>
        <v>100000</v>
      </c>
      <c r="O22" s="51">
        <f>'дод. 2'!P69</f>
        <v>7585765</v>
      </c>
      <c r="P22" s="289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</row>
    <row r="23" spans="2:35" ht="21.75" customHeight="1">
      <c r="B23" s="5"/>
      <c r="C23" s="13" t="s">
        <v>416</v>
      </c>
      <c r="D23" s="51">
        <f>'дод. 2'!E70</f>
        <v>4964695</v>
      </c>
      <c r="E23" s="51">
        <f>'дод. 2'!F70</f>
        <v>4964695</v>
      </c>
      <c r="F23" s="51">
        <f>'дод. 2'!G70</f>
        <v>4070000</v>
      </c>
      <c r="G23" s="51">
        <f>'дод. 2'!H70</f>
        <v>0</v>
      </c>
      <c r="H23" s="51">
        <f>'дод. 2'!I70</f>
        <v>0</v>
      </c>
      <c r="I23" s="51">
        <f>'дод. 2'!J70</f>
        <v>0</v>
      </c>
      <c r="J23" s="51">
        <f>'дод. 2'!K70</f>
        <v>0</v>
      </c>
      <c r="K23" s="51">
        <f>'дод. 2'!L70</f>
        <v>0</v>
      </c>
      <c r="L23" s="51">
        <f>'дод. 2'!M70</f>
        <v>0</v>
      </c>
      <c r="M23" s="51">
        <f>'дод. 2'!N70</f>
        <v>0</v>
      </c>
      <c r="N23" s="51">
        <f>'дод. 2'!O70</f>
        <v>0</v>
      </c>
      <c r="O23" s="51">
        <f>'дод. 2'!P70</f>
        <v>4964695</v>
      </c>
      <c r="P23" s="289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</row>
    <row r="24" spans="1:35" ht="33" customHeight="1">
      <c r="A24" s="5" t="s">
        <v>91</v>
      </c>
      <c r="B24" s="5" t="s">
        <v>92</v>
      </c>
      <c r="C24" s="18" t="s">
        <v>223</v>
      </c>
      <c r="D24" s="51">
        <f>'дод. 2'!E71</f>
        <v>21617190</v>
      </c>
      <c r="E24" s="51">
        <f>'дод. 2'!F71</f>
        <v>21617190</v>
      </c>
      <c r="F24" s="51">
        <f>'дод. 2'!G71</f>
        <v>15425500</v>
      </c>
      <c r="G24" s="51">
        <f>'дод. 2'!H71</f>
        <v>2331620</v>
      </c>
      <c r="H24" s="51">
        <f>'дод. 2'!I71</f>
        <v>0</v>
      </c>
      <c r="I24" s="51">
        <f>'дод. 2'!J71</f>
        <v>430000</v>
      </c>
      <c r="J24" s="51">
        <f>'дод. 2'!K71</f>
        <v>0</v>
      </c>
      <c r="K24" s="51">
        <f>'дод. 2'!L71</f>
        <v>0</v>
      </c>
      <c r="L24" s="51">
        <f>'дод. 2'!M71</f>
        <v>0</v>
      </c>
      <c r="M24" s="51">
        <f>'дод. 2'!N71</f>
        <v>430000</v>
      </c>
      <c r="N24" s="51">
        <f>'дод. 2'!O71</f>
        <v>430000</v>
      </c>
      <c r="O24" s="51">
        <f>'дод. 2'!P71</f>
        <v>22047190</v>
      </c>
      <c r="P24" s="289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</row>
    <row r="25" spans="1:35" ht="57.75" customHeight="1">
      <c r="A25" s="5" t="s">
        <v>93</v>
      </c>
      <c r="B25" s="5" t="s">
        <v>92</v>
      </c>
      <c r="C25" s="18" t="s">
        <v>30</v>
      </c>
      <c r="D25" s="51">
        <f>'дод. 2'!E213</f>
        <v>29907268</v>
      </c>
      <c r="E25" s="51">
        <f>'дод. 2'!F213</f>
        <v>29907268</v>
      </c>
      <c r="F25" s="51">
        <f>'дод. 2'!G213</f>
        <v>23498774</v>
      </c>
      <c r="G25" s="51">
        <f>'дод. 2'!H213</f>
        <v>711900</v>
      </c>
      <c r="H25" s="51">
        <f>'дод. 2'!I213</f>
        <v>0</v>
      </c>
      <c r="I25" s="51">
        <f>'дод. 2'!J213</f>
        <v>2310850</v>
      </c>
      <c r="J25" s="51">
        <f>'дод. 2'!K213</f>
        <v>2108830</v>
      </c>
      <c r="K25" s="51">
        <f>'дод. 2'!L213</f>
        <v>1721450</v>
      </c>
      <c r="L25" s="51">
        <f>'дод. 2'!M213</f>
        <v>0</v>
      </c>
      <c r="M25" s="51">
        <f>'дод. 2'!N213</f>
        <v>202020</v>
      </c>
      <c r="N25" s="51">
        <f>'дод. 2'!O213</f>
        <v>197300</v>
      </c>
      <c r="O25" s="51">
        <f>'дод. 2'!P213</f>
        <v>32218118</v>
      </c>
      <c r="P25" s="289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</row>
    <row r="26" spans="1:35" ht="39.75" customHeight="1">
      <c r="A26" s="5" t="s">
        <v>352</v>
      </c>
      <c r="B26" s="5" t="s">
        <v>94</v>
      </c>
      <c r="C26" s="18" t="s">
        <v>183</v>
      </c>
      <c r="D26" s="51">
        <f>'дод. 2'!E72</f>
        <v>94925900</v>
      </c>
      <c r="E26" s="51">
        <f>'дод. 2'!F72</f>
        <v>94925900</v>
      </c>
      <c r="F26" s="51">
        <f>'дод. 2'!G72</f>
        <v>52999200</v>
      </c>
      <c r="G26" s="51">
        <f>'дод. 2'!H72</f>
        <v>9089100</v>
      </c>
      <c r="H26" s="51">
        <f>'дод. 2'!I72</f>
        <v>0</v>
      </c>
      <c r="I26" s="51">
        <f>'дод. 2'!J72</f>
        <v>11338970</v>
      </c>
      <c r="J26" s="51">
        <f>'дод. 2'!K72</f>
        <v>6514270</v>
      </c>
      <c r="K26" s="51">
        <f>'дод. 2'!L72</f>
        <v>2053494</v>
      </c>
      <c r="L26" s="51">
        <f>'дод. 2'!M72</f>
        <v>2334410</v>
      </c>
      <c r="M26" s="51">
        <f>'дод. 2'!N72</f>
        <v>4824700</v>
      </c>
      <c r="N26" s="51">
        <f>'дод. 2'!O72</f>
        <v>4630000</v>
      </c>
      <c r="O26" s="51">
        <f>'дод. 2'!P72</f>
        <v>106264870</v>
      </c>
      <c r="P26" s="289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</row>
    <row r="27" spans="2:35" ht="21" customHeight="1">
      <c r="B27" s="5"/>
      <c r="C27" s="13" t="s">
        <v>416</v>
      </c>
      <c r="D27" s="51">
        <f>'дод. 2'!E73</f>
        <v>9652000</v>
      </c>
      <c r="E27" s="51">
        <f>'дод. 2'!F73</f>
        <v>9652000</v>
      </c>
      <c r="F27" s="51">
        <f>'дод. 2'!G73</f>
        <v>7526000</v>
      </c>
      <c r="G27" s="51">
        <f>'дод. 2'!H73</f>
        <v>0</v>
      </c>
      <c r="H27" s="51">
        <f>'дод. 2'!I73</f>
        <v>0</v>
      </c>
      <c r="I27" s="51">
        <f>'дод. 2'!J73</f>
        <v>4630000</v>
      </c>
      <c r="J27" s="51">
        <f>'дод. 2'!K73</f>
        <v>0</v>
      </c>
      <c r="K27" s="51">
        <f>'дод. 2'!L73</f>
        <v>0</v>
      </c>
      <c r="L27" s="51">
        <f>'дод. 2'!M73</f>
        <v>0</v>
      </c>
      <c r="M27" s="51">
        <f>'дод. 2'!N73</f>
        <v>4630000</v>
      </c>
      <c r="N27" s="51">
        <f>'дод. 2'!O73</f>
        <v>4630000</v>
      </c>
      <c r="O27" s="51">
        <f>'дод. 2'!P73</f>
        <v>14282000</v>
      </c>
      <c r="P27" s="289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</row>
    <row r="28" spans="1:35" ht="33" customHeight="1">
      <c r="A28" s="5" t="s">
        <v>184</v>
      </c>
      <c r="B28" s="5" t="s">
        <v>95</v>
      </c>
      <c r="C28" s="18" t="s">
        <v>581</v>
      </c>
      <c r="D28" s="51">
        <f>'дод. 2'!E74</f>
        <v>2805917</v>
      </c>
      <c r="E28" s="51">
        <f>'дод. 2'!F74</f>
        <v>2805917</v>
      </c>
      <c r="F28" s="51">
        <f>'дод. 2'!G74</f>
        <v>2181762</v>
      </c>
      <c r="G28" s="51">
        <f>'дод. 2'!H74</f>
        <v>103210</v>
      </c>
      <c r="H28" s="51">
        <f>'дод. 2'!I74</f>
        <v>0</v>
      </c>
      <c r="I28" s="51">
        <f>'дод. 2'!J74</f>
        <v>13000</v>
      </c>
      <c r="J28" s="51">
        <f>'дод. 2'!K74</f>
        <v>0</v>
      </c>
      <c r="K28" s="51">
        <f>'дод. 2'!L74</f>
        <v>0</v>
      </c>
      <c r="L28" s="51">
        <f>'дод. 2'!M74</f>
        <v>0</v>
      </c>
      <c r="M28" s="51">
        <f>'дод. 2'!N74</f>
        <v>13000</v>
      </c>
      <c r="N28" s="51">
        <f>'дод. 2'!O74</f>
        <v>13000</v>
      </c>
      <c r="O28" s="51">
        <f>'дод. 2'!P74</f>
        <v>2818917</v>
      </c>
      <c r="P28" s="289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</row>
    <row r="29" spans="1:35" ht="25.5" customHeight="1">
      <c r="A29" s="5" t="s">
        <v>358</v>
      </c>
      <c r="B29" s="5"/>
      <c r="C29" s="18" t="s">
        <v>356</v>
      </c>
      <c r="D29" s="51">
        <f>D31+D33</f>
        <v>7171123</v>
      </c>
      <c r="E29" s="51">
        <f aca="true" t="shared" si="3" ref="E29:O29">E31+E33</f>
        <v>7171123</v>
      </c>
      <c r="F29" s="51">
        <f t="shared" si="3"/>
        <v>5051740</v>
      </c>
      <c r="G29" s="51">
        <f t="shared" si="3"/>
        <v>460470</v>
      </c>
      <c r="H29" s="51">
        <f t="shared" si="3"/>
        <v>0</v>
      </c>
      <c r="I29" s="51">
        <f t="shared" si="3"/>
        <v>287950</v>
      </c>
      <c r="J29" s="51">
        <f t="shared" si="3"/>
        <v>0</v>
      </c>
      <c r="K29" s="51">
        <f t="shared" si="3"/>
        <v>0</v>
      </c>
      <c r="L29" s="51">
        <f t="shared" si="3"/>
        <v>0</v>
      </c>
      <c r="M29" s="51">
        <f t="shared" si="3"/>
        <v>287950</v>
      </c>
      <c r="N29" s="51">
        <f t="shared" si="3"/>
        <v>287950</v>
      </c>
      <c r="O29" s="51">
        <f t="shared" si="3"/>
        <v>7459073</v>
      </c>
      <c r="P29" s="289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</row>
    <row r="30" spans="2:35" ht="25.5" customHeight="1">
      <c r="B30" s="5"/>
      <c r="C30" s="13" t="s">
        <v>416</v>
      </c>
      <c r="D30" s="51">
        <f>D32</f>
        <v>0</v>
      </c>
      <c r="E30" s="51">
        <f aca="true" t="shared" si="4" ref="E30:O30">E32</f>
        <v>0</v>
      </c>
      <c r="F30" s="51">
        <f t="shared" si="4"/>
        <v>0</v>
      </c>
      <c r="G30" s="51">
        <f t="shared" si="4"/>
        <v>0</v>
      </c>
      <c r="H30" s="51">
        <f t="shared" si="4"/>
        <v>0</v>
      </c>
      <c r="I30" s="51">
        <f t="shared" si="4"/>
        <v>107950</v>
      </c>
      <c r="J30" s="51">
        <f t="shared" si="4"/>
        <v>0</v>
      </c>
      <c r="K30" s="51">
        <f t="shared" si="4"/>
        <v>0</v>
      </c>
      <c r="L30" s="51">
        <f t="shared" si="4"/>
        <v>0</v>
      </c>
      <c r="M30" s="51">
        <f t="shared" si="4"/>
        <v>107950</v>
      </c>
      <c r="N30" s="51">
        <f t="shared" si="4"/>
        <v>107950</v>
      </c>
      <c r="O30" s="51">
        <f t="shared" si="4"/>
        <v>107950</v>
      </c>
      <c r="P30" s="289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</row>
    <row r="31" spans="1:35" s="8" customFormat="1" ht="36" customHeight="1">
      <c r="A31" s="7" t="s">
        <v>444</v>
      </c>
      <c r="B31" s="7" t="s">
        <v>95</v>
      </c>
      <c r="C31" s="40" t="s">
        <v>446</v>
      </c>
      <c r="D31" s="52">
        <f>'дод. 2'!E77</f>
        <v>7095323</v>
      </c>
      <c r="E31" s="52">
        <f>'дод. 2'!F77</f>
        <v>7095323</v>
      </c>
      <c r="F31" s="52">
        <f>'дод. 2'!G77</f>
        <v>5051740</v>
      </c>
      <c r="G31" s="52">
        <f>'дод. 2'!H77</f>
        <v>460470</v>
      </c>
      <c r="H31" s="52">
        <f>'дод. 2'!I77</f>
        <v>0</v>
      </c>
      <c r="I31" s="52">
        <f>'дод. 2'!J77</f>
        <v>287950</v>
      </c>
      <c r="J31" s="52">
        <f>'дод. 2'!K77</f>
        <v>0</v>
      </c>
      <c r="K31" s="52">
        <f>'дод. 2'!L77</f>
        <v>0</v>
      </c>
      <c r="L31" s="52">
        <f>'дод. 2'!M77</f>
        <v>0</v>
      </c>
      <c r="M31" s="52">
        <f>'дод. 2'!N77</f>
        <v>287950</v>
      </c>
      <c r="N31" s="52">
        <f>'дод. 2'!O77</f>
        <v>287950</v>
      </c>
      <c r="O31" s="52">
        <f>'дод. 2'!P77</f>
        <v>7383273</v>
      </c>
      <c r="P31" s="289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</row>
    <row r="32" spans="1:35" s="8" customFormat="1" ht="21" customHeight="1">
      <c r="A32" s="7"/>
      <c r="B32" s="7"/>
      <c r="C32" s="14" t="s">
        <v>416</v>
      </c>
      <c r="D32" s="52">
        <f>'дод. 2'!E78</f>
        <v>0</v>
      </c>
      <c r="E32" s="52">
        <f>'дод. 2'!F78</f>
        <v>0</v>
      </c>
      <c r="F32" s="52">
        <f>'дод. 2'!G78</f>
        <v>0</v>
      </c>
      <c r="G32" s="52">
        <f>'дод. 2'!H78</f>
        <v>0</v>
      </c>
      <c r="H32" s="52">
        <f>'дод. 2'!I78</f>
        <v>0</v>
      </c>
      <c r="I32" s="52">
        <f>'дод. 2'!J78</f>
        <v>107950</v>
      </c>
      <c r="J32" s="52">
        <f>'дод. 2'!K78</f>
        <v>0</v>
      </c>
      <c r="K32" s="52">
        <f>'дод. 2'!L78</f>
        <v>0</v>
      </c>
      <c r="L32" s="52">
        <f>'дод. 2'!M78</f>
        <v>0</v>
      </c>
      <c r="M32" s="52">
        <f>'дод. 2'!N78</f>
        <v>107950</v>
      </c>
      <c r="N32" s="52">
        <f>'дод. 2'!O78</f>
        <v>107950</v>
      </c>
      <c r="O32" s="52">
        <f>'дод. 2'!P78</f>
        <v>107950</v>
      </c>
      <c r="P32" s="289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</row>
    <row r="33" spans="1:35" s="8" customFormat="1" ht="25.5" customHeight="1">
      <c r="A33" s="7" t="s">
        <v>445</v>
      </c>
      <c r="B33" s="7" t="s">
        <v>95</v>
      </c>
      <c r="C33" s="40" t="s">
        <v>447</v>
      </c>
      <c r="D33" s="52">
        <f>'дод. 2'!E79</f>
        <v>75800</v>
      </c>
      <c r="E33" s="52">
        <f>'дод. 2'!F79</f>
        <v>75800</v>
      </c>
      <c r="F33" s="52">
        <f>'дод. 2'!G79</f>
        <v>0</v>
      </c>
      <c r="G33" s="52">
        <f>'дод. 2'!H79</f>
        <v>0</v>
      </c>
      <c r="H33" s="52">
        <f>'дод. 2'!I79</f>
        <v>0</v>
      </c>
      <c r="I33" s="52">
        <f>'дод. 2'!J79</f>
        <v>0</v>
      </c>
      <c r="J33" s="52">
        <f>'дод. 2'!K79</f>
        <v>0</v>
      </c>
      <c r="K33" s="52">
        <f>'дод. 2'!L79</f>
        <v>0</v>
      </c>
      <c r="L33" s="52">
        <f>'дод. 2'!M79</f>
        <v>0</v>
      </c>
      <c r="M33" s="52">
        <f>'дод. 2'!N79</f>
        <v>0</v>
      </c>
      <c r="N33" s="52">
        <f>'дод. 2'!O79</f>
        <v>0</v>
      </c>
      <c r="O33" s="52">
        <f>'дод. 2'!P79</f>
        <v>75800</v>
      </c>
      <c r="P33" s="289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</row>
    <row r="34" spans="1:35" s="21" customFormat="1" ht="23.25" customHeight="1">
      <c r="A34" s="22" t="s">
        <v>96</v>
      </c>
      <c r="B34" s="34"/>
      <c r="C34" s="39" t="s">
        <v>97</v>
      </c>
      <c r="D34" s="55">
        <f>D36+D38+D40+D42+D44+D50+D56</f>
        <v>329308066</v>
      </c>
      <c r="E34" s="55">
        <f aca="true" t="shared" si="5" ref="E34:O34">E36+E38+E40+E42+E44+E50+E56</f>
        <v>329308066</v>
      </c>
      <c r="F34" s="55">
        <f t="shared" si="5"/>
        <v>0</v>
      </c>
      <c r="G34" s="55">
        <f t="shared" si="5"/>
        <v>0</v>
      </c>
      <c r="H34" s="55">
        <f t="shared" si="5"/>
        <v>0</v>
      </c>
      <c r="I34" s="55">
        <f t="shared" si="5"/>
        <v>49081254</v>
      </c>
      <c r="J34" s="55">
        <f t="shared" si="5"/>
        <v>16983749</v>
      </c>
      <c r="K34" s="55">
        <f t="shared" si="5"/>
        <v>0</v>
      </c>
      <c r="L34" s="55">
        <f t="shared" si="5"/>
        <v>0</v>
      </c>
      <c r="M34" s="55">
        <f t="shared" si="5"/>
        <v>32097505</v>
      </c>
      <c r="N34" s="55">
        <f t="shared" si="5"/>
        <v>32097505</v>
      </c>
      <c r="O34" s="55">
        <f t="shared" si="5"/>
        <v>378389320</v>
      </c>
      <c r="P34" s="289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</row>
    <row r="35" spans="1:35" s="21" customFormat="1" ht="23.25" customHeight="1">
      <c r="A35" s="22"/>
      <c r="B35" s="34"/>
      <c r="C35" s="11" t="s">
        <v>416</v>
      </c>
      <c r="D35" s="55">
        <f aca="true" t="shared" si="6" ref="D35:O35">D37+D39+D41+D43+D45+D57+D51</f>
        <v>239913470</v>
      </c>
      <c r="E35" s="55">
        <f t="shared" si="6"/>
        <v>239913470</v>
      </c>
      <c r="F35" s="55">
        <f t="shared" si="6"/>
        <v>0</v>
      </c>
      <c r="G35" s="55">
        <f t="shared" si="6"/>
        <v>0</v>
      </c>
      <c r="H35" s="55">
        <f t="shared" si="6"/>
        <v>0</v>
      </c>
      <c r="I35" s="55">
        <f t="shared" si="6"/>
        <v>0</v>
      </c>
      <c r="J35" s="55">
        <f t="shared" si="6"/>
        <v>0</v>
      </c>
      <c r="K35" s="55">
        <f t="shared" si="6"/>
        <v>0</v>
      </c>
      <c r="L35" s="55">
        <f t="shared" si="6"/>
        <v>0</v>
      </c>
      <c r="M35" s="55">
        <f t="shared" si="6"/>
        <v>0</v>
      </c>
      <c r="N35" s="55">
        <f t="shared" si="6"/>
        <v>0</v>
      </c>
      <c r="O35" s="55">
        <f t="shared" si="6"/>
        <v>239913470</v>
      </c>
      <c r="P35" s="289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</row>
    <row r="36" spans="1:35" ht="31.5">
      <c r="A36" s="5" t="s">
        <v>98</v>
      </c>
      <c r="B36" s="5" t="s">
        <v>99</v>
      </c>
      <c r="C36" s="18" t="s">
        <v>53</v>
      </c>
      <c r="D36" s="51">
        <f>'дод. 2'!E97</f>
        <v>229074953</v>
      </c>
      <c r="E36" s="51">
        <f>'дод. 2'!F97</f>
        <v>229074953</v>
      </c>
      <c r="F36" s="51">
        <f>'дод. 2'!G97</f>
        <v>0</v>
      </c>
      <c r="G36" s="51">
        <f>'дод. 2'!H97</f>
        <v>0</v>
      </c>
      <c r="H36" s="51">
        <f>'дод. 2'!I97</f>
        <v>0</v>
      </c>
      <c r="I36" s="51">
        <f>'дод. 2'!J97</f>
        <v>39809769</v>
      </c>
      <c r="J36" s="51">
        <f>'дод. 2'!K97</f>
        <v>11318360</v>
      </c>
      <c r="K36" s="51">
        <f>'дод. 2'!L97</f>
        <v>0</v>
      </c>
      <c r="L36" s="51">
        <f>'дод. 2'!M97</f>
        <v>0</v>
      </c>
      <c r="M36" s="51">
        <f>'дод. 2'!N97</f>
        <v>28491409</v>
      </c>
      <c r="N36" s="51">
        <f>'дод. 2'!O97</f>
        <v>28491409</v>
      </c>
      <c r="O36" s="51">
        <f>'дод. 2'!P97</f>
        <v>268884722</v>
      </c>
      <c r="P36" s="289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</row>
    <row r="37" spans="2:35" ht="15.75" customHeight="1">
      <c r="B37" s="5"/>
      <c r="C37" s="13" t="s">
        <v>416</v>
      </c>
      <c r="D37" s="51">
        <f>'дод. 2'!E98</f>
        <v>155879126</v>
      </c>
      <c r="E37" s="51">
        <f>'дод. 2'!F98</f>
        <v>155879126</v>
      </c>
      <c r="F37" s="51">
        <f>'дод. 2'!G98</f>
        <v>0</v>
      </c>
      <c r="G37" s="51">
        <f>'дод. 2'!H98</f>
        <v>0</v>
      </c>
      <c r="H37" s="51">
        <f>'дод. 2'!I98</f>
        <v>0</v>
      </c>
      <c r="I37" s="51">
        <f>'дод. 2'!J98</f>
        <v>0</v>
      </c>
      <c r="J37" s="51">
        <f>'дод. 2'!K98</f>
        <v>0</v>
      </c>
      <c r="K37" s="51">
        <f>'дод. 2'!L98</f>
        <v>0</v>
      </c>
      <c r="L37" s="51">
        <f>'дод. 2'!M98</f>
        <v>0</v>
      </c>
      <c r="M37" s="51">
        <f>'дод. 2'!N98</f>
        <v>0</v>
      </c>
      <c r="N37" s="51">
        <f>'дод. 2'!O98</f>
        <v>0</v>
      </c>
      <c r="O37" s="51">
        <f>'дод. 2'!P98</f>
        <v>155879126</v>
      </c>
      <c r="P37" s="289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</row>
    <row r="38" spans="1:35" ht="42.75" customHeight="1">
      <c r="A38" s="5" t="s">
        <v>185</v>
      </c>
      <c r="B38" s="5" t="s">
        <v>100</v>
      </c>
      <c r="C38" s="18" t="s">
        <v>186</v>
      </c>
      <c r="D38" s="51">
        <f>'дод. 2'!E99</f>
        <v>34056517</v>
      </c>
      <c r="E38" s="51">
        <f>'дод. 2'!F99</f>
        <v>34056517</v>
      </c>
      <c r="F38" s="51">
        <f>'дод. 2'!G99</f>
        <v>0</v>
      </c>
      <c r="G38" s="51">
        <f>'дод. 2'!H99</f>
        <v>0</v>
      </c>
      <c r="H38" s="51">
        <f>'дод. 2'!I99</f>
        <v>0</v>
      </c>
      <c r="I38" s="51">
        <f>'дод. 2'!J99</f>
        <v>157300</v>
      </c>
      <c r="J38" s="51">
        <f>'дод. 2'!K99</f>
        <v>27300</v>
      </c>
      <c r="K38" s="51">
        <f>'дод. 2'!L99</f>
        <v>0</v>
      </c>
      <c r="L38" s="51">
        <f>'дод. 2'!M99</f>
        <v>0</v>
      </c>
      <c r="M38" s="51">
        <f>'дод. 2'!N99</f>
        <v>130000</v>
      </c>
      <c r="N38" s="51">
        <f>'дод. 2'!O99</f>
        <v>130000</v>
      </c>
      <c r="O38" s="51">
        <f>'дод. 2'!P99</f>
        <v>34213817</v>
      </c>
      <c r="P38" s="287">
        <v>17</v>
      </c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</row>
    <row r="39" spans="2:35" ht="24" customHeight="1">
      <c r="B39" s="5"/>
      <c r="C39" s="13" t="s">
        <v>416</v>
      </c>
      <c r="D39" s="51">
        <f>'дод. 2'!E100</f>
        <v>24253709</v>
      </c>
      <c r="E39" s="51">
        <f>'дод. 2'!F100</f>
        <v>24253709</v>
      </c>
      <c r="F39" s="51">
        <f>'дод. 2'!G100</f>
        <v>0</v>
      </c>
      <c r="G39" s="51">
        <f>'дод. 2'!H100</f>
        <v>0</v>
      </c>
      <c r="H39" s="51">
        <f>'дод. 2'!I100</f>
        <v>0</v>
      </c>
      <c r="I39" s="51">
        <f>'дод. 2'!J100</f>
        <v>0</v>
      </c>
      <c r="J39" s="51">
        <f>'дод. 2'!K100</f>
        <v>0</v>
      </c>
      <c r="K39" s="51">
        <f>'дод. 2'!L100</f>
        <v>0</v>
      </c>
      <c r="L39" s="51">
        <f>'дод. 2'!M100</f>
        <v>0</v>
      </c>
      <c r="M39" s="51">
        <f>'дод. 2'!N100</f>
        <v>0</v>
      </c>
      <c r="N39" s="51">
        <f>'дод. 2'!O100</f>
        <v>0</v>
      </c>
      <c r="O39" s="51">
        <f>'дод. 2'!P100</f>
        <v>24253709</v>
      </c>
      <c r="P39" s="287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</row>
    <row r="40" spans="1:35" ht="33" customHeight="1">
      <c r="A40" s="5" t="s">
        <v>187</v>
      </c>
      <c r="B40" s="5" t="s">
        <v>101</v>
      </c>
      <c r="C40" s="18" t="s">
        <v>495</v>
      </c>
      <c r="D40" s="51">
        <f>'дод. 2'!E101</f>
        <v>1058928</v>
      </c>
      <c r="E40" s="51">
        <f>'дод. 2'!F101</f>
        <v>1058928</v>
      </c>
      <c r="F40" s="51">
        <f>'дод. 2'!G101</f>
        <v>0</v>
      </c>
      <c r="G40" s="51">
        <f>'дод. 2'!H101</f>
        <v>0</v>
      </c>
      <c r="H40" s="51">
        <f>'дод. 2'!I101</f>
        <v>0</v>
      </c>
      <c r="I40" s="51">
        <f>'дод. 2'!J101</f>
        <v>412100</v>
      </c>
      <c r="J40" s="51">
        <f>'дод. 2'!K101</f>
        <v>412100</v>
      </c>
      <c r="K40" s="51">
        <f>'дод. 2'!L101</f>
        <v>0</v>
      </c>
      <c r="L40" s="51">
        <f>'дод. 2'!M101</f>
        <v>0</v>
      </c>
      <c r="M40" s="51">
        <f>'дод. 2'!N101</f>
        <v>0</v>
      </c>
      <c r="N40" s="51">
        <f>'дод. 2'!O101</f>
        <v>0</v>
      </c>
      <c r="O40" s="51">
        <f>'дод. 2'!P101</f>
        <v>1471028</v>
      </c>
      <c r="P40" s="287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</row>
    <row r="41" spans="2:35" ht="27" customHeight="1">
      <c r="B41" s="5"/>
      <c r="C41" s="13" t="s">
        <v>416</v>
      </c>
      <c r="D41" s="51">
        <f>'дод. 2'!E102</f>
        <v>925907</v>
      </c>
      <c r="E41" s="51">
        <f>'дод. 2'!F102</f>
        <v>925907</v>
      </c>
      <c r="F41" s="51">
        <f>'дод. 2'!G102</f>
        <v>0</v>
      </c>
      <c r="G41" s="51">
        <f>'дод. 2'!H102</f>
        <v>0</v>
      </c>
      <c r="H41" s="51">
        <f>'дод. 2'!I102</f>
        <v>0</v>
      </c>
      <c r="I41" s="51">
        <f>'дод. 2'!J102</f>
        <v>0</v>
      </c>
      <c r="J41" s="51">
        <f>'дод. 2'!K102</f>
        <v>0</v>
      </c>
      <c r="K41" s="51">
        <f>'дод. 2'!L102</f>
        <v>0</v>
      </c>
      <c r="L41" s="51">
        <f>'дод. 2'!M102</f>
        <v>0</v>
      </c>
      <c r="M41" s="51">
        <f>'дод. 2'!N102</f>
        <v>0</v>
      </c>
      <c r="N41" s="51">
        <f>'дод. 2'!O102</f>
        <v>0</v>
      </c>
      <c r="O41" s="51">
        <f>'дод. 2'!P102</f>
        <v>925907</v>
      </c>
      <c r="P41" s="287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</row>
    <row r="42" spans="1:35" ht="25.5" customHeight="1">
      <c r="A42" s="5" t="s">
        <v>188</v>
      </c>
      <c r="B42" s="5" t="s">
        <v>102</v>
      </c>
      <c r="C42" s="18" t="s">
        <v>189</v>
      </c>
      <c r="D42" s="51">
        <f>'дод. 2'!E103</f>
        <v>6369842</v>
      </c>
      <c r="E42" s="51">
        <f>'дод. 2'!F103</f>
        <v>6369842</v>
      </c>
      <c r="F42" s="51">
        <f>'дод. 2'!G103</f>
        <v>0</v>
      </c>
      <c r="G42" s="51">
        <f>'дод. 2'!H103</f>
        <v>0</v>
      </c>
      <c r="H42" s="51">
        <f>'дод. 2'!I103</f>
        <v>0</v>
      </c>
      <c r="I42" s="51">
        <f>'дод. 2'!J103</f>
        <v>5058989</v>
      </c>
      <c r="J42" s="51">
        <f>'дод. 2'!K103</f>
        <v>5058989</v>
      </c>
      <c r="K42" s="51">
        <f>'дод. 2'!L103</f>
        <v>0</v>
      </c>
      <c r="L42" s="51">
        <f>'дод. 2'!M103</f>
        <v>0</v>
      </c>
      <c r="M42" s="51">
        <f>'дод. 2'!N103</f>
        <v>0</v>
      </c>
      <c r="N42" s="51">
        <f>'дод. 2'!O103</f>
        <v>0</v>
      </c>
      <c r="O42" s="51">
        <f>'дод. 2'!P103</f>
        <v>11428831</v>
      </c>
      <c r="P42" s="287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</row>
    <row r="43" spans="2:35" ht="25.5" customHeight="1">
      <c r="B43" s="5"/>
      <c r="C43" s="13" t="s">
        <v>416</v>
      </c>
      <c r="D43" s="51">
        <f>'дод. 2'!E104</f>
        <v>5240025</v>
      </c>
      <c r="E43" s="51">
        <f>'дод. 2'!F104</f>
        <v>5240025</v>
      </c>
      <c r="F43" s="51">
        <f>'дод. 2'!G104</f>
        <v>0</v>
      </c>
      <c r="G43" s="51">
        <f>'дод. 2'!H104</f>
        <v>0</v>
      </c>
      <c r="H43" s="51">
        <f>'дод. 2'!I104</f>
        <v>0</v>
      </c>
      <c r="I43" s="51">
        <f>'дод. 2'!J104</f>
        <v>0</v>
      </c>
      <c r="J43" s="51">
        <f>'дод. 2'!K104</f>
        <v>0</v>
      </c>
      <c r="K43" s="51">
        <f>'дод. 2'!L104</f>
        <v>0</v>
      </c>
      <c r="L43" s="51">
        <f>'дод. 2'!M104</f>
        <v>0</v>
      </c>
      <c r="M43" s="51">
        <f>'дод. 2'!N104</f>
        <v>0</v>
      </c>
      <c r="N43" s="51">
        <f>'дод. 2'!O104</f>
        <v>0</v>
      </c>
      <c r="O43" s="51">
        <f>'дод. 2'!P104</f>
        <v>5240025</v>
      </c>
      <c r="P43" s="287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</row>
    <row r="44" spans="1:35" ht="22.5" customHeight="1">
      <c r="A44" s="5" t="s">
        <v>190</v>
      </c>
      <c r="B44" s="5"/>
      <c r="C44" s="41" t="s">
        <v>496</v>
      </c>
      <c r="D44" s="51">
        <f>D46+D48</f>
        <v>37677378</v>
      </c>
      <c r="E44" s="51">
        <f aca="true" t="shared" si="7" ref="E44:O44">E46+E48</f>
        <v>37677378</v>
      </c>
      <c r="F44" s="51">
        <f t="shared" si="7"/>
        <v>0</v>
      </c>
      <c r="G44" s="51">
        <f t="shared" si="7"/>
        <v>0</v>
      </c>
      <c r="H44" s="51">
        <f t="shared" si="7"/>
        <v>0</v>
      </c>
      <c r="I44" s="51">
        <f t="shared" si="7"/>
        <v>236600</v>
      </c>
      <c r="J44" s="51">
        <f t="shared" si="7"/>
        <v>167000</v>
      </c>
      <c r="K44" s="51">
        <f t="shared" si="7"/>
        <v>0</v>
      </c>
      <c r="L44" s="51">
        <f t="shared" si="7"/>
        <v>0</v>
      </c>
      <c r="M44" s="51">
        <f t="shared" si="7"/>
        <v>69600</v>
      </c>
      <c r="N44" s="51">
        <f t="shared" si="7"/>
        <v>69600</v>
      </c>
      <c r="O44" s="51">
        <f t="shared" si="7"/>
        <v>37913978</v>
      </c>
      <c r="P44" s="287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</row>
    <row r="45" spans="2:35" ht="22.5" customHeight="1">
      <c r="B45" s="5"/>
      <c r="C45" s="13" t="s">
        <v>416</v>
      </c>
      <c r="D45" s="51">
        <f>D47+D49</f>
        <v>35777500</v>
      </c>
      <c r="E45" s="51">
        <f aca="true" t="shared" si="8" ref="E45:O45">E47+E49</f>
        <v>35777500</v>
      </c>
      <c r="F45" s="51">
        <f t="shared" si="8"/>
        <v>0</v>
      </c>
      <c r="G45" s="51">
        <f t="shared" si="8"/>
        <v>0</v>
      </c>
      <c r="H45" s="51">
        <f t="shared" si="8"/>
        <v>0</v>
      </c>
      <c r="I45" s="51">
        <f t="shared" si="8"/>
        <v>0</v>
      </c>
      <c r="J45" s="51">
        <f t="shared" si="8"/>
        <v>0</v>
      </c>
      <c r="K45" s="51">
        <f t="shared" si="8"/>
        <v>0</v>
      </c>
      <c r="L45" s="51">
        <f t="shared" si="8"/>
        <v>0</v>
      </c>
      <c r="M45" s="51">
        <f t="shared" si="8"/>
        <v>0</v>
      </c>
      <c r="N45" s="51">
        <f t="shared" si="8"/>
        <v>0</v>
      </c>
      <c r="O45" s="51">
        <f t="shared" si="8"/>
        <v>35777500</v>
      </c>
      <c r="P45" s="287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</row>
    <row r="46" spans="1:35" s="8" customFormat="1" ht="54" customHeight="1">
      <c r="A46" s="7" t="s">
        <v>191</v>
      </c>
      <c r="B46" s="7" t="s">
        <v>497</v>
      </c>
      <c r="C46" s="40" t="s">
        <v>192</v>
      </c>
      <c r="D46" s="52">
        <f>'дод. 2'!E107</f>
        <v>9014905</v>
      </c>
      <c r="E46" s="52">
        <f>'дод. 2'!F107</f>
        <v>9014905</v>
      </c>
      <c r="F46" s="52">
        <f>'дод. 2'!G107</f>
        <v>0</v>
      </c>
      <c r="G46" s="52">
        <f>'дод. 2'!H107</f>
        <v>0</v>
      </c>
      <c r="H46" s="52">
        <f>'дод. 2'!I107</f>
        <v>0</v>
      </c>
      <c r="I46" s="52">
        <f>'дод. 2'!J107</f>
        <v>202000</v>
      </c>
      <c r="J46" s="52">
        <f>'дод. 2'!K107</f>
        <v>167000</v>
      </c>
      <c r="K46" s="52">
        <f>'дод. 2'!L107</f>
        <v>0</v>
      </c>
      <c r="L46" s="52">
        <f>'дод. 2'!M107</f>
        <v>0</v>
      </c>
      <c r="M46" s="52">
        <f>'дод. 2'!N107</f>
        <v>35000</v>
      </c>
      <c r="N46" s="52">
        <f>'дод. 2'!O107</f>
        <v>35000</v>
      </c>
      <c r="O46" s="52">
        <f>'дод. 2'!P107</f>
        <v>9216905</v>
      </c>
      <c r="P46" s="287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</row>
    <row r="47" spans="1:35" s="8" customFormat="1" ht="21.75" customHeight="1">
      <c r="A47" s="7"/>
      <c r="B47" s="7"/>
      <c r="C47" s="14" t="s">
        <v>416</v>
      </c>
      <c r="D47" s="52">
        <f>'дод. 2'!E108</f>
        <v>8129599</v>
      </c>
      <c r="E47" s="52">
        <f>'дод. 2'!F108</f>
        <v>8129599</v>
      </c>
      <c r="F47" s="52">
        <f>'дод. 2'!G108</f>
        <v>0</v>
      </c>
      <c r="G47" s="52">
        <f>'дод. 2'!H108</f>
        <v>0</v>
      </c>
      <c r="H47" s="52">
        <f>'дод. 2'!I108</f>
        <v>0</v>
      </c>
      <c r="I47" s="52">
        <f>'дод. 2'!J108</f>
        <v>0</v>
      </c>
      <c r="J47" s="52">
        <f>'дод. 2'!K108</f>
        <v>0</v>
      </c>
      <c r="K47" s="52">
        <f>'дод. 2'!L108</f>
        <v>0</v>
      </c>
      <c r="L47" s="52">
        <f>'дод. 2'!M108</f>
        <v>0</v>
      </c>
      <c r="M47" s="52">
        <f>'дод. 2'!N108</f>
        <v>0</v>
      </c>
      <c r="N47" s="52">
        <f>'дод. 2'!O108</f>
        <v>0</v>
      </c>
      <c r="O47" s="52">
        <f>'дод. 2'!P108</f>
        <v>8129599</v>
      </c>
      <c r="P47" s="287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</row>
    <row r="48" spans="1:35" s="8" customFormat="1" ht="52.5" customHeight="1">
      <c r="A48" s="7" t="s">
        <v>584</v>
      </c>
      <c r="B48" s="7" t="s">
        <v>101</v>
      </c>
      <c r="C48" s="40" t="s">
        <v>582</v>
      </c>
      <c r="D48" s="52">
        <f>'дод. 2'!E109</f>
        <v>28662473</v>
      </c>
      <c r="E48" s="52">
        <f>'дод. 2'!F109</f>
        <v>28662473</v>
      </c>
      <c r="F48" s="52">
        <f>'дод. 2'!G109</f>
        <v>0</v>
      </c>
      <c r="G48" s="52">
        <f>'дод. 2'!H109</f>
        <v>0</v>
      </c>
      <c r="H48" s="52">
        <f>'дод. 2'!I109</f>
        <v>0</v>
      </c>
      <c r="I48" s="52">
        <f>'дод. 2'!J109</f>
        <v>34600</v>
      </c>
      <c r="J48" s="52">
        <f>'дод. 2'!K109</f>
        <v>0</v>
      </c>
      <c r="K48" s="52">
        <f>'дод. 2'!L109</f>
        <v>0</v>
      </c>
      <c r="L48" s="52">
        <f>'дод. 2'!M109</f>
        <v>0</v>
      </c>
      <c r="M48" s="52">
        <f>'дод. 2'!N109</f>
        <v>34600</v>
      </c>
      <c r="N48" s="52">
        <f>'дод. 2'!O109</f>
        <v>34600</v>
      </c>
      <c r="O48" s="52">
        <f>'дод. 2'!P109</f>
        <v>28697073</v>
      </c>
      <c r="P48" s="287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</row>
    <row r="49" spans="1:35" s="8" customFormat="1" ht="21.75" customHeight="1">
      <c r="A49" s="7"/>
      <c r="B49" s="7"/>
      <c r="C49" s="14" t="s">
        <v>416</v>
      </c>
      <c r="D49" s="52">
        <f>'дод. 2'!E110</f>
        <v>27647901</v>
      </c>
      <c r="E49" s="52">
        <f>'дод. 2'!F110</f>
        <v>27647901</v>
      </c>
      <c r="F49" s="52">
        <f>'дод. 2'!G110</f>
        <v>0</v>
      </c>
      <c r="G49" s="52">
        <f>'дод. 2'!H110</f>
        <v>0</v>
      </c>
      <c r="H49" s="52">
        <f>'дод. 2'!I110</f>
        <v>0</v>
      </c>
      <c r="I49" s="52">
        <f>'дод. 2'!J110</f>
        <v>0</v>
      </c>
      <c r="J49" s="52">
        <f>'дод. 2'!K110</f>
        <v>0</v>
      </c>
      <c r="K49" s="52">
        <f>'дод. 2'!L110</f>
        <v>0</v>
      </c>
      <c r="L49" s="52">
        <f>'дод. 2'!M110</f>
        <v>0</v>
      </c>
      <c r="M49" s="52">
        <f>'дод. 2'!N110</f>
        <v>0</v>
      </c>
      <c r="N49" s="52">
        <f>'дод. 2'!O110</f>
        <v>0</v>
      </c>
      <c r="O49" s="52">
        <f>'дод. 2'!P110</f>
        <v>27647901</v>
      </c>
      <c r="P49" s="287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</row>
    <row r="50" spans="1:35" ht="40.5" customHeight="1">
      <c r="A50" s="24">
        <v>2140</v>
      </c>
      <c r="B50" s="24"/>
      <c r="C50" s="41" t="s">
        <v>167</v>
      </c>
      <c r="D50" s="51">
        <f aca="true" t="shared" si="9" ref="D50:O50">D52+D54</f>
        <v>14043000</v>
      </c>
      <c r="E50" s="51">
        <f t="shared" si="9"/>
        <v>14043000</v>
      </c>
      <c r="F50" s="51">
        <f t="shared" si="9"/>
        <v>0</v>
      </c>
      <c r="G50" s="51">
        <f t="shared" si="9"/>
        <v>0</v>
      </c>
      <c r="H50" s="51">
        <f t="shared" si="9"/>
        <v>0</v>
      </c>
      <c r="I50" s="51">
        <f t="shared" si="9"/>
        <v>0</v>
      </c>
      <c r="J50" s="51">
        <f t="shared" si="9"/>
        <v>0</v>
      </c>
      <c r="K50" s="51">
        <f t="shared" si="9"/>
        <v>0</v>
      </c>
      <c r="L50" s="51">
        <f t="shared" si="9"/>
        <v>0</v>
      </c>
      <c r="M50" s="51">
        <f t="shared" si="9"/>
        <v>0</v>
      </c>
      <c r="N50" s="51">
        <f t="shared" si="9"/>
        <v>0</v>
      </c>
      <c r="O50" s="51">
        <f t="shared" si="9"/>
        <v>14043000</v>
      </c>
      <c r="P50" s="287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</row>
    <row r="51" spans="1:35" ht="22.5" customHeight="1">
      <c r="A51" s="24"/>
      <c r="B51" s="24"/>
      <c r="C51" s="13" t="s">
        <v>416</v>
      </c>
      <c r="D51" s="51">
        <f aca="true" t="shared" si="10" ref="D51:O51">D52+D55</f>
        <v>14043000</v>
      </c>
      <c r="E51" s="51">
        <f t="shared" si="10"/>
        <v>14043000</v>
      </c>
      <c r="F51" s="51">
        <f t="shared" si="10"/>
        <v>0</v>
      </c>
      <c r="G51" s="51">
        <f t="shared" si="10"/>
        <v>0</v>
      </c>
      <c r="H51" s="51">
        <f t="shared" si="10"/>
        <v>0</v>
      </c>
      <c r="I51" s="51">
        <f t="shared" si="10"/>
        <v>0</v>
      </c>
      <c r="J51" s="51">
        <f t="shared" si="10"/>
        <v>0</v>
      </c>
      <c r="K51" s="51">
        <f t="shared" si="10"/>
        <v>0</v>
      </c>
      <c r="L51" s="51">
        <f t="shared" si="10"/>
        <v>0</v>
      </c>
      <c r="M51" s="51">
        <f t="shared" si="10"/>
        <v>0</v>
      </c>
      <c r="N51" s="51">
        <f t="shared" si="10"/>
        <v>0</v>
      </c>
      <c r="O51" s="51">
        <f t="shared" si="10"/>
        <v>14043000</v>
      </c>
      <c r="P51" s="287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</row>
    <row r="52" spans="1:35" s="8" customFormat="1" ht="36.75" customHeight="1">
      <c r="A52" s="25">
        <v>2144</v>
      </c>
      <c r="B52" s="7" t="s">
        <v>103</v>
      </c>
      <c r="C52" s="45" t="s">
        <v>193</v>
      </c>
      <c r="D52" s="52">
        <f>'дод. 2'!E113</f>
        <v>7131500</v>
      </c>
      <c r="E52" s="52">
        <f>'дод. 2'!F113</f>
        <v>7131500</v>
      </c>
      <c r="F52" s="52">
        <f>'дод. 2'!G113</f>
        <v>0</v>
      </c>
      <c r="G52" s="52">
        <f>'дод. 2'!H113</f>
        <v>0</v>
      </c>
      <c r="H52" s="52">
        <f>'дод. 2'!I113</f>
        <v>0</v>
      </c>
      <c r="I52" s="52">
        <f>'дод. 2'!J113</f>
        <v>0</v>
      </c>
      <c r="J52" s="52">
        <f>'дод. 2'!K113</f>
        <v>0</v>
      </c>
      <c r="K52" s="52">
        <f>'дод. 2'!L113</f>
        <v>0</v>
      </c>
      <c r="L52" s="52">
        <f>'дод. 2'!M113</f>
        <v>0</v>
      </c>
      <c r="M52" s="52">
        <f>'дод. 2'!N113</f>
        <v>0</v>
      </c>
      <c r="N52" s="52">
        <f>'дод. 2'!O113</f>
        <v>0</v>
      </c>
      <c r="O52" s="52">
        <f>'дод. 2'!P113</f>
        <v>7131500</v>
      </c>
      <c r="P52" s="287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</row>
    <row r="53" spans="1:35" s="8" customFormat="1" ht="24.75" customHeight="1">
      <c r="A53" s="25"/>
      <c r="B53" s="7"/>
      <c r="C53" s="14" t="s">
        <v>416</v>
      </c>
      <c r="D53" s="52">
        <f>'дод. 2'!E114</f>
        <v>7131500</v>
      </c>
      <c r="E53" s="52">
        <f>'дод. 2'!F114</f>
        <v>7131500</v>
      </c>
      <c r="F53" s="52">
        <f>'дод. 2'!G114</f>
        <v>0</v>
      </c>
      <c r="G53" s="52">
        <f>'дод. 2'!H114</f>
        <v>0</v>
      </c>
      <c r="H53" s="52">
        <f>'дод. 2'!I114</f>
        <v>0</v>
      </c>
      <c r="I53" s="52">
        <f>'дод. 2'!J114</f>
        <v>0</v>
      </c>
      <c r="J53" s="52">
        <f>'дод. 2'!K114</f>
        <v>0</v>
      </c>
      <c r="K53" s="52">
        <f>'дод. 2'!L114</f>
        <v>0</v>
      </c>
      <c r="L53" s="52">
        <f>'дод. 2'!M114</f>
        <v>0</v>
      </c>
      <c r="M53" s="52">
        <f>'дод. 2'!N114</f>
        <v>0</v>
      </c>
      <c r="N53" s="52">
        <f>'дод. 2'!O114</f>
        <v>0</v>
      </c>
      <c r="O53" s="52">
        <f>'дод. 2'!P114</f>
        <v>7131500</v>
      </c>
      <c r="P53" s="287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</row>
    <row r="54" spans="1:35" s="8" customFormat="1" ht="32.25" customHeight="1">
      <c r="A54" s="25">
        <v>2146</v>
      </c>
      <c r="B54" s="7" t="s">
        <v>103</v>
      </c>
      <c r="C54" s="45" t="s">
        <v>513</v>
      </c>
      <c r="D54" s="52">
        <f>'дод. 2'!E115</f>
        <v>6911500</v>
      </c>
      <c r="E54" s="52">
        <f>'дод. 2'!F115</f>
        <v>6911500</v>
      </c>
      <c r="F54" s="52">
        <f>'дод. 2'!G115</f>
        <v>0</v>
      </c>
      <c r="G54" s="52">
        <f>'дод. 2'!H115</f>
        <v>0</v>
      </c>
      <c r="H54" s="52">
        <f>'дод. 2'!I115</f>
        <v>0</v>
      </c>
      <c r="I54" s="52">
        <f>'дод. 2'!J115</f>
        <v>0</v>
      </c>
      <c r="J54" s="52">
        <f>'дод. 2'!K115</f>
        <v>0</v>
      </c>
      <c r="K54" s="52">
        <f>'дод. 2'!L115</f>
        <v>0</v>
      </c>
      <c r="L54" s="52">
        <f>'дод. 2'!M115</f>
        <v>0</v>
      </c>
      <c r="M54" s="52">
        <f>'дод. 2'!N115</f>
        <v>0</v>
      </c>
      <c r="N54" s="52">
        <f>'дод. 2'!O115</f>
        <v>0</v>
      </c>
      <c r="O54" s="52">
        <f>'дод. 2'!P115</f>
        <v>6911500</v>
      </c>
      <c r="P54" s="287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</row>
    <row r="55" spans="1:35" s="8" customFormat="1" ht="24.75" customHeight="1">
      <c r="A55" s="25"/>
      <c r="B55" s="7"/>
      <c r="C55" s="14" t="s">
        <v>416</v>
      </c>
      <c r="D55" s="52">
        <f>'дод. 2'!E116</f>
        <v>6911500</v>
      </c>
      <c r="E55" s="52">
        <f>'дод. 2'!F116</f>
        <v>6911500</v>
      </c>
      <c r="F55" s="52">
        <f>'дод. 2'!G116</f>
        <v>0</v>
      </c>
      <c r="G55" s="52">
        <f>'дод. 2'!H116</f>
        <v>0</v>
      </c>
      <c r="H55" s="52">
        <f>'дод. 2'!I116</f>
        <v>0</v>
      </c>
      <c r="I55" s="52">
        <f>'дод. 2'!J116</f>
        <v>0</v>
      </c>
      <c r="J55" s="52">
        <f>'дод. 2'!K116</f>
        <v>0</v>
      </c>
      <c r="K55" s="52">
        <f>'дод. 2'!L116</f>
        <v>0</v>
      </c>
      <c r="L55" s="52">
        <f>'дод. 2'!M116</f>
        <v>0</v>
      </c>
      <c r="M55" s="52">
        <f>'дод. 2'!N116</f>
        <v>0</v>
      </c>
      <c r="N55" s="52">
        <f>'дод. 2'!O116</f>
        <v>0</v>
      </c>
      <c r="O55" s="52">
        <f>'дод. 2'!P116</f>
        <v>6911500</v>
      </c>
      <c r="P55" s="287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</row>
    <row r="56" spans="1:35" ht="35.25" customHeight="1">
      <c r="A56" s="5" t="s">
        <v>194</v>
      </c>
      <c r="B56" s="5"/>
      <c r="C56" s="18" t="s">
        <v>359</v>
      </c>
      <c r="D56" s="51">
        <f>D58+D60</f>
        <v>7027448</v>
      </c>
      <c r="E56" s="51">
        <f aca="true" t="shared" si="11" ref="E56:O56">E58+E60</f>
        <v>7027448</v>
      </c>
      <c r="F56" s="51">
        <f t="shared" si="11"/>
        <v>0</v>
      </c>
      <c r="G56" s="51">
        <f t="shared" si="11"/>
        <v>0</v>
      </c>
      <c r="H56" s="51">
        <f t="shared" si="11"/>
        <v>0</v>
      </c>
      <c r="I56" s="51">
        <f t="shared" si="11"/>
        <v>3406496</v>
      </c>
      <c r="J56" s="51">
        <f t="shared" si="11"/>
        <v>0</v>
      </c>
      <c r="K56" s="51">
        <f t="shared" si="11"/>
        <v>0</v>
      </c>
      <c r="L56" s="51">
        <f t="shared" si="11"/>
        <v>0</v>
      </c>
      <c r="M56" s="51">
        <f t="shared" si="11"/>
        <v>3406496</v>
      </c>
      <c r="N56" s="51">
        <f t="shared" si="11"/>
        <v>3406496</v>
      </c>
      <c r="O56" s="51">
        <f t="shared" si="11"/>
        <v>10433944</v>
      </c>
      <c r="P56" s="287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</row>
    <row r="57" spans="2:35" ht="21.75" customHeight="1">
      <c r="B57" s="5"/>
      <c r="C57" s="13" t="s">
        <v>416</v>
      </c>
      <c r="D57" s="51">
        <f>D59+D61</f>
        <v>3794203</v>
      </c>
      <c r="E57" s="51">
        <f aca="true" t="shared" si="12" ref="E57:O57">E59+E61</f>
        <v>3794203</v>
      </c>
      <c r="F57" s="51">
        <f t="shared" si="12"/>
        <v>0</v>
      </c>
      <c r="G57" s="51">
        <f t="shared" si="12"/>
        <v>0</v>
      </c>
      <c r="H57" s="51">
        <f t="shared" si="12"/>
        <v>0</v>
      </c>
      <c r="I57" s="51">
        <f t="shared" si="12"/>
        <v>0</v>
      </c>
      <c r="J57" s="51">
        <f t="shared" si="12"/>
        <v>0</v>
      </c>
      <c r="K57" s="51">
        <f t="shared" si="12"/>
        <v>0</v>
      </c>
      <c r="L57" s="51">
        <f t="shared" si="12"/>
        <v>0</v>
      </c>
      <c r="M57" s="51">
        <f t="shared" si="12"/>
        <v>0</v>
      </c>
      <c r="N57" s="51">
        <f t="shared" si="12"/>
        <v>0</v>
      </c>
      <c r="O57" s="51">
        <f t="shared" si="12"/>
        <v>3794203</v>
      </c>
      <c r="P57" s="287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</row>
    <row r="58" spans="1:35" s="8" customFormat="1" ht="37.5" customHeight="1">
      <c r="A58" s="7" t="s">
        <v>448</v>
      </c>
      <c r="B58" s="7" t="s">
        <v>103</v>
      </c>
      <c r="C58" s="14" t="s">
        <v>450</v>
      </c>
      <c r="D58" s="52">
        <f>'дод. 2'!E119</f>
        <v>1975455</v>
      </c>
      <c r="E58" s="52">
        <f>'дод. 2'!F119</f>
        <v>1975455</v>
      </c>
      <c r="F58" s="52">
        <f>'дод. 2'!G119</f>
        <v>0</v>
      </c>
      <c r="G58" s="52">
        <f>'дод. 2'!H119</f>
        <v>0</v>
      </c>
      <c r="H58" s="52">
        <f>'дод. 2'!I119</f>
        <v>0</v>
      </c>
      <c r="I58" s="52">
        <f>'дод. 2'!J119</f>
        <v>0</v>
      </c>
      <c r="J58" s="52">
        <f>'дод. 2'!K119</f>
        <v>0</v>
      </c>
      <c r="K58" s="52">
        <f>'дод. 2'!L119</f>
        <v>0</v>
      </c>
      <c r="L58" s="52">
        <f>'дод. 2'!M119</f>
        <v>0</v>
      </c>
      <c r="M58" s="52">
        <f>'дод. 2'!N119</f>
        <v>0</v>
      </c>
      <c r="N58" s="52">
        <f>'дод. 2'!O119</f>
        <v>0</v>
      </c>
      <c r="O58" s="52">
        <f>'дод. 2'!P119</f>
        <v>1975455</v>
      </c>
      <c r="P58" s="287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</row>
    <row r="59" spans="1:35" s="8" customFormat="1" ht="21.75" customHeight="1">
      <c r="A59" s="7"/>
      <c r="B59" s="7"/>
      <c r="C59" s="14" t="s">
        <v>416</v>
      </c>
      <c r="D59" s="52">
        <f>'дод. 2'!E120</f>
        <v>1938677</v>
      </c>
      <c r="E59" s="52">
        <f>'дод. 2'!F120</f>
        <v>1938677</v>
      </c>
      <c r="F59" s="52">
        <f>'дод. 2'!G120</f>
        <v>0</v>
      </c>
      <c r="G59" s="52">
        <f>'дод. 2'!H120</f>
        <v>0</v>
      </c>
      <c r="H59" s="52">
        <f>'дод. 2'!I120</f>
        <v>0</v>
      </c>
      <c r="I59" s="52">
        <f>'дод. 2'!J120</f>
        <v>0</v>
      </c>
      <c r="J59" s="52">
        <f>'дод. 2'!K120</f>
        <v>0</v>
      </c>
      <c r="K59" s="52">
        <f>'дод. 2'!L120</f>
        <v>0</v>
      </c>
      <c r="L59" s="52">
        <f>'дод. 2'!M120</f>
        <v>0</v>
      </c>
      <c r="M59" s="52">
        <f>'дод. 2'!N120</f>
        <v>0</v>
      </c>
      <c r="N59" s="52">
        <f>'дод. 2'!O120</f>
        <v>0</v>
      </c>
      <c r="O59" s="52">
        <f>'дод. 2'!P120</f>
        <v>1938677</v>
      </c>
      <c r="P59" s="287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</row>
    <row r="60" spans="1:35" s="8" customFormat="1" ht="21.75" customHeight="1">
      <c r="A60" s="7" t="s">
        <v>449</v>
      </c>
      <c r="B60" s="7" t="s">
        <v>103</v>
      </c>
      <c r="C60" s="14" t="s">
        <v>451</v>
      </c>
      <c r="D60" s="52">
        <f>'дод. 2'!E121</f>
        <v>5051993</v>
      </c>
      <c r="E60" s="52">
        <f>'дод. 2'!F121</f>
        <v>5051993</v>
      </c>
      <c r="F60" s="52">
        <f>'дод. 2'!G121</f>
        <v>0</v>
      </c>
      <c r="G60" s="52">
        <f>'дод. 2'!H121</f>
        <v>0</v>
      </c>
      <c r="H60" s="52">
        <f>'дод. 2'!I121</f>
        <v>0</v>
      </c>
      <c r="I60" s="52">
        <f>'дод. 2'!J121</f>
        <v>3406496</v>
      </c>
      <c r="J60" s="52">
        <f>'дод. 2'!K121</f>
        <v>0</v>
      </c>
      <c r="K60" s="52">
        <f>'дод. 2'!L121</f>
        <v>0</v>
      </c>
      <c r="L60" s="52">
        <f>'дод. 2'!M121</f>
        <v>0</v>
      </c>
      <c r="M60" s="52">
        <f>'дод. 2'!N121</f>
        <v>3406496</v>
      </c>
      <c r="N60" s="52">
        <f>'дод. 2'!O121</f>
        <v>3406496</v>
      </c>
      <c r="O60" s="52">
        <f>'дод. 2'!P121</f>
        <v>8458489</v>
      </c>
      <c r="P60" s="287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</row>
    <row r="61" spans="1:35" s="8" customFormat="1" ht="21.75" customHeight="1">
      <c r="A61" s="7"/>
      <c r="B61" s="7"/>
      <c r="C61" s="14" t="s">
        <v>416</v>
      </c>
      <c r="D61" s="52">
        <f>'дод. 2'!E122</f>
        <v>1855526</v>
      </c>
      <c r="E61" s="52">
        <f>'дод. 2'!F122</f>
        <v>1855526</v>
      </c>
      <c r="F61" s="52">
        <f>'дод. 2'!G122</f>
        <v>0</v>
      </c>
      <c r="G61" s="52">
        <f>'дод. 2'!H122</f>
        <v>0</v>
      </c>
      <c r="H61" s="52">
        <f>'дод. 2'!I122</f>
        <v>0</v>
      </c>
      <c r="I61" s="52">
        <f>'дод. 2'!J122</f>
        <v>0</v>
      </c>
      <c r="J61" s="52">
        <f>'дод. 2'!K122</f>
        <v>0</v>
      </c>
      <c r="K61" s="52">
        <f>'дод. 2'!L122</f>
        <v>0</v>
      </c>
      <c r="L61" s="52">
        <f>'дод. 2'!M122</f>
        <v>0</v>
      </c>
      <c r="M61" s="52">
        <f>'дод. 2'!N122</f>
        <v>0</v>
      </c>
      <c r="N61" s="52">
        <f>'дод. 2'!O122</f>
        <v>0</v>
      </c>
      <c r="O61" s="52">
        <f>'дод. 2'!P122</f>
        <v>1855526</v>
      </c>
      <c r="P61" s="287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</row>
    <row r="62" spans="1:35" s="21" customFormat="1" ht="34.5" customHeight="1">
      <c r="A62" s="22" t="s">
        <v>104</v>
      </c>
      <c r="B62" s="11"/>
      <c r="C62" s="11" t="s">
        <v>105</v>
      </c>
      <c r="D62" s="55">
        <f>D76+D98+D112+D114+D116+D118+D120+D121+D125+D126+D129+D130+D137+D111+D122+D64+D70+D82+D99+D135+D131</f>
        <v>1250235104.5900002</v>
      </c>
      <c r="E62" s="55">
        <f aca="true" t="shared" si="13" ref="E62:O62">E76+E98+E112+E114+E116+E118+E120+E121+E125+E126+E129+E130+E137+E111+E122+E64+E70+E82+E99+E135+E131</f>
        <v>1250235104.5900002</v>
      </c>
      <c r="F62" s="55">
        <f t="shared" si="13"/>
        <v>11813689.1</v>
      </c>
      <c r="G62" s="55">
        <f t="shared" si="13"/>
        <v>1027783</v>
      </c>
      <c r="H62" s="55">
        <f t="shared" si="13"/>
        <v>0</v>
      </c>
      <c r="I62" s="55">
        <f t="shared" si="13"/>
        <v>5910481.21</v>
      </c>
      <c r="J62" s="55">
        <f t="shared" si="13"/>
        <v>57900</v>
      </c>
      <c r="K62" s="55">
        <f t="shared" si="13"/>
        <v>44700</v>
      </c>
      <c r="L62" s="55">
        <f t="shared" si="13"/>
        <v>0</v>
      </c>
      <c r="M62" s="55">
        <f t="shared" si="13"/>
        <v>5852581.21</v>
      </c>
      <c r="N62" s="55">
        <f t="shared" si="13"/>
        <v>5852581.21</v>
      </c>
      <c r="O62" s="55">
        <f t="shared" si="13"/>
        <v>1256145585.8000002</v>
      </c>
      <c r="P62" s="28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</row>
    <row r="63" spans="1:35" s="21" customFormat="1" ht="21.75" customHeight="1">
      <c r="A63" s="22"/>
      <c r="B63" s="11"/>
      <c r="C63" s="11" t="s">
        <v>416</v>
      </c>
      <c r="D63" s="55">
        <f>D65+D71+D83+D100+D132+D136</f>
        <v>1129586900</v>
      </c>
      <c r="E63" s="55">
        <f aca="true" t="shared" si="14" ref="E63:O63">E65+E71+E83+E100+E132+E136</f>
        <v>1129586900</v>
      </c>
      <c r="F63" s="55">
        <f t="shared" si="14"/>
        <v>0</v>
      </c>
      <c r="G63" s="55">
        <f t="shared" si="14"/>
        <v>0</v>
      </c>
      <c r="H63" s="55">
        <f t="shared" si="14"/>
        <v>0</v>
      </c>
      <c r="I63" s="55">
        <f t="shared" si="14"/>
        <v>4839581.21</v>
      </c>
      <c r="J63" s="55">
        <f t="shared" si="14"/>
        <v>0</v>
      </c>
      <c r="K63" s="55">
        <f t="shared" si="14"/>
        <v>0</v>
      </c>
      <c r="L63" s="55">
        <f t="shared" si="14"/>
        <v>0</v>
      </c>
      <c r="M63" s="55">
        <f t="shared" si="14"/>
        <v>4839581.21</v>
      </c>
      <c r="N63" s="55">
        <f t="shared" si="14"/>
        <v>4839581.21</v>
      </c>
      <c r="O63" s="55">
        <f t="shared" si="14"/>
        <v>1134426481.21</v>
      </c>
      <c r="P63" s="28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</row>
    <row r="64" spans="1:35" ht="67.5" customHeight="1">
      <c r="A64" s="5" t="s">
        <v>515</v>
      </c>
      <c r="B64" s="13"/>
      <c r="C64" s="13" t="s">
        <v>521</v>
      </c>
      <c r="D64" s="51">
        <f aca="true" t="shared" si="15" ref="D64:O64">D66+D68</f>
        <v>772232100</v>
      </c>
      <c r="E64" s="51">
        <f t="shared" si="15"/>
        <v>772232100</v>
      </c>
      <c r="F64" s="51">
        <f t="shared" si="15"/>
        <v>0</v>
      </c>
      <c r="G64" s="51">
        <f t="shared" si="15"/>
        <v>0</v>
      </c>
      <c r="H64" s="51">
        <f t="shared" si="15"/>
        <v>0</v>
      </c>
      <c r="I64" s="51">
        <f t="shared" si="15"/>
        <v>0</v>
      </c>
      <c r="J64" s="51">
        <f t="shared" si="15"/>
        <v>0</v>
      </c>
      <c r="K64" s="51">
        <f t="shared" si="15"/>
        <v>0</v>
      </c>
      <c r="L64" s="51">
        <f t="shared" si="15"/>
        <v>0</v>
      </c>
      <c r="M64" s="51">
        <f t="shared" si="15"/>
        <v>0</v>
      </c>
      <c r="N64" s="51">
        <f t="shared" si="15"/>
        <v>0</v>
      </c>
      <c r="O64" s="51">
        <f t="shared" si="15"/>
        <v>772232100</v>
      </c>
      <c r="P64" s="287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</row>
    <row r="65" spans="2:35" ht="21.75" customHeight="1">
      <c r="B65" s="13"/>
      <c r="C65" s="13" t="s">
        <v>416</v>
      </c>
      <c r="D65" s="51">
        <f>D67+D69</f>
        <v>772232100</v>
      </c>
      <c r="E65" s="51">
        <f aca="true" t="shared" si="16" ref="E65:O65">E67+E69</f>
        <v>772232100</v>
      </c>
      <c r="F65" s="51">
        <f t="shared" si="16"/>
        <v>0</v>
      </c>
      <c r="G65" s="51">
        <f t="shared" si="16"/>
        <v>0</v>
      </c>
      <c r="H65" s="51">
        <f t="shared" si="16"/>
        <v>0</v>
      </c>
      <c r="I65" s="51">
        <f t="shared" si="16"/>
        <v>0</v>
      </c>
      <c r="J65" s="51">
        <f t="shared" si="16"/>
        <v>0</v>
      </c>
      <c r="K65" s="51">
        <f t="shared" si="16"/>
        <v>0</v>
      </c>
      <c r="L65" s="51">
        <f t="shared" si="16"/>
        <v>0</v>
      </c>
      <c r="M65" s="51">
        <f t="shared" si="16"/>
        <v>0</v>
      </c>
      <c r="N65" s="51">
        <f t="shared" si="16"/>
        <v>0</v>
      </c>
      <c r="O65" s="51">
        <f t="shared" si="16"/>
        <v>772232100</v>
      </c>
      <c r="P65" s="287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</row>
    <row r="66" spans="1:35" s="8" customFormat="1" ht="49.5" customHeight="1">
      <c r="A66" s="7" t="s">
        <v>516</v>
      </c>
      <c r="B66" s="143">
        <v>1030</v>
      </c>
      <c r="C66" s="14" t="s">
        <v>522</v>
      </c>
      <c r="D66" s="52">
        <f>'дод. 2'!E135</f>
        <v>66261200</v>
      </c>
      <c r="E66" s="52">
        <f>'дод. 2'!F135</f>
        <v>66261200</v>
      </c>
      <c r="F66" s="52">
        <f>'дод. 2'!G135</f>
        <v>0</v>
      </c>
      <c r="G66" s="52">
        <f>'дод. 2'!H135</f>
        <v>0</v>
      </c>
      <c r="H66" s="52">
        <f>'дод. 2'!I135</f>
        <v>0</v>
      </c>
      <c r="I66" s="52">
        <f>'дод. 2'!J135</f>
        <v>0</v>
      </c>
      <c r="J66" s="52">
        <f>'дод. 2'!K135</f>
        <v>0</v>
      </c>
      <c r="K66" s="52">
        <f>'дод. 2'!L135</f>
        <v>0</v>
      </c>
      <c r="L66" s="52">
        <f>'дод. 2'!M135</f>
        <v>0</v>
      </c>
      <c r="M66" s="52">
        <f>'дод. 2'!N135</f>
        <v>0</v>
      </c>
      <c r="N66" s="52">
        <f>'дод. 2'!O135</f>
        <v>0</v>
      </c>
      <c r="O66" s="52">
        <f>'дод. 2'!P135</f>
        <v>66261200</v>
      </c>
      <c r="P66" s="287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</row>
    <row r="67" spans="1:35" s="8" customFormat="1" ht="21.75" customHeight="1">
      <c r="A67" s="7"/>
      <c r="B67" s="143"/>
      <c r="C67" s="14" t="s">
        <v>416</v>
      </c>
      <c r="D67" s="52">
        <f>'дод. 2'!E136</f>
        <v>66261200</v>
      </c>
      <c r="E67" s="52">
        <f>'дод. 2'!F136</f>
        <v>66261200</v>
      </c>
      <c r="F67" s="52">
        <f>'дод. 2'!G136</f>
        <v>0</v>
      </c>
      <c r="G67" s="52">
        <f>'дод. 2'!H136</f>
        <v>0</v>
      </c>
      <c r="H67" s="52">
        <f>'дод. 2'!I136</f>
        <v>0</v>
      </c>
      <c r="I67" s="52">
        <f>'дод. 2'!J136</f>
        <v>0</v>
      </c>
      <c r="J67" s="52">
        <f>'дод. 2'!K136</f>
        <v>0</v>
      </c>
      <c r="K67" s="52">
        <f>'дод. 2'!L136</f>
        <v>0</v>
      </c>
      <c r="L67" s="52">
        <f>'дод. 2'!M136</f>
        <v>0</v>
      </c>
      <c r="M67" s="52">
        <f>'дод. 2'!N136</f>
        <v>0</v>
      </c>
      <c r="N67" s="52">
        <f>'дод. 2'!O136</f>
        <v>0</v>
      </c>
      <c r="O67" s="52">
        <f>'дод. 2'!P136</f>
        <v>66261200</v>
      </c>
      <c r="P67" s="287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</row>
    <row r="68" spans="1:35" s="8" customFormat="1" ht="33" customHeight="1">
      <c r="A68" s="7" t="s">
        <v>517</v>
      </c>
      <c r="B68" s="143">
        <v>1060</v>
      </c>
      <c r="C68" s="14" t="s">
        <v>523</v>
      </c>
      <c r="D68" s="52">
        <f>'дод. 2'!E137</f>
        <v>705970900</v>
      </c>
      <c r="E68" s="52">
        <f>'дод. 2'!F137</f>
        <v>705970900</v>
      </c>
      <c r="F68" s="52">
        <f>'дод. 2'!G137</f>
        <v>0</v>
      </c>
      <c r="G68" s="52">
        <f>'дод. 2'!H137</f>
        <v>0</v>
      </c>
      <c r="H68" s="52">
        <f>'дод. 2'!I137</f>
        <v>0</v>
      </c>
      <c r="I68" s="52">
        <f>'дод. 2'!J137</f>
        <v>0</v>
      </c>
      <c r="J68" s="52">
        <f>'дод. 2'!K137</f>
        <v>0</v>
      </c>
      <c r="K68" s="52">
        <f>'дод. 2'!L137</f>
        <v>0</v>
      </c>
      <c r="L68" s="52">
        <f>'дод. 2'!M137</f>
        <v>0</v>
      </c>
      <c r="M68" s="52">
        <f>'дод. 2'!N137</f>
        <v>0</v>
      </c>
      <c r="N68" s="52">
        <f>'дод. 2'!O137</f>
        <v>0</v>
      </c>
      <c r="O68" s="52">
        <f>'дод. 2'!P137</f>
        <v>705970900</v>
      </c>
      <c r="P68" s="287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</row>
    <row r="69" spans="1:35" s="8" customFormat="1" ht="21.75" customHeight="1">
      <c r="A69" s="7"/>
      <c r="B69" s="14"/>
      <c r="C69" s="14" t="s">
        <v>416</v>
      </c>
      <c r="D69" s="52">
        <f>'дод. 2'!E138</f>
        <v>705970900</v>
      </c>
      <c r="E69" s="52">
        <f>'дод. 2'!F138</f>
        <v>705970900</v>
      </c>
      <c r="F69" s="52">
        <f>'дод. 2'!G138</f>
        <v>0</v>
      </c>
      <c r="G69" s="52">
        <f>'дод. 2'!H138</f>
        <v>0</v>
      </c>
      <c r="H69" s="52">
        <f>'дод. 2'!I138</f>
        <v>0</v>
      </c>
      <c r="I69" s="52">
        <f>'дод. 2'!J138</f>
        <v>0</v>
      </c>
      <c r="J69" s="52">
        <f>'дод. 2'!K138</f>
        <v>0</v>
      </c>
      <c r="K69" s="52">
        <f>'дод. 2'!L138</f>
        <v>0</v>
      </c>
      <c r="L69" s="52">
        <f>'дод. 2'!M138</f>
        <v>0</v>
      </c>
      <c r="M69" s="52">
        <f>'дод. 2'!N138</f>
        <v>0</v>
      </c>
      <c r="N69" s="52">
        <f>'дод. 2'!O138</f>
        <v>0</v>
      </c>
      <c r="O69" s="52">
        <f>'дод. 2'!P138</f>
        <v>705970900</v>
      </c>
      <c r="P69" s="287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</row>
    <row r="70" spans="1:35" ht="52.5" customHeight="1">
      <c r="A70" s="5" t="s">
        <v>518</v>
      </c>
      <c r="B70" s="13"/>
      <c r="C70" s="13" t="s">
        <v>524</v>
      </c>
      <c r="D70" s="51">
        <f aca="true" t="shared" si="17" ref="D70:O70">D72+D74</f>
        <v>375400</v>
      </c>
      <c r="E70" s="51">
        <f t="shared" si="17"/>
        <v>375400</v>
      </c>
      <c r="F70" s="51">
        <f t="shared" si="17"/>
        <v>0</v>
      </c>
      <c r="G70" s="51">
        <f t="shared" si="17"/>
        <v>0</v>
      </c>
      <c r="H70" s="51">
        <f t="shared" si="17"/>
        <v>0</v>
      </c>
      <c r="I70" s="51">
        <f t="shared" si="17"/>
        <v>0</v>
      </c>
      <c r="J70" s="51">
        <f t="shared" si="17"/>
        <v>0</v>
      </c>
      <c r="K70" s="51">
        <f t="shared" si="17"/>
        <v>0</v>
      </c>
      <c r="L70" s="51">
        <f t="shared" si="17"/>
        <v>0</v>
      </c>
      <c r="M70" s="51">
        <f t="shared" si="17"/>
        <v>0</v>
      </c>
      <c r="N70" s="51">
        <f t="shared" si="17"/>
        <v>0</v>
      </c>
      <c r="O70" s="51">
        <f t="shared" si="17"/>
        <v>375400</v>
      </c>
      <c r="P70" s="287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</row>
    <row r="71" spans="2:35" ht="21.75" customHeight="1">
      <c r="B71" s="13"/>
      <c r="C71" s="13" t="s">
        <v>416</v>
      </c>
      <c r="D71" s="51">
        <f>D73+D75</f>
        <v>375400</v>
      </c>
      <c r="E71" s="51">
        <f aca="true" t="shared" si="18" ref="E71:O71">E73+E75</f>
        <v>375400</v>
      </c>
      <c r="F71" s="51">
        <f t="shared" si="18"/>
        <v>0</v>
      </c>
      <c r="G71" s="51">
        <f t="shared" si="18"/>
        <v>0</v>
      </c>
      <c r="H71" s="51">
        <f t="shared" si="18"/>
        <v>0</v>
      </c>
      <c r="I71" s="51">
        <f t="shared" si="18"/>
        <v>0</v>
      </c>
      <c r="J71" s="51">
        <f t="shared" si="18"/>
        <v>0</v>
      </c>
      <c r="K71" s="51">
        <f t="shared" si="18"/>
        <v>0</v>
      </c>
      <c r="L71" s="51">
        <f t="shared" si="18"/>
        <v>0</v>
      </c>
      <c r="M71" s="51">
        <f t="shared" si="18"/>
        <v>0</v>
      </c>
      <c r="N71" s="51">
        <f t="shared" si="18"/>
        <v>0</v>
      </c>
      <c r="O71" s="51">
        <f t="shared" si="18"/>
        <v>375400</v>
      </c>
      <c r="P71" s="287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</row>
    <row r="72" spans="1:35" s="8" customFormat="1" ht="64.5" customHeight="1">
      <c r="A72" s="7" t="s">
        <v>519</v>
      </c>
      <c r="B72" s="143">
        <v>1030</v>
      </c>
      <c r="C72" s="14" t="s">
        <v>525</v>
      </c>
      <c r="D72" s="52">
        <f>'дод. 2'!E141</f>
        <v>57630</v>
      </c>
      <c r="E72" s="52">
        <f>'дод. 2'!F141</f>
        <v>57630</v>
      </c>
      <c r="F72" s="52">
        <f>'дод. 2'!G141</f>
        <v>0</v>
      </c>
      <c r="G72" s="52">
        <f>'дод. 2'!H141</f>
        <v>0</v>
      </c>
      <c r="H72" s="52">
        <f>'дод. 2'!I141</f>
        <v>0</v>
      </c>
      <c r="I72" s="52">
        <f>'дод. 2'!J141</f>
        <v>0</v>
      </c>
      <c r="J72" s="52">
        <f>'дод. 2'!K141</f>
        <v>0</v>
      </c>
      <c r="K72" s="52">
        <f>'дод. 2'!L141</f>
        <v>0</v>
      </c>
      <c r="L72" s="52">
        <f>'дод. 2'!M141</f>
        <v>0</v>
      </c>
      <c r="M72" s="52">
        <f>'дод. 2'!N141</f>
        <v>0</v>
      </c>
      <c r="N72" s="52">
        <f>'дод. 2'!O141</f>
        <v>0</v>
      </c>
      <c r="O72" s="52">
        <f>'дод. 2'!P141</f>
        <v>57630</v>
      </c>
      <c r="P72" s="292">
        <v>18</v>
      </c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</row>
    <row r="73" spans="1:35" s="8" customFormat="1" ht="21.75" customHeight="1">
      <c r="A73" s="7"/>
      <c r="B73" s="14"/>
      <c r="C73" s="14" t="s">
        <v>416</v>
      </c>
      <c r="D73" s="52">
        <f>'дод. 2'!E142</f>
        <v>57630</v>
      </c>
      <c r="E73" s="52">
        <f>'дод. 2'!F142</f>
        <v>57630</v>
      </c>
      <c r="F73" s="52">
        <f>'дод. 2'!G142</f>
        <v>0</v>
      </c>
      <c r="G73" s="52">
        <f>'дод. 2'!H142</f>
        <v>0</v>
      </c>
      <c r="H73" s="52">
        <f>'дод. 2'!I142</f>
        <v>0</v>
      </c>
      <c r="I73" s="52">
        <f>'дод. 2'!J142</f>
        <v>0</v>
      </c>
      <c r="J73" s="52">
        <f>'дод. 2'!K142</f>
        <v>0</v>
      </c>
      <c r="K73" s="52">
        <f>'дод. 2'!L142</f>
        <v>0</v>
      </c>
      <c r="L73" s="52">
        <f>'дод. 2'!M142</f>
        <v>0</v>
      </c>
      <c r="M73" s="52">
        <f>'дод. 2'!N142</f>
        <v>0</v>
      </c>
      <c r="N73" s="52">
        <f>'дод. 2'!O142</f>
        <v>0</v>
      </c>
      <c r="O73" s="52">
        <f>'дод. 2'!P142</f>
        <v>57630</v>
      </c>
      <c r="P73" s="292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</row>
    <row r="74" spans="1:35" s="8" customFormat="1" ht="55.5" customHeight="1">
      <c r="A74" s="7" t="s">
        <v>520</v>
      </c>
      <c r="B74" s="143">
        <v>1060</v>
      </c>
      <c r="C74" s="14" t="s">
        <v>526</v>
      </c>
      <c r="D74" s="52">
        <f>'дод. 2'!E143</f>
        <v>317770</v>
      </c>
      <c r="E74" s="52">
        <f>'дод. 2'!F143</f>
        <v>317770</v>
      </c>
      <c r="F74" s="52">
        <f>'дод. 2'!G143</f>
        <v>0</v>
      </c>
      <c r="G74" s="52">
        <f>'дод. 2'!H143</f>
        <v>0</v>
      </c>
      <c r="H74" s="52">
        <f>'дод. 2'!I143</f>
        <v>0</v>
      </c>
      <c r="I74" s="52">
        <f>'дод. 2'!J143</f>
        <v>0</v>
      </c>
      <c r="J74" s="52">
        <f>'дод. 2'!K143</f>
        <v>0</v>
      </c>
      <c r="K74" s="52">
        <f>'дод. 2'!L143</f>
        <v>0</v>
      </c>
      <c r="L74" s="52">
        <f>'дод. 2'!M143</f>
        <v>0</v>
      </c>
      <c r="M74" s="52">
        <f>'дод. 2'!N143</f>
        <v>0</v>
      </c>
      <c r="N74" s="52">
        <f>'дод. 2'!O143</f>
        <v>0</v>
      </c>
      <c r="O74" s="52">
        <f>'дод. 2'!P143</f>
        <v>317770</v>
      </c>
      <c r="P74" s="292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</row>
    <row r="75" spans="1:35" s="8" customFormat="1" ht="21.75" customHeight="1">
      <c r="A75" s="7"/>
      <c r="B75" s="14"/>
      <c r="C75" s="14" t="s">
        <v>416</v>
      </c>
      <c r="D75" s="52">
        <f>'дод. 2'!E144</f>
        <v>317770</v>
      </c>
      <c r="E75" s="52">
        <f>'дод. 2'!F144</f>
        <v>317770</v>
      </c>
      <c r="F75" s="52">
        <f>'дод. 2'!G144</f>
        <v>0</v>
      </c>
      <c r="G75" s="52">
        <f>'дод. 2'!H144</f>
        <v>0</v>
      </c>
      <c r="H75" s="52">
        <f>'дод. 2'!I144</f>
        <v>0</v>
      </c>
      <c r="I75" s="52">
        <f>'дод. 2'!J144</f>
        <v>0</v>
      </c>
      <c r="J75" s="52">
        <f>'дод. 2'!K144</f>
        <v>0</v>
      </c>
      <c r="K75" s="52">
        <f>'дод. 2'!L144</f>
        <v>0</v>
      </c>
      <c r="L75" s="52">
        <f>'дод. 2'!M144</f>
        <v>0</v>
      </c>
      <c r="M75" s="52">
        <f>'дод. 2'!N144</f>
        <v>0</v>
      </c>
      <c r="N75" s="52">
        <f>'дод. 2'!O144</f>
        <v>0</v>
      </c>
      <c r="O75" s="52">
        <f>'дод. 2'!P144</f>
        <v>317770</v>
      </c>
      <c r="P75" s="292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</row>
    <row r="76" spans="1:35" ht="63">
      <c r="A76" s="5" t="s">
        <v>145</v>
      </c>
      <c r="B76" s="31"/>
      <c r="C76" s="13" t="s">
        <v>195</v>
      </c>
      <c r="D76" s="51">
        <f>D77+D78+D79+D81+D80</f>
        <v>51606439.89</v>
      </c>
      <c r="E76" s="51">
        <f aca="true" t="shared" si="19" ref="E76:O76">E77+E78+E79+E81+E80</f>
        <v>51606439.89</v>
      </c>
      <c r="F76" s="51">
        <f t="shared" si="19"/>
        <v>0</v>
      </c>
      <c r="G76" s="51">
        <f t="shared" si="19"/>
        <v>0</v>
      </c>
      <c r="H76" s="51">
        <f t="shared" si="19"/>
        <v>0</v>
      </c>
      <c r="I76" s="51">
        <f t="shared" si="19"/>
        <v>214000</v>
      </c>
      <c r="J76" s="51">
        <f t="shared" si="19"/>
        <v>0</v>
      </c>
      <c r="K76" s="51">
        <f t="shared" si="19"/>
        <v>0</v>
      </c>
      <c r="L76" s="51">
        <f t="shared" si="19"/>
        <v>0</v>
      </c>
      <c r="M76" s="51">
        <f t="shared" si="19"/>
        <v>214000</v>
      </c>
      <c r="N76" s="51">
        <f t="shared" si="19"/>
        <v>214000</v>
      </c>
      <c r="O76" s="51">
        <f t="shared" si="19"/>
        <v>51820439.89</v>
      </c>
      <c r="P76" s="292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</row>
    <row r="77" spans="1:35" s="8" customFormat="1" ht="45" customHeight="1">
      <c r="A77" s="7" t="s">
        <v>146</v>
      </c>
      <c r="B77" s="7" t="s">
        <v>87</v>
      </c>
      <c r="C77" s="14" t="s">
        <v>196</v>
      </c>
      <c r="D77" s="52">
        <f>'дод. 2'!E146</f>
        <v>371502</v>
      </c>
      <c r="E77" s="52">
        <f>'дод. 2'!F146</f>
        <v>371502</v>
      </c>
      <c r="F77" s="52">
        <f>'дод. 2'!G146</f>
        <v>0</v>
      </c>
      <c r="G77" s="52">
        <f>'дод. 2'!H146</f>
        <v>0</v>
      </c>
      <c r="H77" s="52">
        <f>'дод. 2'!I146</f>
        <v>0</v>
      </c>
      <c r="I77" s="52">
        <f>'дод. 2'!J146</f>
        <v>214000</v>
      </c>
      <c r="J77" s="52">
        <f>'дод. 2'!K146</f>
        <v>0</v>
      </c>
      <c r="K77" s="52">
        <f>'дод. 2'!L146</f>
        <v>0</v>
      </c>
      <c r="L77" s="52">
        <f>'дод. 2'!M146</f>
        <v>0</v>
      </c>
      <c r="M77" s="52">
        <f>'дод. 2'!N146</f>
        <v>214000</v>
      </c>
      <c r="N77" s="52">
        <f>'дод. 2'!O146</f>
        <v>214000</v>
      </c>
      <c r="O77" s="52">
        <f>'дод. 2'!P146</f>
        <v>585502</v>
      </c>
      <c r="P77" s="292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</row>
    <row r="78" spans="1:35" s="8" customFormat="1" ht="32.25" customHeight="1">
      <c r="A78" s="7" t="s">
        <v>198</v>
      </c>
      <c r="B78" s="7" t="s">
        <v>89</v>
      </c>
      <c r="C78" s="14" t="s">
        <v>197</v>
      </c>
      <c r="D78" s="52">
        <f>'дод. 2'!E147</f>
        <v>1541402</v>
      </c>
      <c r="E78" s="52">
        <f>'дод. 2'!F147</f>
        <v>1541402</v>
      </c>
      <c r="F78" s="52">
        <f>'дод. 2'!G147</f>
        <v>0</v>
      </c>
      <c r="G78" s="52">
        <f>'дод. 2'!H147</f>
        <v>0</v>
      </c>
      <c r="H78" s="52">
        <f>'дод. 2'!I147</f>
        <v>0</v>
      </c>
      <c r="I78" s="52">
        <f>'дод. 2'!J147</f>
        <v>0</v>
      </c>
      <c r="J78" s="52">
        <f>'дод. 2'!K147</f>
        <v>0</v>
      </c>
      <c r="K78" s="52">
        <f>'дод. 2'!L147</f>
        <v>0</v>
      </c>
      <c r="L78" s="52">
        <f>'дод. 2'!M147</f>
        <v>0</v>
      </c>
      <c r="M78" s="52">
        <f>'дод. 2'!N147</f>
        <v>0</v>
      </c>
      <c r="N78" s="52">
        <f>'дод. 2'!O147</f>
        <v>0</v>
      </c>
      <c r="O78" s="52">
        <f>'дод. 2'!P147</f>
        <v>1541402</v>
      </c>
      <c r="P78" s="292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</row>
    <row r="79" spans="1:35" s="8" customFormat="1" ht="54.75" customHeight="1">
      <c r="A79" s="7" t="s">
        <v>147</v>
      </c>
      <c r="B79" s="7" t="s">
        <v>89</v>
      </c>
      <c r="C79" s="14" t="s">
        <v>74</v>
      </c>
      <c r="D79" s="52">
        <f>'дод. 2'!E148+'дод. 2'!E16</f>
        <v>14361809.89</v>
      </c>
      <c r="E79" s="52">
        <f>'дод. 2'!F148+'дод. 2'!F16</f>
        <v>14361809.89</v>
      </c>
      <c r="F79" s="52">
        <f>'дод. 2'!G148+'дод. 2'!G16</f>
        <v>0</v>
      </c>
      <c r="G79" s="52">
        <f>'дод. 2'!H148+'дод. 2'!H16</f>
        <v>0</v>
      </c>
      <c r="H79" s="52">
        <f>'дод. 2'!I148+'дод. 2'!I16</f>
        <v>0</v>
      </c>
      <c r="I79" s="52">
        <f>'дод. 2'!J148+'дод. 2'!J16</f>
        <v>0</v>
      </c>
      <c r="J79" s="52">
        <f>'дод. 2'!K148+'дод. 2'!K16</f>
        <v>0</v>
      </c>
      <c r="K79" s="52">
        <f>'дод. 2'!L148+'дод. 2'!L16</f>
        <v>0</v>
      </c>
      <c r="L79" s="52">
        <f>'дод. 2'!M148+'дод. 2'!M16</f>
        <v>0</v>
      </c>
      <c r="M79" s="52">
        <f>'дод. 2'!N148+'дод. 2'!N16</f>
        <v>0</v>
      </c>
      <c r="N79" s="52">
        <f>'дод. 2'!O148+'дод. 2'!O16</f>
        <v>0</v>
      </c>
      <c r="O79" s="52">
        <f>'дод. 2'!P148+'дод. 2'!P16</f>
        <v>14361809.89</v>
      </c>
      <c r="P79" s="292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</row>
    <row r="80" spans="1:35" s="8" customFormat="1" ht="54.75" customHeight="1">
      <c r="A80" s="7" t="s">
        <v>595</v>
      </c>
      <c r="B80" s="7" t="s">
        <v>89</v>
      </c>
      <c r="C80" s="14" t="s">
        <v>594</v>
      </c>
      <c r="D80" s="52">
        <f>'дод. 2'!E149</f>
        <v>2000000</v>
      </c>
      <c r="E80" s="52">
        <f>'дод. 2'!F149</f>
        <v>2000000</v>
      </c>
      <c r="F80" s="52">
        <f>'дод. 2'!G149</f>
        <v>0</v>
      </c>
      <c r="G80" s="52">
        <f>'дод. 2'!H149</f>
        <v>0</v>
      </c>
      <c r="H80" s="52">
        <f>'дод. 2'!I149</f>
        <v>0</v>
      </c>
      <c r="I80" s="52">
        <f>'дод. 2'!J149</f>
        <v>0</v>
      </c>
      <c r="J80" s="52">
        <f>'дод. 2'!K149</f>
        <v>0</v>
      </c>
      <c r="K80" s="52">
        <f>'дод. 2'!L149</f>
        <v>0</v>
      </c>
      <c r="L80" s="52">
        <f>'дод. 2'!M149</f>
        <v>0</v>
      </c>
      <c r="M80" s="52">
        <f>'дод. 2'!N149</f>
        <v>0</v>
      </c>
      <c r="N80" s="52">
        <f>'дод. 2'!O149</f>
        <v>0</v>
      </c>
      <c r="O80" s="52">
        <f>'дод. 2'!P149</f>
        <v>2000000</v>
      </c>
      <c r="P80" s="292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</row>
    <row r="81" spans="1:35" s="8" customFormat="1" ht="58.5" customHeight="1">
      <c r="A81" s="7" t="s">
        <v>199</v>
      </c>
      <c r="B81" s="7" t="s">
        <v>89</v>
      </c>
      <c r="C81" s="14" t="s">
        <v>37</v>
      </c>
      <c r="D81" s="52">
        <f>'дод. 2'!E150+'дод. 2'!E17</f>
        <v>33331726</v>
      </c>
      <c r="E81" s="52">
        <f>'дод. 2'!F150+'дод. 2'!F17</f>
        <v>33331726</v>
      </c>
      <c r="F81" s="52">
        <f>'дод. 2'!G150+'дод. 2'!G17</f>
        <v>0</v>
      </c>
      <c r="G81" s="52">
        <f>'дод. 2'!H150+'дод. 2'!H17</f>
        <v>0</v>
      </c>
      <c r="H81" s="52">
        <f>'дод. 2'!I150+'дод. 2'!I17</f>
        <v>0</v>
      </c>
      <c r="I81" s="52">
        <f>'дод. 2'!J150+'дод. 2'!J17</f>
        <v>0</v>
      </c>
      <c r="J81" s="52">
        <f>'дод. 2'!K150+'дод. 2'!K17</f>
        <v>0</v>
      </c>
      <c r="K81" s="52">
        <f>'дод. 2'!L150+'дод. 2'!L17</f>
        <v>0</v>
      </c>
      <c r="L81" s="52">
        <f>'дод. 2'!M150+'дод. 2'!M17</f>
        <v>0</v>
      </c>
      <c r="M81" s="52">
        <f>'дод. 2'!N150+'дод. 2'!N17</f>
        <v>0</v>
      </c>
      <c r="N81" s="52">
        <f>'дод. 2'!O150+'дод. 2'!O17</f>
        <v>0</v>
      </c>
      <c r="O81" s="52">
        <f>'дод. 2'!P150+'дод. 2'!P17</f>
        <v>33331726</v>
      </c>
      <c r="P81" s="292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</row>
    <row r="82" spans="1:35" ht="39" customHeight="1">
      <c r="A82" s="5" t="s">
        <v>533</v>
      </c>
      <c r="B82" s="5"/>
      <c r="C82" s="13" t="s">
        <v>541</v>
      </c>
      <c r="D82" s="51">
        <f aca="true" t="shared" si="20" ref="D82:O82">D84+D86+D88+D90+D92+D94+D96</f>
        <v>257256180</v>
      </c>
      <c r="E82" s="51">
        <f t="shared" si="20"/>
        <v>257256180</v>
      </c>
      <c r="F82" s="51">
        <f t="shared" si="20"/>
        <v>0</v>
      </c>
      <c r="G82" s="51">
        <f t="shared" si="20"/>
        <v>0</v>
      </c>
      <c r="H82" s="51">
        <f t="shared" si="20"/>
        <v>0</v>
      </c>
      <c r="I82" s="51">
        <f t="shared" si="20"/>
        <v>0</v>
      </c>
      <c r="J82" s="51">
        <f t="shared" si="20"/>
        <v>0</v>
      </c>
      <c r="K82" s="51">
        <f t="shared" si="20"/>
        <v>0</v>
      </c>
      <c r="L82" s="51">
        <f t="shared" si="20"/>
        <v>0</v>
      </c>
      <c r="M82" s="51">
        <f t="shared" si="20"/>
        <v>0</v>
      </c>
      <c r="N82" s="51">
        <f t="shared" si="20"/>
        <v>0</v>
      </c>
      <c r="O82" s="51">
        <f t="shared" si="20"/>
        <v>257256180</v>
      </c>
      <c r="P82" s="292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</row>
    <row r="83" spans="2:35" ht="24" customHeight="1">
      <c r="B83" s="5"/>
      <c r="C83" s="13" t="s">
        <v>416</v>
      </c>
      <c r="D83" s="51">
        <f aca="true" t="shared" si="21" ref="D83:O83">D85+D87+D89+D91+D93+D95+D97</f>
        <v>257256180</v>
      </c>
      <c r="E83" s="51">
        <f t="shared" si="21"/>
        <v>257256180</v>
      </c>
      <c r="F83" s="51">
        <f t="shared" si="21"/>
        <v>0</v>
      </c>
      <c r="G83" s="51">
        <f t="shared" si="21"/>
        <v>0</v>
      </c>
      <c r="H83" s="51">
        <f t="shared" si="21"/>
        <v>0</v>
      </c>
      <c r="I83" s="51">
        <f t="shared" si="21"/>
        <v>0</v>
      </c>
      <c r="J83" s="51">
        <f t="shared" si="21"/>
        <v>0</v>
      </c>
      <c r="K83" s="51">
        <f t="shared" si="21"/>
        <v>0</v>
      </c>
      <c r="L83" s="51">
        <f t="shared" si="21"/>
        <v>0</v>
      </c>
      <c r="M83" s="51">
        <f t="shared" si="21"/>
        <v>0</v>
      </c>
      <c r="N83" s="51">
        <f t="shared" si="21"/>
        <v>0</v>
      </c>
      <c r="O83" s="51">
        <f t="shared" si="21"/>
        <v>257256180</v>
      </c>
      <c r="P83" s="292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</row>
    <row r="84" spans="1:35" s="8" customFormat="1" ht="27" customHeight="1">
      <c r="A84" s="7" t="s">
        <v>534</v>
      </c>
      <c r="B84" s="7" t="s">
        <v>148</v>
      </c>
      <c r="C84" s="14" t="s">
        <v>542</v>
      </c>
      <c r="D84" s="52">
        <f>'дод. 2'!E153</f>
        <v>3598320</v>
      </c>
      <c r="E84" s="52">
        <f>'дод. 2'!F153</f>
        <v>3598320</v>
      </c>
      <c r="F84" s="52">
        <f>'дод. 2'!G153</f>
        <v>0</v>
      </c>
      <c r="G84" s="52">
        <f>'дод. 2'!H153</f>
        <v>0</v>
      </c>
      <c r="H84" s="52">
        <f>'дод. 2'!I153</f>
        <v>0</v>
      </c>
      <c r="I84" s="52">
        <f>'дод. 2'!J153</f>
        <v>0</v>
      </c>
      <c r="J84" s="52">
        <f>'дод. 2'!K153</f>
        <v>0</v>
      </c>
      <c r="K84" s="52">
        <f>'дод. 2'!L153</f>
        <v>0</v>
      </c>
      <c r="L84" s="52">
        <f>'дод. 2'!M153</f>
        <v>0</v>
      </c>
      <c r="M84" s="52">
        <f>'дод. 2'!N153</f>
        <v>0</v>
      </c>
      <c r="N84" s="52">
        <f>'дод. 2'!O153</f>
        <v>0</v>
      </c>
      <c r="O84" s="52">
        <f>'дод. 2'!P153</f>
        <v>3598320</v>
      </c>
      <c r="P84" s="292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</row>
    <row r="85" spans="1:35" s="8" customFormat="1" ht="16.5" customHeight="1">
      <c r="A85" s="7"/>
      <c r="B85" s="7"/>
      <c r="C85" s="14" t="s">
        <v>416</v>
      </c>
      <c r="D85" s="52">
        <f>'дод. 2'!E154</f>
        <v>3598320</v>
      </c>
      <c r="E85" s="52">
        <f>'дод. 2'!F154</f>
        <v>3598320</v>
      </c>
      <c r="F85" s="52">
        <f>'дод. 2'!G154</f>
        <v>0</v>
      </c>
      <c r="G85" s="52">
        <f>'дод. 2'!H154</f>
        <v>0</v>
      </c>
      <c r="H85" s="52">
        <f>'дод. 2'!I154</f>
        <v>0</v>
      </c>
      <c r="I85" s="52">
        <f>'дод. 2'!J154</f>
        <v>0</v>
      </c>
      <c r="J85" s="52">
        <f>'дод. 2'!K154</f>
        <v>0</v>
      </c>
      <c r="K85" s="52">
        <f>'дод. 2'!L154</f>
        <v>0</v>
      </c>
      <c r="L85" s="52">
        <f>'дод. 2'!M154</f>
        <v>0</v>
      </c>
      <c r="M85" s="52">
        <f>'дод. 2'!N154</f>
        <v>0</v>
      </c>
      <c r="N85" s="52">
        <f>'дод. 2'!O154</f>
        <v>0</v>
      </c>
      <c r="O85" s="52">
        <f>'дод. 2'!P154</f>
        <v>3598320</v>
      </c>
      <c r="P85" s="292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</row>
    <row r="86" spans="1:35" s="8" customFormat="1" ht="27" customHeight="1">
      <c r="A86" s="7" t="s">
        <v>535</v>
      </c>
      <c r="B86" s="7" t="s">
        <v>148</v>
      </c>
      <c r="C86" s="14" t="s">
        <v>543</v>
      </c>
      <c r="D86" s="52">
        <f>'дод. 2'!E155</f>
        <v>392160</v>
      </c>
      <c r="E86" s="52">
        <f>'дод. 2'!F155</f>
        <v>392160</v>
      </c>
      <c r="F86" s="52">
        <f>'дод. 2'!G155</f>
        <v>0</v>
      </c>
      <c r="G86" s="52">
        <f>'дод. 2'!H155</f>
        <v>0</v>
      </c>
      <c r="H86" s="52">
        <f>'дод. 2'!I155</f>
        <v>0</v>
      </c>
      <c r="I86" s="52">
        <f>'дод. 2'!J155</f>
        <v>0</v>
      </c>
      <c r="J86" s="52">
        <f>'дод. 2'!K155</f>
        <v>0</v>
      </c>
      <c r="K86" s="52">
        <f>'дод. 2'!L155</f>
        <v>0</v>
      </c>
      <c r="L86" s="52">
        <f>'дод. 2'!M155</f>
        <v>0</v>
      </c>
      <c r="M86" s="52">
        <f>'дод. 2'!N155</f>
        <v>0</v>
      </c>
      <c r="N86" s="52">
        <f>'дод. 2'!O155</f>
        <v>0</v>
      </c>
      <c r="O86" s="52">
        <f>'дод. 2'!P155</f>
        <v>392160</v>
      </c>
      <c r="P86" s="292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</row>
    <row r="87" spans="1:35" s="8" customFormat="1" ht="15.75" customHeight="1">
      <c r="A87" s="7"/>
      <c r="B87" s="7"/>
      <c r="C87" s="14" t="s">
        <v>416</v>
      </c>
      <c r="D87" s="52">
        <f>'дод. 2'!E156</f>
        <v>392160</v>
      </c>
      <c r="E87" s="52">
        <f>'дод. 2'!F156</f>
        <v>392160</v>
      </c>
      <c r="F87" s="52">
        <f>'дод. 2'!G156</f>
        <v>0</v>
      </c>
      <c r="G87" s="52">
        <f>'дод. 2'!H156</f>
        <v>0</v>
      </c>
      <c r="H87" s="52">
        <f>'дод. 2'!I156</f>
        <v>0</v>
      </c>
      <c r="I87" s="52">
        <f>'дод. 2'!J156</f>
        <v>0</v>
      </c>
      <c r="J87" s="52">
        <f>'дод. 2'!K156</f>
        <v>0</v>
      </c>
      <c r="K87" s="52">
        <f>'дод. 2'!L156</f>
        <v>0</v>
      </c>
      <c r="L87" s="52">
        <f>'дод. 2'!M156</f>
        <v>0</v>
      </c>
      <c r="M87" s="52">
        <f>'дод. 2'!N156</f>
        <v>0</v>
      </c>
      <c r="N87" s="52">
        <f>'дод. 2'!O156</f>
        <v>0</v>
      </c>
      <c r="O87" s="52">
        <f>'дод. 2'!P156</f>
        <v>392160</v>
      </c>
      <c r="P87" s="292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  <c r="AF87" s="180"/>
      <c r="AG87" s="180"/>
      <c r="AH87" s="180"/>
      <c r="AI87" s="180"/>
    </row>
    <row r="88" spans="1:35" s="8" customFormat="1" ht="27" customHeight="1">
      <c r="A88" s="7" t="s">
        <v>536</v>
      </c>
      <c r="B88" s="7" t="s">
        <v>148</v>
      </c>
      <c r="C88" s="14" t="s">
        <v>544</v>
      </c>
      <c r="D88" s="52">
        <f>'дод. 2'!E157</f>
        <v>134165700</v>
      </c>
      <c r="E88" s="52">
        <f>'дод. 2'!F157</f>
        <v>134165700</v>
      </c>
      <c r="F88" s="52">
        <f>'дод. 2'!G157</f>
        <v>0</v>
      </c>
      <c r="G88" s="52">
        <f>'дод. 2'!H157</f>
        <v>0</v>
      </c>
      <c r="H88" s="52">
        <f>'дод. 2'!I157</f>
        <v>0</v>
      </c>
      <c r="I88" s="52">
        <f>'дод. 2'!J157</f>
        <v>0</v>
      </c>
      <c r="J88" s="52">
        <f>'дод. 2'!K157</f>
        <v>0</v>
      </c>
      <c r="K88" s="52">
        <f>'дод. 2'!L157</f>
        <v>0</v>
      </c>
      <c r="L88" s="52">
        <f>'дод. 2'!M157</f>
        <v>0</v>
      </c>
      <c r="M88" s="52">
        <f>'дод. 2'!N157</f>
        <v>0</v>
      </c>
      <c r="N88" s="52">
        <f>'дод. 2'!O157</f>
        <v>0</v>
      </c>
      <c r="O88" s="52">
        <f>'дод. 2'!P157</f>
        <v>134165700</v>
      </c>
      <c r="P88" s="292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  <c r="AI88" s="180"/>
    </row>
    <row r="89" spans="1:35" s="8" customFormat="1" ht="16.5" customHeight="1">
      <c r="A89" s="7"/>
      <c r="B89" s="7"/>
      <c r="C89" s="14" t="s">
        <v>416</v>
      </c>
      <c r="D89" s="52">
        <f>'дод. 2'!E158</f>
        <v>134165700</v>
      </c>
      <c r="E89" s="52">
        <f>'дод. 2'!F158</f>
        <v>134165700</v>
      </c>
      <c r="F89" s="52">
        <f>'дод. 2'!G158</f>
        <v>0</v>
      </c>
      <c r="G89" s="52">
        <f>'дод. 2'!H158</f>
        <v>0</v>
      </c>
      <c r="H89" s="52">
        <f>'дод. 2'!I158</f>
        <v>0</v>
      </c>
      <c r="I89" s="52">
        <f>'дод. 2'!J158</f>
        <v>0</v>
      </c>
      <c r="J89" s="52">
        <f>'дод. 2'!K158</f>
        <v>0</v>
      </c>
      <c r="K89" s="52">
        <f>'дод. 2'!L158</f>
        <v>0</v>
      </c>
      <c r="L89" s="52">
        <f>'дод. 2'!M158</f>
        <v>0</v>
      </c>
      <c r="M89" s="52">
        <f>'дод. 2'!N158</f>
        <v>0</v>
      </c>
      <c r="N89" s="52">
        <f>'дод. 2'!O158</f>
        <v>0</v>
      </c>
      <c r="O89" s="52">
        <f>'дод. 2'!P158</f>
        <v>134165700</v>
      </c>
      <c r="P89" s="292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</row>
    <row r="90" spans="1:35" s="8" customFormat="1" ht="36" customHeight="1">
      <c r="A90" s="7" t="s">
        <v>537</v>
      </c>
      <c r="B90" s="7" t="s">
        <v>148</v>
      </c>
      <c r="C90" s="14" t="s">
        <v>545</v>
      </c>
      <c r="D90" s="52">
        <f>'дод. 2'!E159</f>
        <v>10265200</v>
      </c>
      <c r="E90" s="52">
        <f>'дод. 2'!F159</f>
        <v>10265200</v>
      </c>
      <c r="F90" s="52">
        <f>'дод. 2'!G159</f>
        <v>0</v>
      </c>
      <c r="G90" s="52">
        <f>'дод. 2'!H159</f>
        <v>0</v>
      </c>
      <c r="H90" s="52">
        <f>'дод. 2'!I159</f>
        <v>0</v>
      </c>
      <c r="I90" s="52">
        <f>'дод. 2'!J159</f>
        <v>0</v>
      </c>
      <c r="J90" s="52">
        <f>'дод. 2'!K159</f>
        <v>0</v>
      </c>
      <c r="K90" s="52">
        <f>'дод. 2'!L159</f>
        <v>0</v>
      </c>
      <c r="L90" s="52">
        <f>'дод. 2'!M159</f>
        <v>0</v>
      </c>
      <c r="M90" s="52">
        <f>'дод. 2'!N159</f>
        <v>0</v>
      </c>
      <c r="N90" s="52">
        <f>'дод. 2'!O159</f>
        <v>0</v>
      </c>
      <c r="O90" s="52">
        <f>'дод. 2'!P159</f>
        <v>10265200</v>
      </c>
      <c r="P90" s="292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</row>
    <row r="91" spans="1:35" s="8" customFormat="1" ht="15" customHeight="1">
      <c r="A91" s="7"/>
      <c r="B91" s="7"/>
      <c r="C91" s="14" t="s">
        <v>416</v>
      </c>
      <c r="D91" s="52">
        <f>'дод. 2'!E160</f>
        <v>10265200</v>
      </c>
      <c r="E91" s="52">
        <f>'дод. 2'!F160</f>
        <v>10265200</v>
      </c>
      <c r="F91" s="52">
        <f>'дод. 2'!G160</f>
        <v>0</v>
      </c>
      <c r="G91" s="52">
        <f>'дод. 2'!H160</f>
        <v>0</v>
      </c>
      <c r="H91" s="52">
        <f>'дод. 2'!I160</f>
        <v>0</v>
      </c>
      <c r="I91" s="52">
        <f>'дод. 2'!J160</f>
        <v>0</v>
      </c>
      <c r="J91" s="52">
        <f>'дод. 2'!K160</f>
        <v>0</v>
      </c>
      <c r="K91" s="52">
        <f>'дод. 2'!L160</f>
        <v>0</v>
      </c>
      <c r="L91" s="52">
        <f>'дод. 2'!M160</f>
        <v>0</v>
      </c>
      <c r="M91" s="52">
        <f>'дод. 2'!N160</f>
        <v>0</v>
      </c>
      <c r="N91" s="52">
        <f>'дод. 2'!O160</f>
        <v>0</v>
      </c>
      <c r="O91" s="52">
        <f>'дод. 2'!P160</f>
        <v>10265200</v>
      </c>
      <c r="P91" s="292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</row>
    <row r="92" spans="1:35" s="8" customFormat="1" ht="27" customHeight="1">
      <c r="A92" s="7" t="s">
        <v>538</v>
      </c>
      <c r="B92" s="7" t="s">
        <v>148</v>
      </c>
      <c r="C92" s="14" t="s">
        <v>546</v>
      </c>
      <c r="D92" s="52">
        <f>'дод. 2'!E161</f>
        <v>50558840</v>
      </c>
      <c r="E92" s="52">
        <f>'дод. 2'!F161</f>
        <v>50558840</v>
      </c>
      <c r="F92" s="52">
        <f>'дод. 2'!G161</f>
        <v>0</v>
      </c>
      <c r="G92" s="52">
        <f>'дод. 2'!H161</f>
        <v>0</v>
      </c>
      <c r="H92" s="52">
        <f>'дод. 2'!I161</f>
        <v>0</v>
      </c>
      <c r="I92" s="52">
        <f>'дод. 2'!J161</f>
        <v>0</v>
      </c>
      <c r="J92" s="52">
        <f>'дод. 2'!K161</f>
        <v>0</v>
      </c>
      <c r="K92" s="52">
        <f>'дод. 2'!L161</f>
        <v>0</v>
      </c>
      <c r="L92" s="52">
        <f>'дод. 2'!M161</f>
        <v>0</v>
      </c>
      <c r="M92" s="52">
        <f>'дод. 2'!N161</f>
        <v>0</v>
      </c>
      <c r="N92" s="52">
        <f>'дод. 2'!O161</f>
        <v>0</v>
      </c>
      <c r="O92" s="52">
        <f>'дод. 2'!P161</f>
        <v>50558840</v>
      </c>
      <c r="P92" s="292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</row>
    <row r="93" spans="1:35" s="8" customFormat="1" ht="17.25" customHeight="1">
      <c r="A93" s="7"/>
      <c r="B93" s="7"/>
      <c r="C93" s="14" t="s">
        <v>416</v>
      </c>
      <c r="D93" s="52">
        <f>'дод. 2'!E162</f>
        <v>50558840</v>
      </c>
      <c r="E93" s="52">
        <f>'дод. 2'!F162</f>
        <v>50558840</v>
      </c>
      <c r="F93" s="52">
        <f>'дод. 2'!G162</f>
        <v>0</v>
      </c>
      <c r="G93" s="52">
        <f>'дод. 2'!H162</f>
        <v>0</v>
      </c>
      <c r="H93" s="52">
        <f>'дод. 2'!I162</f>
        <v>0</v>
      </c>
      <c r="I93" s="52">
        <f>'дод. 2'!J162</f>
        <v>0</v>
      </c>
      <c r="J93" s="52">
        <f>'дод. 2'!K162</f>
        <v>0</v>
      </c>
      <c r="K93" s="52">
        <f>'дод. 2'!L162</f>
        <v>0</v>
      </c>
      <c r="L93" s="52">
        <f>'дод. 2'!M162</f>
        <v>0</v>
      </c>
      <c r="M93" s="52">
        <f>'дод. 2'!N162</f>
        <v>0</v>
      </c>
      <c r="N93" s="52">
        <f>'дод. 2'!O162</f>
        <v>0</v>
      </c>
      <c r="O93" s="52">
        <f>'дод. 2'!P162</f>
        <v>50558840</v>
      </c>
      <c r="P93" s="292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</row>
    <row r="94" spans="1:35" s="8" customFormat="1" ht="27" customHeight="1">
      <c r="A94" s="7" t="s">
        <v>539</v>
      </c>
      <c r="B94" s="7" t="s">
        <v>148</v>
      </c>
      <c r="C94" s="14" t="s">
        <v>547</v>
      </c>
      <c r="D94" s="52">
        <f>'дод. 2'!E163</f>
        <v>2245360</v>
      </c>
      <c r="E94" s="52">
        <f>'дод. 2'!F163</f>
        <v>2245360</v>
      </c>
      <c r="F94" s="52">
        <f>'дод. 2'!G163</f>
        <v>0</v>
      </c>
      <c r="G94" s="52">
        <f>'дод. 2'!H163</f>
        <v>0</v>
      </c>
      <c r="H94" s="52">
        <f>'дод. 2'!I163</f>
        <v>0</v>
      </c>
      <c r="I94" s="52">
        <f>'дод. 2'!J163</f>
        <v>0</v>
      </c>
      <c r="J94" s="52">
        <f>'дод. 2'!K163</f>
        <v>0</v>
      </c>
      <c r="K94" s="52">
        <f>'дод. 2'!L163</f>
        <v>0</v>
      </c>
      <c r="L94" s="52">
        <f>'дод. 2'!M163</f>
        <v>0</v>
      </c>
      <c r="M94" s="52">
        <f>'дод. 2'!N163</f>
        <v>0</v>
      </c>
      <c r="N94" s="52">
        <f>'дод. 2'!O163</f>
        <v>0</v>
      </c>
      <c r="O94" s="52">
        <f>'дод. 2'!P163</f>
        <v>2245360</v>
      </c>
      <c r="P94" s="292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</row>
    <row r="95" spans="1:35" s="8" customFormat="1" ht="16.5" customHeight="1">
      <c r="A95" s="7"/>
      <c r="B95" s="7"/>
      <c r="C95" s="14" t="s">
        <v>416</v>
      </c>
      <c r="D95" s="52">
        <f>'дод. 2'!E164</f>
        <v>2245360</v>
      </c>
      <c r="E95" s="52">
        <f>'дод. 2'!F164</f>
        <v>2245360</v>
      </c>
      <c r="F95" s="52">
        <f>'дод. 2'!G164</f>
        <v>0</v>
      </c>
      <c r="G95" s="52">
        <f>'дод. 2'!H164</f>
        <v>0</v>
      </c>
      <c r="H95" s="52">
        <f>'дод. 2'!I164</f>
        <v>0</v>
      </c>
      <c r="I95" s="52">
        <f>'дод. 2'!J164</f>
        <v>0</v>
      </c>
      <c r="J95" s="52">
        <f>'дод. 2'!K164</f>
        <v>0</v>
      </c>
      <c r="K95" s="52">
        <f>'дод. 2'!L164</f>
        <v>0</v>
      </c>
      <c r="L95" s="52">
        <f>'дод. 2'!M164</f>
        <v>0</v>
      </c>
      <c r="M95" s="52">
        <f>'дод. 2'!N164</f>
        <v>0</v>
      </c>
      <c r="N95" s="52">
        <f>'дод. 2'!O164</f>
        <v>0</v>
      </c>
      <c r="O95" s="52">
        <f>'дод. 2'!P164</f>
        <v>2245360</v>
      </c>
      <c r="P95" s="292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</row>
    <row r="96" spans="1:35" s="8" customFormat="1" ht="32.25" customHeight="1">
      <c r="A96" s="7" t="s">
        <v>540</v>
      </c>
      <c r="B96" s="7" t="s">
        <v>148</v>
      </c>
      <c r="C96" s="14" t="s">
        <v>548</v>
      </c>
      <c r="D96" s="52">
        <f>'дод. 2'!E165</f>
        <v>56030600</v>
      </c>
      <c r="E96" s="52">
        <f>'дод. 2'!F165</f>
        <v>56030600</v>
      </c>
      <c r="F96" s="52">
        <f>'дод. 2'!G165</f>
        <v>0</v>
      </c>
      <c r="G96" s="52">
        <f>'дод. 2'!H165</f>
        <v>0</v>
      </c>
      <c r="H96" s="52">
        <f>'дод. 2'!I165</f>
        <v>0</v>
      </c>
      <c r="I96" s="52">
        <f>'дод. 2'!J165</f>
        <v>0</v>
      </c>
      <c r="J96" s="52">
        <f>'дод. 2'!K165</f>
        <v>0</v>
      </c>
      <c r="K96" s="52">
        <f>'дод. 2'!L165</f>
        <v>0</v>
      </c>
      <c r="L96" s="52">
        <f>'дод. 2'!M165</f>
        <v>0</v>
      </c>
      <c r="M96" s="52">
        <f>'дод. 2'!N165</f>
        <v>0</v>
      </c>
      <c r="N96" s="52">
        <f>'дод. 2'!O165</f>
        <v>0</v>
      </c>
      <c r="O96" s="52">
        <f>'дод. 2'!P165</f>
        <v>56030600</v>
      </c>
      <c r="P96" s="292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80"/>
    </row>
    <row r="97" spans="1:35" s="8" customFormat="1" ht="22.5" customHeight="1">
      <c r="A97" s="7"/>
      <c r="B97" s="7"/>
      <c r="C97" s="14" t="s">
        <v>416</v>
      </c>
      <c r="D97" s="52">
        <f>'дод. 2'!E166</f>
        <v>56030600</v>
      </c>
      <c r="E97" s="52">
        <f>'дод. 2'!F166</f>
        <v>56030600</v>
      </c>
      <c r="F97" s="52">
        <f>'дод. 2'!G166</f>
        <v>0</v>
      </c>
      <c r="G97" s="52">
        <f>'дод. 2'!H166</f>
        <v>0</v>
      </c>
      <c r="H97" s="52">
        <f>'дод. 2'!I166</f>
        <v>0</v>
      </c>
      <c r="I97" s="52">
        <f>'дод. 2'!J166</f>
        <v>0</v>
      </c>
      <c r="J97" s="52">
        <f>'дод. 2'!K166</f>
        <v>0</v>
      </c>
      <c r="K97" s="52">
        <f>'дод. 2'!L166</f>
        <v>0</v>
      </c>
      <c r="L97" s="52">
        <f>'дод. 2'!M166</f>
        <v>0</v>
      </c>
      <c r="M97" s="52">
        <f>'дод. 2'!N166</f>
        <v>0</v>
      </c>
      <c r="N97" s="52">
        <f>'дод. 2'!O166</f>
        <v>0</v>
      </c>
      <c r="O97" s="52">
        <f>'дод. 2'!P166</f>
        <v>56030600</v>
      </c>
      <c r="P97" s="292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</row>
    <row r="98" spans="1:35" ht="40.5" customHeight="1">
      <c r="A98" s="5" t="s">
        <v>149</v>
      </c>
      <c r="B98" s="5" t="s">
        <v>89</v>
      </c>
      <c r="C98" s="13" t="s">
        <v>56</v>
      </c>
      <c r="D98" s="51">
        <f>'дод. 2'!E167</f>
        <v>625100</v>
      </c>
      <c r="E98" s="51">
        <f>'дод. 2'!F167</f>
        <v>625100</v>
      </c>
      <c r="F98" s="51">
        <f>'дод. 2'!G167</f>
        <v>0</v>
      </c>
      <c r="G98" s="51">
        <f>'дод. 2'!H167</f>
        <v>0</v>
      </c>
      <c r="H98" s="51">
        <f>'дод. 2'!I167</f>
        <v>0</v>
      </c>
      <c r="I98" s="51">
        <f>'дод. 2'!J167</f>
        <v>0</v>
      </c>
      <c r="J98" s="51">
        <f>'дод. 2'!K167</f>
        <v>0</v>
      </c>
      <c r="K98" s="51">
        <f>'дод. 2'!L167</f>
        <v>0</v>
      </c>
      <c r="L98" s="51">
        <f>'дод. 2'!M167</f>
        <v>0</v>
      </c>
      <c r="M98" s="51">
        <f>'дод. 2'!N167</f>
        <v>0</v>
      </c>
      <c r="N98" s="51">
        <f>'дод. 2'!O167</f>
        <v>0</v>
      </c>
      <c r="O98" s="51">
        <f>'дод. 2'!P167</f>
        <v>625100</v>
      </c>
      <c r="P98" s="292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</row>
    <row r="99" spans="1:35" ht="151.5" customHeight="1">
      <c r="A99" s="5" t="s">
        <v>557</v>
      </c>
      <c r="B99" s="5"/>
      <c r="C99" s="13" t="s">
        <v>563</v>
      </c>
      <c r="D99" s="51">
        <f aca="true" t="shared" si="22" ref="D99:O99">D101+D103+D105+D107+D109</f>
        <v>97227520</v>
      </c>
      <c r="E99" s="51">
        <f t="shared" si="22"/>
        <v>97227520</v>
      </c>
      <c r="F99" s="51">
        <f t="shared" si="22"/>
        <v>0</v>
      </c>
      <c r="G99" s="51">
        <f t="shared" si="22"/>
        <v>0</v>
      </c>
      <c r="H99" s="51">
        <f t="shared" si="22"/>
        <v>0</v>
      </c>
      <c r="I99" s="51">
        <f t="shared" si="22"/>
        <v>0</v>
      </c>
      <c r="J99" s="51">
        <f t="shared" si="22"/>
        <v>0</v>
      </c>
      <c r="K99" s="51">
        <f t="shared" si="22"/>
        <v>0</v>
      </c>
      <c r="L99" s="51">
        <f t="shared" si="22"/>
        <v>0</v>
      </c>
      <c r="M99" s="51">
        <f t="shared" si="22"/>
        <v>0</v>
      </c>
      <c r="N99" s="51">
        <f t="shared" si="22"/>
        <v>0</v>
      </c>
      <c r="O99" s="51">
        <f t="shared" si="22"/>
        <v>97227520</v>
      </c>
      <c r="P99" s="292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</row>
    <row r="100" spans="2:35" ht="27" customHeight="1">
      <c r="B100" s="5"/>
      <c r="C100" s="13" t="s">
        <v>416</v>
      </c>
      <c r="D100" s="51">
        <f aca="true" t="shared" si="23" ref="D100:O100">D102+D104+D106+D108+D110</f>
        <v>97227520</v>
      </c>
      <c r="E100" s="51">
        <f t="shared" si="23"/>
        <v>97227520</v>
      </c>
      <c r="F100" s="51">
        <f t="shared" si="23"/>
        <v>0</v>
      </c>
      <c r="G100" s="51">
        <f t="shared" si="23"/>
        <v>0</v>
      </c>
      <c r="H100" s="51">
        <f t="shared" si="23"/>
        <v>0</v>
      </c>
      <c r="I100" s="51">
        <f t="shared" si="23"/>
        <v>0</v>
      </c>
      <c r="J100" s="51">
        <f t="shared" si="23"/>
        <v>0</v>
      </c>
      <c r="K100" s="51">
        <f t="shared" si="23"/>
        <v>0</v>
      </c>
      <c r="L100" s="51">
        <f t="shared" si="23"/>
        <v>0</v>
      </c>
      <c r="M100" s="51">
        <f t="shared" si="23"/>
        <v>0</v>
      </c>
      <c r="N100" s="51">
        <f t="shared" si="23"/>
        <v>0</v>
      </c>
      <c r="O100" s="51">
        <f t="shared" si="23"/>
        <v>97227520</v>
      </c>
      <c r="P100" s="292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</row>
    <row r="101" spans="1:35" s="8" customFormat="1" ht="40.5" customHeight="1">
      <c r="A101" s="7" t="s">
        <v>558</v>
      </c>
      <c r="B101" s="7" t="s">
        <v>83</v>
      </c>
      <c r="C101" s="14" t="s">
        <v>566</v>
      </c>
      <c r="D101" s="52">
        <f>'дод. 2'!E170</f>
        <v>62044050</v>
      </c>
      <c r="E101" s="52">
        <f>'дод. 2'!F170</f>
        <v>62044050</v>
      </c>
      <c r="F101" s="52">
        <f>'дод. 2'!G170</f>
        <v>0</v>
      </c>
      <c r="G101" s="52">
        <f>'дод. 2'!H170</f>
        <v>0</v>
      </c>
      <c r="H101" s="52">
        <f>'дод. 2'!I170</f>
        <v>0</v>
      </c>
      <c r="I101" s="52">
        <f>'дод. 2'!J170</f>
        <v>0</v>
      </c>
      <c r="J101" s="52">
        <f>'дод. 2'!K170</f>
        <v>0</v>
      </c>
      <c r="K101" s="52">
        <f>'дод. 2'!L170</f>
        <v>0</v>
      </c>
      <c r="L101" s="52">
        <f>'дод. 2'!M170</f>
        <v>0</v>
      </c>
      <c r="M101" s="52">
        <f>'дод. 2'!N170</f>
        <v>0</v>
      </c>
      <c r="N101" s="52">
        <f>'дод. 2'!O170</f>
        <v>0</v>
      </c>
      <c r="O101" s="52">
        <f>'дод. 2'!P170</f>
        <v>62044050</v>
      </c>
      <c r="P101" s="292">
        <v>19</v>
      </c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</row>
    <row r="102" spans="1:35" s="8" customFormat="1" ht="27" customHeight="1">
      <c r="A102" s="7"/>
      <c r="B102" s="7"/>
      <c r="C102" s="14" t="s">
        <v>416</v>
      </c>
      <c r="D102" s="52">
        <f>'дод. 2'!E171</f>
        <v>62044050</v>
      </c>
      <c r="E102" s="52">
        <f>'дод. 2'!F171</f>
        <v>62044050</v>
      </c>
      <c r="F102" s="52">
        <f>'дод. 2'!G171</f>
        <v>0</v>
      </c>
      <c r="G102" s="52">
        <f>'дод. 2'!H171</f>
        <v>0</v>
      </c>
      <c r="H102" s="52">
        <f>'дод. 2'!I171</f>
        <v>0</v>
      </c>
      <c r="I102" s="52">
        <f>'дод. 2'!J171</f>
        <v>0</v>
      </c>
      <c r="J102" s="52">
        <f>'дод. 2'!K171</f>
        <v>0</v>
      </c>
      <c r="K102" s="52">
        <f>'дод. 2'!L171</f>
        <v>0</v>
      </c>
      <c r="L102" s="52">
        <f>'дод. 2'!M171</f>
        <v>0</v>
      </c>
      <c r="M102" s="52">
        <f>'дод. 2'!N171</f>
        <v>0</v>
      </c>
      <c r="N102" s="52">
        <f>'дод. 2'!O171</f>
        <v>0</v>
      </c>
      <c r="O102" s="52">
        <f>'дод. 2'!P171</f>
        <v>62044050</v>
      </c>
      <c r="P102" s="292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</row>
    <row r="103" spans="1:35" s="8" customFormat="1" ht="66" customHeight="1">
      <c r="A103" s="7" t="s">
        <v>559</v>
      </c>
      <c r="B103" s="7" t="s">
        <v>83</v>
      </c>
      <c r="C103" s="14" t="s">
        <v>567</v>
      </c>
      <c r="D103" s="52">
        <f>'дод. 2'!E172</f>
        <v>12251650</v>
      </c>
      <c r="E103" s="52">
        <f>'дод. 2'!F172</f>
        <v>12251650</v>
      </c>
      <c r="F103" s="52">
        <f>'дод. 2'!G172</f>
        <v>0</v>
      </c>
      <c r="G103" s="52">
        <f>'дод. 2'!H172</f>
        <v>0</v>
      </c>
      <c r="H103" s="52">
        <f>'дод. 2'!I172</f>
        <v>0</v>
      </c>
      <c r="I103" s="52">
        <f>'дод. 2'!J172</f>
        <v>0</v>
      </c>
      <c r="J103" s="52">
        <f>'дод. 2'!K172</f>
        <v>0</v>
      </c>
      <c r="K103" s="52">
        <f>'дод. 2'!L172</f>
        <v>0</v>
      </c>
      <c r="L103" s="52">
        <f>'дод. 2'!M172</f>
        <v>0</v>
      </c>
      <c r="M103" s="52">
        <f>'дод. 2'!N172</f>
        <v>0</v>
      </c>
      <c r="N103" s="52">
        <f>'дод. 2'!O172</f>
        <v>0</v>
      </c>
      <c r="O103" s="52">
        <f>'дод. 2'!P172</f>
        <v>12251650</v>
      </c>
      <c r="P103" s="292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  <c r="AI103" s="180"/>
    </row>
    <row r="104" spans="1:35" s="8" customFormat="1" ht="27" customHeight="1">
      <c r="A104" s="7"/>
      <c r="B104" s="7"/>
      <c r="C104" s="14" t="s">
        <v>416</v>
      </c>
      <c r="D104" s="52">
        <f>'дод. 2'!E173</f>
        <v>12251650</v>
      </c>
      <c r="E104" s="52">
        <f>'дод. 2'!F173</f>
        <v>12251650</v>
      </c>
      <c r="F104" s="52">
        <f>'дод. 2'!G173</f>
        <v>0</v>
      </c>
      <c r="G104" s="52">
        <f>'дод. 2'!H173</f>
        <v>0</v>
      </c>
      <c r="H104" s="52">
        <f>'дод. 2'!I173</f>
        <v>0</v>
      </c>
      <c r="I104" s="52">
        <f>'дод. 2'!J173</f>
        <v>0</v>
      </c>
      <c r="J104" s="52">
        <f>'дод. 2'!K173</f>
        <v>0</v>
      </c>
      <c r="K104" s="52">
        <f>'дод. 2'!L173</f>
        <v>0</v>
      </c>
      <c r="L104" s="52">
        <f>'дод. 2'!M173</f>
        <v>0</v>
      </c>
      <c r="M104" s="52">
        <f>'дод. 2'!N173</f>
        <v>0</v>
      </c>
      <c r="N104" s="52">
        <f>'дод. 2'!O173</f>
        <v>0</v>
      </c>
      <c r="O104" s="52">
        <f>'дод. 2'!P173</f>
        <v>12251650</v>
      </c>
      <c r="P104" s="292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</row>
    <row r="105" spans="1:35" s="8" customFormat="1" ht="53.25" customHeight="1">
      <c r="A105" s="7" t="s">
        <v>560</v>
      </c>
      <c r="B105" s="7" t="s">
        <v>83</v>
      </c>
      <c r="C105" s="14" t="s">
        <v>568</v>
      </c>
      <c r="D105" s="52">
        <f>'дод. 2'!E174</f>
        <v>11516480</v>
      </c>
      <c r="E105" s="52">
        <f>'дод. 2'!F174</f>
        <v>11516480</v>
      </c>
      <c r="F105" s="52">
        <f>'дод. 2'!G174</f>
        <v>0</v>
      </c>
      <c r="G105" s="52">
        <f>'дод. 2'!H174</f>
        <v>0</v>
      </c>
      <c r="H105" s="52">
        <f>'дод. 2'!I174</f>
        <v>0</v>
      </c>
      <c r="I105" s="52">
        <f>'дод. 2'!J174</f>
        <v>0</v>
      </c>
      <c r="J105" s="52">
        <f>'дод. 2'!K174</f>
        <v>0</v>
      </c>
      <c r="K105" s="52">
        <f>'дод. 2'!L174</f>
        <v>0</v>
      </c>
      <c r="L105" s="52">
        <f>'дод. 2'!M174</f>
        <v>0</v>
      </c>
      <c r="M105" s="52">
        <f>'дод. 2'!N174</f>
        <v>0</v>
      </c>
      <c r="N105" s="52">
        <f>'дод. 2'!O174</f>
        <v>0</v>
      </c>
      <c r="O105" s="52">
        <f>'дод. 2'!P174</f>
        <v>11516480</v>
      </c>
      <c r="P105" s="292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0"/>
      <c r="AI105" s="180"/>
    </row>
    <row r="106" spans="1:35" s="8" customFormat="1" ht="27" customHeight="1">
      <c r="A106" s="7"/>
      <c r="B106" s="7"/>
      <c r="C106" s="14" t="s">
        <v>416</v>
      </c>
      <c r="D106" s="52">
        <f>'дод. 2'!E175</f>
        <v>11516480</v>
      </c>
      <c r="E106" s="52">
        <f>'дод. 2'!F175</f>
        <v>11516480</v>
      </c>
      <c r="F106" s="52">
        <f>'дод. 2'!G175</f>
        <v>0</v>
      </c>
      <c r="G106" s="52">
        <f>'дод. 2'!H175</f>
        <v>0</v>
      </c>
      <c r="H106" s="52">
        <f>'дод. 2'!I175</f>
        <v>0</v>
      </c>
      <c r="I106" s="52">
        <f>'дод. 2'!J175</f>
        <v>0</v>
      </c>
      <c r="J106" s="52">
        <f>'дод. 2'!K175</f>
        <v>0</v>
      </c>
      <c r="K106" s="52">
        <f>'дод. 2'!L175</f>
        <v>0</v>
      </c>
      <c r="L106" s="52">
        <f>'дод. 2'!M175</f>
        <v>0</v>
      </c>
      <c r="M106" s="52">
        <f>'дод. 2'!N175</f>
        <v>0</v>
      </c>
      <c r="N106" s="52">
        <f>'дод. 2'!O175</f>
        <v>0</v>
      </c>
      <c r="O106" s="52">
        <f>'дод. 2'!P175</f>
        <v>11516480</v>
      </c>
      <c r="P106" s="292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  <c r="AG106" s="180"/>
      <c r="AH106" s="180"/>
      <c r="AI106" s="180"/>
    </row>
    <row r="107" spans="1:35" s="8" customFormat="1" ht="72" customHeight="1">
      <c r="A107" s="7" t="s">
        <v>561</v>
      </c>
      <c r="B107" s="7" t="s">
        <v>148</v>
      </c>
      <c r="C107" s="14" t="s">
        <v>569</v>
      </c>
      <c r="D107" s="52">
        <f>'дод. 2'!E176</f>
        <v>11267070</v>
      </c>
      <c r="E107" s="52">
        <f>'дод. 2'!F176</f>
        <v>11267070</v>
      </c>
      <c r="F107" s="52">
        <f>'дод. 2'!G176</f>
        <v>0</v>
      </c>
      <c r="G107" s="52">
        <f>'дод. 2'!H176</f>
        <v>0</v>
      </c>
      <c r="H107" s="52">
        <f>'дод. 2'!I176</f>
        <v>0</v>
      </c>
      <c r="I107" s="52">
        <f>'дод. 2'!J176</f>
        <v>0</v>
      </c>
      <c r="J107" s="52">
        <f>'дод. 2'!K176</f>
        <v>0</v>
      </c>
      <c r="K107" s="52">
        <f>'дод. 2'!L176</f>
        <v>0</v>
      </c>
      <c r="L107" s="52">
        <f>'дод. 2'!M176</f>
        <v>0</v>
      </c>
      <c r="M107" s="52">
        <f>'дод. 2'!N176</f>
        <v>0</v>
      </c>
      <c r="N107" s="52">
        <f>'дод. 2'!O176</f>
        <v>0</v>
      </c>
      <c r="O107" s="52">
        <f>'дод. 2'!P176</f>
        <v>11267070</v>
      </c>
      <c r="P107" s="292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80"/>
      <c r="AG107" s="180"/>
      <c r="AH107" s="180"/>
      <c r="AI107" s="180"/>
    </row>
    <row r="108" spans="1:35" s="8" customFormat="1" ht="27" customHeight="1">
      <c r="A108" s="7"/>
      <c r="B108" s="7"/>
      <c r="C108" s="14" t="s">
        <v>416</v>
      </c>
      <c r="D108" s="52">
        <f>'дод. 2'!E177</f>
        <v>11267070</v>
      </c>
      <c r="E108" s="52">
        <f>'дод. 2'!F177</f>
        <v>11267070</v>
      </c>
      <c r="F108" s="52">
        <f>'дод. 2'!G177</f>
        <v>0</v>
      </c>
      <c r="G108" s="52">
        <f>'дод. 2'!H177</f>
        <v>0</v>
      </c>
      <c r="H108" s="52">
        <f>'дод. 2'!I177</f>
        <v>0</v>
      </c>
      <c r="I108" s="52">
        <f>'дод. 2'!J177</f>
        <v>0</v>
      </c>
      <c r="J108" s="52">
        <f>'дод. 2'!K177</f>
        <v>0</v>
      </c>
      <c r="K108" s="52">
        <f>'дод. 2'!L177</f>
        <v>0</v>
      </c>
      <c r="L108" s="52">
        <f>'дод. 2'!M177</f>
        <v>0</v>
      </c>
      <c r="M108" s="52">
        <f>'дод. 2'!N177</f>
        <v>0</v>
      </c>
      <c r="N108" s="52">
        <f>'дод. 2'!O177</f>
        <v>0</v>
      </c>
      <c r="O108" s="52">
        <f>'дод. 2'!P177</f>
        <v>11267070</v>
      </c>
      <c r="P108" s="292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80"/>
      <c r="AG108" s="180"/>
      <c r="AH108" s="180"/>
      <c r="AI108" s="180"/>
    </row>
    <row r="109" spans="1:35" s="8" customFormat="1" ht="64.5" customHeight="1">
      <c r="A109" s="7" t="s">
        <v>562</v>
      </c>
      <c r="B109" s="7" t="s">
        <v>83</v>
      </c>
      <c r="C109" s="14" t="s">
        <v>570</v>
      </c>
      <c r="D109" s="52">
        <f>'дод. 2'!E178</f>
        <v>148270</v>
      </c>
      <c r="E109" s="52">
        <f>'дод. 2'!F178</f>
        <v>148270</v>
      </c>
      <c r="F109" s="52">
        <f>'дод. 2'!G178</f>
        <v>0</v>
      </c>
      <c r="G109" s="52">
        <f>'дод. 2'!H178</f>
        <v>0</v>
      </c>
      <c r="H109" s="52">
        <f>'дод. 2'!I178</f>
        <v>0</v>
      </c>
      <c r="I109" s="52">
        <f>'дод. 2'!J178</f>
        <v>0</v>
      </c>
      <c r="J109" s="52">
        <f>'дод. 2'!K178</f>
        <v>0</v>
      </c>
      <c r="K109" s="52">
        <f>'дод. 2'!L178</f>
        <v>0</v>
      </c>
      <c r="L109" s="52">
        <f>'дод. 2'!M178</f>
        <v>0</v>
      </c>
      <c r="M109" s="52">
        <f>'дод. 2'!N178</f>
        <v>0</v>
      </c>
      <c r="N109" s="52">
        <f>'дод. 2'!O178</f>
        <v>0</v>
      </c>
      <c r="O109" s="52">
        <f>'дод. 2'!P178</f>
        <v>148270</v>
      </c>
      <c r="P109" s="292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  <c r="AH109" s="180"/>
      <c r="AI109" s="180"/>
    </row>
    <row r="110" spans="1:35" s="8" customFormat="1" ht="27" customHeight="1">
      <c r="A110" s="7"/>
      <c r="B110" s="7"/>
      <c r="C110" s="14" t="s">
        <v>416</v>
      </c>
      <c r="D110" s="52">
        <f>'дод. 2'!E179</f>
        <v>148270</v>
      </c>
      <c r="E110" s="52">
        <f>'дод. 2'!F179</f>
        <v>148270</v>
      </c>
      <c r="F110" s="52">
        <f>'дод. 2'!G179</f>
        <v>0</v>
      </c>
      <c r="G110" s="52">
        <f>'дод. 2'!H179</f>
        <v>0</v>
      </c>
      <c r="H110" s="52">
        <f>'дод. 2'!I179</f>
        <v>0</v>
      </c>
      <c r="I110" s="52">
        <f>'дод. 2'!J179</f>
        <v>0</v>
      </c>
      <c r="J110" s="52">
        <f>'дод. 2'!K179</f>
        <v>0</v>
      </c>
      <c r="K110" s="52">
        <f>'дод. 2'!L179</f>
        <v>0</v>
      </c>
      <c r="L110" s="52">
        <f>'дод. 2'!M179</f>
        <v>0</v>
      </c>
      <c r="M110" s="52">
        <f>'дод. 2'!N179</f>
        <v>0</v>
      </c>
      <c r="N110" s="52">
        <f>'дод. 2'!O179</f>
        <v>0</v>
      </c>
      <c r="O110" s="52">
        <f>'дод. 2'!P179</f>
        <v>148270</v>
      </c>
      <c r="P110" s="292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  <c r="AH110" s="180"/>
      <c r="AI110" s="180"/>
    </row>
    <row r="111" spans="1:35" ht="40.5" customHeight="1">
      <c r="A111" s="5" t="s">
        <v>502</v>
      </c>
      <c r="B111" s="5" t="s">
        <v>87</v>
      </c>
      <c r="C111" s="13" t="s">
        <v>503</v>
      </c>
      <c r="D111" s="51">
        <f>'дод. 2'!E180</f>
        <v>200700</v>
      </c>
      <c r="E111" s="51">
        <f>'дод. 2'!F180</f>
        <v>200700</v>
      </c>
      <c r="F111" s="51">
        <f>'дод. 2'!G180</f>
        <v>0</v>
      </c>
      <c r="G111" s="51">
        <f>'дод. 2'!H180</f>
        <v>0</v>
      </c>
      <c r="H111" s="51">
        <f>'дод. 2'!I180</f>
        <v>0</v>
      </c>
      <c r="I111" s="51">
        <f>'дод. 2'!J180</f>
        <v>0</v>
      </c>
      <c r="J111" s="51">
        <f>'дод. 2'!K180</f>
        <v>0</v>
      </c>
      <c r="K111" s="51">
        <f>'дод. 2'!L180</f>
        <v>0</v>
      </c>
      <c r="L111" s="51">
        <f>'дод. 2'!M180</f>
        <v>0</v>
      </c>
      <c r="M111" s="51">
        <f>'дод. 2'!N180</f>
        <v>0</v>
      </c>
      <c r="N111" s="51">
        <f>'дод. 2'!O180</f>
        <v>0</v>
      </c>
      <c r="O111" s="51">
        <f>'дод. 2'!P180</f>
        <v>200700</v>
      </c>
      <c r="P111" s="292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  <c r="AD111" s="179"/>
      <c r="AE111" s="179"/>
      <c r="AF111" s="179"/>
      <c r="AG111" s="179"/>
      <c r="AH111" s="179"/>
      <c r="AI111" s="179"/>
    </row>
    <row r="112" spans="1:35" ht="62.25" customHeight="1">
      <c r="A112" s="5" t="s">
        <v>150</v>
      </c>
      <c r="B112" s="15"/>
      <c r="C112" s="13" t="s">
        <v>452</v>
      </c>
      <c r="D112" s="51">
        <f aca="true" t="shared" si="24" ref="D112:O112">D113</f>
        <v>9327875</v>
      </c>
      <c r="E112" s="51">
        <f t="shared" si="24"/>
        <v>9327875</v>
      </c>
      <c r="F112" s="51">
        <f t="shared" si="24"/>
        <v>7009500</v>
      </c>
      <c r="G112" s="51">
        <f t="shared" si="24"/>
        <v>193245</v>
      </c>
      <c r="H112" s="51">
        <f t="shared" si="24"/>
        <v>0</v>
      </c>
      <c r="I112" s="51">
        <f t="shared" si="24"/>
        <v>76400</v>
      </c>
      <c r="J112" s="51">
        <f t="shared" si="24"/>
        <v>57900</v>
      </c>
      <c r="K112" s="51">
        <f t="shared" si="24"/>
        <v>44700</v>
      </c>
      <c r="L112" s="51">
        <f t="shared" si="24"/>
        <v>0</v>
      </c>
      <c r="M112" s="51">
        <f t="shared" si="24"/>
        <v>18500</v>
      </c>
      <c r="N112" s="51">
        <f t="shared" si="24"/>
        <v>18500</v>
      </c>
      <c r="O112" s="51">
        <f t="shared" si="24"/>
        <v>9404275</v>
      </c>
      <c r="P112" s="292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176"/>
      <c r="AI112" s="176"/>
    </row>
    <row r="113" spans="1:35" s="8" customFormat="1" ht="74.25" customHeight="1">
      <c r="A113" s="7" t="s">
        <v>151</v>
      </c>
      <c r="B113" s="7" t="s">
        <v>85</v>
      </c>
      <c r="C113" s="14" t="s">
        <v>57</v>
      </c>
      <c r="D113" s="52">
        <f>'дод. 2'!E182</f>
        <v>9327875</v>
      </c>
      <c r="E113" s="52">
        <f>'дод. 2'!F182</f>
        <v>9327875</v>
      </c>
      <c r="F113" s="52">
        <f>'дод. 2'!G182</f>
        <v>7009500</v>
      </c>
      <c r="G113" s="52">
        <f>'дод. 2'!H182</f>
        <v>193245</v>
      </c>
      <c r="H113" s="52">
        <f>'дод. 2'!I182</f>
        <v>0</v>
      </c>
      <c r="I113" s="52">
        <f>'дод. 2'!J182</f>
        <v>76400</v>
      </c>
      <c r="J113" s="52">
        <f>'дод. 2'!K182</f>
        <v>57900</v>
      </c>
      <c r="K113" s="52">
        <f>'дод. 2'!L182</f>
        <v>44700</v>
      </c>
      <c r="L113" s="52">
        <f>'дод. 2'!M182</f>
        <v>0</v>
      </c>
      <c r="M113" s="52">
        <f>'дод. 2'!N182</f>
        <v>18500</v>
      </c>
      <c r="N113" s="52">
        <f>'дод. 2'!O182</f>
        <v>18500</v>
      </c>
      <c r="O113" s="52">
        <f>'дод. 2'!P182</f>
        <v>9404275</v>
      </c>
      <c r="P113" s="292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8"/>
      <c r="AG113" s="178"/>
      <c r="AH113" s="178"/>
      <c r="AI113" s="178"/>
    </row>
    <row r="114" spans="1:35" ht="36.75" customHeight="1">
      <c r="A114" s="5" t="s">
        <v>161</v>
      </c>
      <c r="B114" s="5"/>
      <c r="C114" s="13" t="s">
        <v>62</v>
      </c>
      <c r="D114" s="48">
        <f aca="true" t="shared" si="25" ref="D114:O114">D115</f>
        <v>80000</v>
      </c>
      <c r="E114" s="48">
        <f t="shared" si="25"/>
        <v>80000</v>
      </c>
      <c r="F114" s="48">
        <f t="shared" si="25"/>
        <v>0</v>
      </c>
      <c r="G114" s="48">
        <f t="shared" si="25"/>
        <v>0</v>
      </c>
      <c r="H114" s="48">
        <f t="shared" si="25"/>
        <v>0</v>
      </c>
      <c r="I114" s="48">
        <f t="shared" si="25"/>
        <v>0</v>
      </c>
      <c r="J114" s="48">
        <f t="shared" si="25"/>
        <v>0</v>
      </c>
      <c r="K114" s="48">
        <f t="shared" si="25"/>
        <v>0</v>
      </c>
      <c r="L114" s="48">
        <f t="shared" si="25"/>
        <v>0</v>
      </c>
      <c r="M114" s="48">
        <f t="shared" si="25"/>
        <v>0</v>
      </c>
      <c r="N114" s="48">
        <f t="shared" si="25"/>
        <v>0</v>
      </c>
      <c r="O114" s="48">
        <f t="shared" si="25"/>
        <v>80000</v>
      </c>
      <c r="P114" s="292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</row>
    <row r="115" spans="1:35" s="8" customFormat="1" ht="43.5" customHeight="1">
      <c r="A115" s="7" t="s">
        <v>152</v>
      </c>
      <c r="B115" s="7" t="s">
        <v>148</v>
      </c>
      <c r="C115" s="14" t="s">
        <v>60</v>
      </c>
      <c r="D115" s="50">
        <f>'дод. 2'!E209</f>
        <v>80000</v>
      </c>
      <c r="E115" s="50">
        <f>'дод. 2'!F209</f>
        <v>80000</v>
      </c>
      <c r="F115" s="50">
        <f>'дод. 2'!G209</f>
        <v>0</v>
      </c>
      <c r="G115" s="50">
        <f>'дод. 2'!H209</f>
        <v>0</v>
      </c>
      <c r="H115" s="50">
        <f>'дод. 2'!I209</f>
        <v>0</v>
      </c>
      <c r="I115" s="50">
        <f>'дод. 2'!J209</f>
        <v>0</v>
      </c>
      <c r="J115" s="50">
        <f>'дод. 2'!K209</f>
        <v>0</v>
      </c>
      <c r="K115" s="50">
        <f>'дод. 2'!L209</f>
        <v>0</v>
      </c>
      <c r="L115" s="50">
        <f>'дод. 2'!M209</f>
        <v>0</v>
      </c>
      <c r="M115" s="50">
        <f>'дод. 2'!N209</f>
        <v>0</v>
      </c>
      <c r="N115" s="50">
        <f>'дод. 2'!O209</f>
        <v>0</v>
      </c>
      <c r="O115" s="50">
        <f>'дод. 2'!P209</f>
        <v>80000</v>
      </c>
      <c r="P115" s="29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</row>
    <row r="116" spans="1:35" ht="37.5" customHeight="1">
      <c r="A116" s="5" t="s">
        <v>200</v>
      </c>
      <c r="B116" s="5"/>
      <c r="C116" s="13" t="s">
        <v>40</v>
      </c>
      <c r="D116" s="48">
        <f aca="true" t="shared" si="26" ref="D116:O116">D117</f>
        <v>1791330</v>
      </c>
      <c r="E116" s="48">
        <f t="shared" si="26"/>
        <v>1791330</v>
      </c>
      <c r="F116" s="48">
        <f t="shared" si="26"/>
        <v>1348310</v>
      </c>
      <c r="G116" s="48">
        <f t="shared" si="26"/>
        <v>63780</v>
      </c>
      <c r="H116" s="48">
        <f t="shared" si="26"/>
        <v>0</v>
      </c>
      <c r="I116" s="48">
        <f t="shared" si="26"/>
        <v>405500</v>
      </c>
      <c r="J116" s="48">
        <f t="shared" si="26"/>
        <v>0</v>
      </c>
      <c r="K116" s="48">
        <f t="shared" si="26"/>
        <v>0</v>
      </c>
      <c r="L116" s="48">
        <f t="shared" si="26"/>
        <v>0</v>
      </c>
      <c r="M116" s="48">
        <f t="shared" si="26"/>
        <v>405500</v>
      </c>
      <c r="N116" s="48">
        <f t="shared" si="26"/>
        <v>405500</v>
      </c>
      <c r="O116" s="48">
        <f t="shared" si="26"/>
        <v>2196830</v>
      </c>
      <c r="P116" s="292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</row>
    <row r="117" spans="1:35" s="8" customFormat="1" ht="42.75" customHeight="1">
      <c r="A117" s="7" t="s">
        <v>201</v>
      </c>
      <c r="B117" s="7" t="s">
        <v>148</v>
      </c>
      <c r="C117" s="14" t="s">
        <v>202</v>
      </c>
      <c r="D117" s="50">
        <f>'дод. 2'!E19</f>
        <v>1791330</v>
      </c>
      <c r="E117" s="50">
        <f>'дод. 2'!F19</f>
        <v>1791330</v>
      </c>
      <c r="F117" s="50">
        <f>'дод. 2'!G19</f>
        <v>1348310</v>
      </c>
      <c r="G117" s="50">
        <f>'дод. 2'!H19</f>
        <v>63780</v>
      </c>
      <c r="H117" s="50">
        <f>'дод. 2'!I19</f>
        <v>0</v>
      </c>
      <c r="I117" s="50">
        <f>'дод. 2'!J19</f>
        <v>405500</v>
      </c>
      <c r="J117" s="50">
        <f>'дод. 2'!K19</f>
        <v>0</v>
      </c>
      <c r="K117" s="50">
        <f>'дод. 2'!L19</f>
        <v>0</v>
      </c>
      <c r="L117" s="50">
        <f>'дод. 2'!M19</f>
        <v>0</v>
      </c>
      <c r="M117" s="50">
        <f>'дод. 2'!N19</f>
        <v>405500</v>
      </c>
      <c r="N117" s="50">
        <f>'дод. 2'!O19</f>
        <v>405500</v>
      </c>
      <c r="O117" s="50">
        <f>'дод. 2'!P19</f>
        <v>2196830</v>
      </c>
      <c r="P117" s="29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</row>
    <row r="118" spans="1:35" ht="24.75" customHeight="1">
      <c r="A118" s="5" t="s">
        <v>157</v>
      </c>
      <c r="B118" s="5"/>
      <c r="C118" s="13" t="s">
        <v>168</v>
      </c>
      <c r="D118" s="48">
        <f aca="true" t="shared" si="27" ref="D118:O118">D119</f>
        <v>684600</v>
      </c>
      <c r="E118" s="48">
        <f t="shared" si="27"/>
        <v>684600</v>
      </c>
      <c r="F118" s="48">
        <f t="shared" si="27"/>
        <v>0</v>
      </c>
      <c r="G118" s="48">
        <f t="shared" si="27"/>
        <v>0</v>
      </c>
      <c r="H118" s="48">
        <f t="shared" si="27"/>
        <v>0</v>
      </c>
      <c r="I118" s="48">
        <f t="shared" si="27"/>
        <v>0</v>
      </c>
      <c r="J118" s="48">
        <f t="shared" si="27"/>
        <v>0</v>
      </c>
      <c r="K118" s="48">
        <f t="shared" si="27"/>
        <v>0</v>
      </c>
      <c r="L118" s="48">
        <f t="shared" si="27"/>
        <v>0</v>
      </c>
      <c r="M118" s="48">
        <f t="shared" si="27"/>
        <v>0</v>
      </c>
      <c r="N118" s="48">
        <f t="shared" si="27"/>
        <v>0</v>
      </c>
      <c r="O118" s="48">
        <f t="shared" si="27"/>
        <v>684600</v>
      </c>
      <c r="P118" s="292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</row>
    <row r="119" spans="1:35" s="8" customFormat="1" ht="58.5" customHeight="1">
      <c r="A119" s="27" t="s">
        <v>158</v>
      </c>
      <c r="B119" s="27" t="s">
        <v>148</v>
      </c>
      <c r="C119" s="14" t="s">
        <v>224</v>
      </c>
      <c r="D119" s="50">
        <f>'дод. 2'!E21</f>
        <v>684600</v>
      </c>
      <c r="E119" s="50">
        <f>'дод. 2'!F21</f>
        <v>684600</v>
      </c>
      <c r="F119" s="50">
        <f>'дод. 2'!G21</f>
        <v>0</v>
      </c>
      <c r="G119" s="50">
        <f>'дод. 2'!H21</f>
        <v>0</v>
      </c>
      <c r="H119" s="50">
        <f>'дод. 2'!I21</f>
        <v>0</v>
      </c>
      <c r="I119" s="50">
        <f>'дод. 2'!J21</f>
        <v>0</v>
      </c>
      <c r="J119" s="50">
        <f>'дод. 2'!K21</f>
        <v>0</v>
      </c>
      <c r="K119" s="50">
        <f>'дод. 2'!L21</f>
        <v>0</v>
      </c>
      <c r="L119" s="50">
        <f>'дод. 2'!M21</f>
        <v>0</v>
      </c>
      <c r="M119" s="50">
        <f>'дод. 2'!N21</f>
        <v>0</v>
      </c>
      <c r="N119" s="50">
        <f>'дод. 2'!O21</f>
        <v>0</v>
      </c>
      <c r="O119" s="50">
        <f>'дод. 2'!P21</f>
        <v>684600</v>
      </c>
      <c r="P119" s="29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</row>
    <row r="120" spans="1:35" ht="75" customHeight="1">
      <c r="A120" s="5" t="s">
        <v>159</v>
      </c>
      <c r="B120" s="5" t="s">
        <v>148</v>
      </c>
      <c r="C120" s="18" t="s">
        <v>41</v>
      </c>
      <c r="D120" s="48">
        <f>'дод. 2'!E22+'дод. 2'!E81</f>
        <v>8827355</v>
      </c>
      <c r="E120" s="48">
        <f>'дод. 2'!F22+'дод. 2'!F81</f>
        <v>8827355</v>
      </c>
      <c r="F120" s="48">
        <f>'дод. 2'!G22+'дод. 2'!G81</f>
        <v>0</v>
      </c>
      <c r="G120" s="48">
        <f>'дод. 2'!H22+'дод. 2'!H81</f>
        <v>0</v>
      </c>
      <c r="H120" s="48">
        <f>'дод. 2'!I22+'дод. 2'!I81</f>
        <v>0</v>
      </c>
      <c r="I120" s="48">
        <f>'дод. 2'!J22+'дод. 2'!J81</f>
        <v>0</v>
      </c>
      <c r="J120" s="48">
        <f>'дод. 2'!K22+'дод. 2'!K81</f>
        <v>0</v>
      </c>
      <c r="K120" s="48">
        <f>'дод. 2'!L22+'дод. 2'!L81</f>
        <v>0</v>
      </c>
      <c r="L120" s="48">
        <f>'дод. 2'!M22+'дод. 2'!M81</f>
        <v>0</v>
      </c>
      <c r="M120" s="48">
        <f>'дод. 2'!N22+'дод. 2'!N81</f>
        <v>0</v>
      </c>
      <c r="N120" s="48">
        <f>'дод. 2'!O22+'дод. 2'!O81</f>
        <v>0</v>
      </c>
      <c r="O120" s="48">
        <f>'дод. 2'!P22+'дод. 2'!P81</f>
        <v>8827355</v>
      </c>
      <c r="P120" s="292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</row>
    <row r="121" spans="1:35" ht="92.25" customHeight="1">
      <c r="A121" s="5" t="s">
        <v>160</v>
      </c>
      <c r="B121" s="31">
        <v>1010</v>
      </c>
      <c r="C121" s="13" t="s">
        <v>453</v>
      </c>
      <c r="D121" s="48">
        <f>'дод. 2'!E183</f>
        <v>1673920</v>
      </c>
      <c r="E121" s="48">
        <f>'дод. 2'!F183</f>
        <v>1673920</v>
      </c>
      <c r="F121" s="48">
        <f>'дод. 2'!G183</f>
        <v>0</v>
      </c>
      <c r="G121" s="48">
        <f>'дод. 2'!H183</f>
        <v>0</v>
      </c>
      <c r="H121" s="48">
        <f>'дод. 2'!I183</f>
        <v>0</v>
      </c>
      <c r="I121" s="48">
        <f>'дод. 2'!J183</f>
        <v>0</v>
      </c>
      <c r="J121" s="48">
        <f>'дод. 2'!K183</f>
        <v>0</v>
      </c>
      <c r="K121" s="48">
        <f>'дод. 2'!L183</f>
        <v>0</v>
      </c>
      <c r="L121" s="48">
        <f>'дод. 2'!M183</f>
        <v>0</v>
      </c>
      <c r="M121" s="48">
        <f>'дод. 2'!N183</f>
        <v>0</v>
      </c>
      <c r="N121" s="48">
        <f>'дод. 2'!O183</f>
        <v>0</v>
      </c>
      <c r="O121" s="48">
        <f>'дод. 2'!P183</f>
        <v>1673920</v>
      </c>
      <c r="P121" s="292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</row>
    <row r="122" spans="1:35" ht="32.25" customHeight="1">
      <c r="A122" s="5" t="s">
        <v>504</v>
      </c>
      <c r="B122" s="31"/>
      <c r="C122" s="13" t="s">
        <v>507</v>
      </c>
      <c r="D122" s="48">
        <f aca="true" t="shared" si="28" ref="D122:O122">D123+D124</f>
        <v>188864</v>
      </c>
      <c r="E122" s="48">
        <f t="shared" si="28"/>
        <v>188864</v>
      </c>
      <c r="F122" s="48">
        <f t="shared" si="28"/>
        <v>0</v>
      </c>
      <c r="G122" s="48">
        <f t="shared" si="28"/>
        <v>0</v>
      </c>
      <c r="H122" s="48">
        <f t="shared" si="28"/>
        <v>0</v>
      </c>
      <c r="I122" s="48">
        <f t="shared" si="28"/>
        <v>0</v>
      </c>
      <c r="J122" s="48">
        <f t="shared" si="28"/>
        <v>0</v>
      </c>
      <c r="K122" s="48">
        <f t="shared" si="28"/>
        <v>0</v>
      </c>
      <c r="L122" s="48">
        <f t="shared" si="28"/>
        <v>0</v>
      </c>
      <c r="M122" s="48">
        <f t="shared" si="28"/>
        <v>0</v>
      </c>
      <c r="N122" s="48">
        <f t="shared" si="28"/>
        <v>0</v>
      </c>
      <c r="O122" s="48">
        <f t="shared" si="28"/>
        <v>188864</v>
      </c>
      <c r="P122" s="292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</row>
    <row r="123" spans="1:35" s="8" customFormat="1" ht="67.5" customHeight="1">
      <c r="A123" s="7" t="s">
        <v>505</v>
      </c>
      <c r="B123" s="139">
        <v>1010</v>
      </c>
      <c r="C123" s="14" t="s">
        <v>508</v>
      </c>
      <c r="D123" s="50">
        <f>'дод. 2'!E185</f>
        <v>188024</v>
      </c>
      <c r="E123" s="50">
        <f>'дод. 2'!F185</f>
        <v>188024</v>
      </c>
      <c r="F123" s="50">
        <f>'дод. 2'!G185</f>
        <v>0</v>
      </c>
      <c r="G123" s="50">
        <f>'дод. 2'!H185</f>
        <v>0</v>
      </c>
      <c r="H123" s="50">
        <f>'дод. 2'!I185</f>
        <v>0</v>
      </c>
      <c r="I123" s="50">
        <f>'дод. 2'!J185</f>
        <v>0</v>
      </c>
      <c r="J123" s="50">
        <f>'дод. 2'!K185</f>
        <v>0</v>
      </c>
      <c r="K123" s="50">
        <f>'дод. 2'!L185</f>
        <v>0</v>
      </c>
      <c r="L123" s="50">
        <f>'дод. 2'!M185</f>
        <v>0</v>
      </c>
      <c r="M123" s="50">
        <f>'дод. 2'!N185</f>
        <v>0</v>
      </c>
      <c r="N123" s="50">
        <f>'дод. 2'!O185</f>
        <v>0</v>
      </c>
      <c r="O123" s="50">
        <f>'дод. 2'!P185</f>
        <v>188024</v>
      </c>
      <c r="P123" s="292">
        <v>20</v>
      </c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</row>
    <row r="124" spans="1:35" s="8" customFormat="1" ht="32.25" customHeight="1">
      <c r="A124" s="7" t="s">
        <v>506</v>
      </c>
      <c r="B124" s="139">
        <v>1010</v>
      </c>
      <c r="C124" s="14" t="s">
        <v>509</v>
      </c>
      <c r="D124" s="50">
        <f>'дод. 2'!E186</f>
        <v>840</v>
      </c>
      <c r="E124" s="50">
        <f>'дод. 2'!F186</f>
        <v>840</v>
      </c>
      <c r="F124" s="50">
        <f>'дод. 2'!G186</f>
        <v>0</v>
      </c>
      <c r="G124" s="50">
        <f>'дод. 2'!H186</f>
        <v>0</v>
      </c>
      <c r="H124" s="50">
        <f>'дод. 2'!I186</f>
        <v>0</v>
      </c>
      <c r="I124" s="50">
        <f>'дод. 2'!J186</f>
        <v>0</v>
      </c>
      <c r="J124" s="50">
        <f>'дод. 2'!K186</f>
        <v>0</v>
      </c>
      <c r="K124" s="50">
        <f>'дод. 2'!L186</f>
        <v>0</v>
      </c>
      <c r="L124" s="50">
        <f>'дод. 2'!M186</f>
        <v>0</v>
      </c>
      <c r="M124" s="50">
        <f>'дод. 2'!N186</f>
        <v>0</v>
      </c>
      <c r="N124" s="50">
        <f>'дод. 2'!O186</f>
        <v>0</v>
      </c>
      <c r="O124" s="50">
        <f>'дод. 2'!P186</f>
        <v>840</v>
      </c>
      <c r="P124" s="292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  <c r="AH124" s="184"/>
      <c r="AI124" s="184"/>
    </row>
    <row r="125" spans="1:35" ht="85.5" customHeight="1">
      <c r="A125" s="5" t="s">
        <v>153</v>
      </c>
      <c r="B125" s="5" t="s">
        <v>88</v>
      </c>
      <c r="C125" s="13" t="s">
        <v>203</v>
      </c>
      <c r="D125" s="48">
        <f>'дод. 2'!E187</f>
        <v>1282391</v>
      </c>
      <c r="E125" s="48">
        <f>'дод. 2'!F187</f>
        <v>1282391</v>
      </c>
      <c r="F125" s="48">
        <f>'дод. 2'!G187</f>
        <v>0</v>
      </c>
      <c r="G125" s="48">
        <f>'дод. 2'!H187</f>
        <v>0</v>
      </c>
      <c r="H125" s="48">
        <f>'дод. 2'!I187</f>
        <v>0</v>
      </c>
      <c r="I125" s="48">
        <f>'дод. 2'!J187</f>
        <v>0</v>
      </c>
      <c r="J125" s="48">
        <f>'дод. 2'!K187</f>
        <v>0</v>
      </c>
      <c r="K125" s="48">
        <f>'дод. 2'!L187</f>
        <v>0</v>
      </c>
      <c r="L125" s="48">
        <f>'дод. 2'!M187</f>
        <v>0</v>
      </c>
      <c r="M125" s="48">
        <f>'дод. 2'!N187</f>
        <v>0</v>
      </c>
      <c r="N125" s="48">
        <f>'дод. 2'!O187</f>
        <v>0</v>
      </c>
      <c r="O125" s="48">
        <f>'дод. 2'!P187</f>
        <v>1282391</v>
      </c>
      <c r="P125" s="292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</row>
    <row r="126" spans="1:35" ht="19.5" customHeight="1">
      <c r="A126" s="5" t="s">
        <v>154</v>
      </c>
      <c r="B126" s="31"/>
      <c r="C126" s="13" t="s">
        <v>58</v>
      </c>
      <c r="D126" s="48">
        <f>D127+D128</f>
        <v>3209214</v>
      </c>
      <c r="E126" s="48">
        <f aca="true" t="shared" si="29" ref="E126:O126">E127+E128</f>
        <v>3209214</v>
      </c>
      <c r="F126" s="48">
        <f t="shared" si="29"/>
        <v>0</v>
      </c>
      <c r="G126" s="48">
        <f t="shared" si="29"/>
        <v>0</v>
      </c>
      <c r="H126" s="48">
        <f t="shared" si="29"/>
        <v>0</v>
      </c>
      <c r="I126" s="48">
        <f t="shared" si="29"/>
        <v>0</v>
      </c>
      <c r="J126" s="48">
        <f t="shared" si="29"/>
        <v>0</v>
      </c>
      <c r="K126" s="48">
        <f t="shared" si="29"/>
        <v>0</v>
      </c>
      <c r="L126" s="48">
        <f t="shared" si="29"/>
        <v>0</v>
      </c>
      <c r="M126" s="48">
        <f t="shared" si="29"/>
        <v>0</v>
      </c>
      <c r="N126" s="48">
        <f t="shared" si="29"/>
        <v>0</v>
      </c>
      <c r="O126" s="48">
        <f t="shared" si="29"/>
        <v>3209214</v>
      </c>
      <c r="P126" s="292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81"/>
      <c r="AI126" s="181"/>
    </row>
    <row r="127" spans="1:35" s="8" customFormat="1" ht="42.75" customHeight="1">
      <c r="A127" s="7" t="s">
        <v>454</v>
      </c>
      <c r="B127" s="7" t="s">
        <v>87</v>
      </c>
      <c r="C127" s="14" t="s">
        <v>36</v>
      </c>
      <c r="D127" s="50">
        <f>'дод. 2'!E189</f>
        <v>1937114</v>
      </c>
      <c r="E127" s="50">
        <f>'дод. 2'!F189</f>
        <v>1937114</v>
      </c>
      <c r="F127" s="50">
        <f>'дод. 2'!G189</f>
        <v>0</v>
      </c>
      <c r="G127" s="50">
        <f>'дод. 2'!H189</f>
        <v>0</v>
      </c>
      <c r="H127" s="50">
        <f>'дод. 2'!I189</f>
        <v>0</v>
      </c>
      <c r="I127" s="50">
        <f>'дод. 2'!J189</f>
        <v>0</v>
      </c>
      <c r="J127" s="50">
        <f>'дод. 2'!K189</f>
        <v>0</v>
      </c>
      <c r="K127" s="50">
        <f>'дод. 2'!L189</f>
        <v>0</v>
      </c>
      <c r="L127" s="50">
        <f>'дод. 2'!M189</f>
        <v>0</v>
      </c>
      <c r="M127" s="50">
        <f>'дод. 2'!N189</f>
        <v>0</v>
      </c>
      <c r="N127" s="50">
        <f>'дод. 2'!O189</f>
        <v>0</v>
      </c>
      <c r="O127" s="50">
        <f>'дод. 2'!P189</f>
        <v>1937114</v>
      </c>
      <c r="P127" s="29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</row>
    <row r="128" spans="1:35" s="8" customFormat="1" ht="55.5" customHeight="1">
      <c r="A128" s="7" t="s">
        <v>455</v>
      </c>
      <c r="B128" s="7" t="s">
        <v>87</v>
      </c>
      <c r="C128" s="14" t="s">
        <v>498</v>
      </c>
      <c r="D128" s="50">
        <f>'дод. 2'!E190</f>
        <v>1272100</v>
      </c>
      <c r="E128" s="50">
        <f>'дод. 2'!F190</f>
        <v>1272100</v>
      </c>
      <c r="F128" s="50">
        <f>'дод. 2'!G190</f>
        <v>0</v>
      </c>
      <c r="G128" s="50">
        <f>'дод. 2'!H190</f>
        <v>0</v>
      </c>
      <c r="H128" s="50">
        <f>'дод. 2'!I190</f>
        <v>0</v>
      </c>
      <c r="I128" s="50">
        <f>'дод. 2'!J190</f>
        <v>0</v>
      </c>
      <c r="J128" s="50">
        <f>'дод. 2'!K190</f>
        <v>0</v>
      </c>
      <c r="K128" s="50">
        <f>'дод. 2'!L190</f>
        <v>0</v>
      </c>
      <c r="L128" s="50">
        <f>'дод. 2'!M190</f>
        <v>0</v>
      </c>
      <c r="M128" s="50">
        <f>'дод. 2'!N190</f>
        <v>0</v>
      </c>
      <c r="N128" s="50">
        <f>'дод. 2'!O190</f>
        <v>0</v>
      </c>
      <c r="O128" s="50">
        <f>'дод. 2'!P190</f>
        <v>1272100</v>
      </c>
      <c r="P128" s="29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</row>
    <row r="129" spans="1:35" ht="43.5" customHeight="1">
      <c r="A129" s="5" t="s">
        <v>155</v>
      </c>
      <c r="B129" s="5" t="s">
        <v>91</v>
      </c>
      <c r="C129" s="13" t="s">
        <v>225</v>
      </c>
      <c r="D129" s="48">
        <f>'дод. 2'!E191</f>
        <v>75000</v>
      </c>
      <c r="E129" s="48">
        <f>'дод. 2'!F191</f>
        <v>75000</v>
      </c>
      <c r="F129" s="48">
        <f>'дод. 2'!G191</f>
        <v>0</v>
      </c>
      <c r="G129" s="48">
        <f>'дод. 2'!H191</f>
        <v>0</v>
      </c>
      <c r="H129" s="48">
        <f>'дод. 2'!I191</f>
        <v>0</v>
      </c>
      <c r="I129" s="48">
        <f>'дод. 2'!J191</f>
        <v>0</v>
      </c>
      <c r="J129" s="48">
        <f>'дод. 2'!K191</f>
        <v>0</v>
      </c>
      <c r="K129" s="48">
        <f>'дод. 2'!L191</f>
        <v>0</v>
      </c>
      <c r="L129" s="48">
        <f>'дод. 2'!M191</f>
        <v>0</v>
      </c>
      <c r="M129" s="48">
        <f>'дод. 2'!N191</f>
        <v>0</v>
      </c>
      <c r="N129" s="48">
        <f>'дод. 2'!O191</f>
        <v>0</v>
      </c>
      <c r="O129" s="48">
        <f>'дод. 2'!P191</f>
        <v>75000</v>
      </c>
      <c r="P129" s="292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</row>
    <row r="130" spans="1:35" ht="27.75" customHeight="1">
      <c r="A130" s="5" t="s">
        <v>456</v>
      </c>
      <c r="B130" s="5" t="s">
        <v>156</v>
      </c>
      <c r="C130" s="13" t="s">
        <v>69</v>
      </c>
      <c r="D130" s="48">
        <f>'дод. 2'!E192+'дод. 2'!E227</f>
        <v>895000</v>
      </c>
      <c r="E130" s="48">
        <f>'дод. 2'!F192+'дод. 2'!F227</f>
        <v>895000</v>
      </c>
      <c r="F130" s="48">
        <f>'дод. 2'!G192+'дод. 2'!G227</f>
        <v>282787.1</v>
      </c>
      <c r="G130" s="48">
        <f>'дод. 2'!H192+'дод. 2'!H227</f>
        <v>0</v>
      </c>
      <c r="H130" s="48">
        <f>'дод. 2'!I192+'дод. 2'!I227</f>
        <v>0</v>
      </c>
      <c r="I130" s="48">
        <f>'дод. 2'!J192+'дод. 2'!J227</f>
        <v>0</v>
      </c>
      <c r="J130" s="48">
        <f>'дод. 2'!K192+'дод. 2'!K227</f>
        <v>0</v>
      </c>
      <c r="K130" s="48">
        <f>'дод. 2'!L192+'дод. 2'!L227</f>
        <v>0</v>
      </c>
      <c r="L130" s="48">
        <f>'дод. 2'!M192+'дод. 2'!M227</f>
        <v>0</v>
      </c>
      <c r="M130" s="48">
        <f>'дод. 2'!N192+'дод. 2'!N227</f>
        <v>0</v>
      </c>
      <c r="N130" s="48">
        <f>'дод. 2'!O192+'дод. 2'!O227</f>
        <v>0</v>
      </c>
      <c r="O130" s="48">
        <f>'дод. 2'!P192+'дод. 2'!P227</f>
        <v>895000</v>
      </c>
      <c r="P130" s="292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1"/>
    </row>
    <row r="131" spans="1:35" ht="53.25" customHeight="1">
      <c r="A131" s="5" t="s">
        <v>654</v>
      </c>
      <c r="B131" s="5"/>
      <c r="C131" s="13" t="s">
        <v>657</v>
      </c>
      <c r="D131" s="48">
        <f>D133</f>
        <v>0</v>
      </c>
      <c r="E131" s="48">
        <f aca="true" t="shared" si="30" ref="E131:O131">E133</f>
        <v>0</v>
      </c>
      <c r="F131" s="48">
        <f t="shared" si="30"/>
        <v>0</v>
      </c>
      <c r="G131" s="48">
        <f t="shared" si="30"/>
        <v>0</v>
      </c>
      <c r="H131" s="48">
        <f t="shared" si="30"/>
        <v>0</v>
      </c>
      <c r="I131" s="48">
        <f t="shared" si="30"/>
        <v>4839581.21</v>
      </c>
      <c r="J131" s="48">
        <f t="shared" si="30"/>
        <v>0</v>
      </c>
      <c r="K131" s="48">
        <f t="shared" si="30"/>
        <v>0</v>
      </c>
      <c r="L131" s="48">
        <f t="shared" si="30"/>
        <v>0</v>
      </c>
      <c r="M131" s="48">
        <f t="shared" si="30"/>
        <v>4839581.21</v>
      </c>
      <c r="N131" s="48">
        <f t="shared" si="30"/>
        <v>4839581.21</v>
      </c>
      <c r="O131" s="48">
        <f t="shared" si="30"/>
        <v>4839581.21</v>
      </c>
      <c r="P131" s="292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  <c r="AI131" s="181"/>
    </row>
    <row r="132" spans="2:35" ht="25.5" customHeight="1">
      <c r="B132" s="5"/>
      <c r="C132" s="13" t="s">
        <v>416</v>
      </c>
      <c r="D132" s="48">
        <f>D134</f>
        <v>0</v>
      </c>
      <c r="E132" s="48">
        <f aca="true" t="shared" si="31" ref="E132:O132">E134</f>
        <v>0</v>
      </c>
      <c r="F132" s="48">
        <f t="shared" si="31"/>
        <v>0</v>
      </c>
      <c r="G132" s="48">
        <f t="shared" si="31"/>
        <v>0</v>
      </c>
      <c r="H132" s="48">
        <f t="shared" si="31"/>
        <v>0</v>
      </c>
      <c r="I132" s="48">
        <f t="shared" si="31"/>
        <v>4839581.21</v>
      </c>
      <c r="J132" s="48">
        <f t="shared" si="31"/>
        <v>0</v>
      </c>
      <c r="K132" s="48">
        <f t="shared" si="31"/>
        <v>0</v>
      </c>
      <c r="L132" s="48">
        <f t="shared" si="31"/>
        <v>0</v>
      </c>
      <c r="M132" s="48">
        <f t="shared" si="31"/>
        <v>4839581.21</v>
      </c>
      <c r="N132" s="48">
        <f t="shared" si="31"/>
        <v>4839581.21</v>
      </c>
      <c r="O132" s="48">
        <f t="shared" si="31"/>
        <v>4839581.21</v>
      </c>
      <c r="P132" s="292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</row>
    <row r="133" spans="1:35" ht="211.5" customHeight="1">
      <c r="A133" s="7" t="s">
        <v>655</v>
      </c>
      <c r="B133" s="5" t="s">
        <v>88</v>
      </c>
      <c r="C133" s="262" t="s">
        <v>656</v>
      </c>
      <c r="D133" s="50">
        <f>'дод. 2'!E195</f>
        <v>0</v>
      </c>
      <c r="E133" s="50">
        <f>'дод. 2'!F195</f>
        <v>0</v>
      </c>
      <c r="F133" s="50">
        <f>'дод. 2'!G195</f>
        <v>0</v>
      </c>
      <c r="G133" s="50">
        <f>'дод. 2'!H195</f>
        <v>0</v>
      </c>
      <c r="H133" s="50">
        <f>'дод. 2'!I195</f>
        <v>0</v>
      </c>
      <c r="I133" s="50">
        <f>'дод. 2'!J195</f>
        <v>4839581.21</v>
      </c>
      <c r="J133" s="50">
        <f>'дод. 2'!K195</f>
        <v>0</v>
      </c>
      <c r="K133" s="50">
        <f>'дод. 2'!L195</f>
        <v>0</v>
      </c>
      <c r="L133" s="50">
        <f>'дод. 2'!M195</f>
        <v>0</v>
      </c>
      <c r="M133" s="50">
        <f>'дод. 2'!N195</f>
        <v>4839581.21</v>
      </c>
      <c r="N133" s="50">
        <f>'дод. 2'!O195</f>
        <v>4839581.21</v>
      </c>
      <c r="O133" s="50">
        <f>'дод. 2'!P195</f>
        <v>4839581.21</v>
      </c>
      <c r="P133" s="292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</row>
    <row r="134" spans="1:35" s="8" customFormat="1" ht="27.75" customHeight="1">
      <c r="A134" s="7"/>
      <c r="B134" s="7"/>
      <c r="C134" s="14" t="s">
        <v>416</v>
      </c>
      <c r="D134" s="50">
        <f>'дод. 2'!E196</f>
        <v>0</v>
      </c>
      <c r="E134" s="50">
        <f>'дод. 2'!F196</f>
        <v>0</v>
      </c>
      <c r="F134" s="50">
        <f>'дод. 2'!G196</f>
        <v>0</v>
      </c>
      <c r="G134" s="50">
        <f>'дод. 2'!H196</f>
        <v>0</v>
      </c>
      <c r="H134" s="50">
        <f>'дод. 2'!I196</f>
        <v>0</v>
      </c>
      <c r="I134" s="50">
        <f>'дод. 2'!J196</f>
        <v>4839581.21</v>
      </c>
      <c r="J134" s="50">
        <f>'дод. 2'!K196</f>
        <v>0</v>
      </c>
      <c r="K134" s="50">
        <f>'дод. 2'!L196</f>
        <v>0</v>
      </c>
      <c r="L134" s="50">
        <f>'дод. 2'!M196</f>
        <v>0</v>
      </c>
      <c r="M134" s="50">
        <f>'дод. 2'!N196</f>
        <v>4839581.21</v>
      </c>
      <c r="N134" s="50">
        <f>'дод. 2'!O196</f>
        <v>4839581.21</v>
      </c>
      <c r="O134" s="50">
        <f>'дод. 2'!P196</f>
        <v>4839581.21</v>
      </c>
      <c r="P134" s="29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</row>
    <row r="135" spans="1:35" ht="161.25" customHeight="1">
      <c r="A135" s="5" t="s">
        <v>564</v>
      </c>
      <c r="B135" s="5" t="s">
        <v>148</v>
      </c>
      <c r="C135" s="13" t="s">
        <v>565</v>
      </c>
      <c r="D135" s="48">
        <f>'дод. 2'!E197</f>
        <v>2495700</v>
      </c>
      <c r="E135" s="48">
        <f>'дод. 2'!F197</f>
        <v>2495700</v>
      </c>
      <c r="F135" s="48">
        <f>'дод. 2'!G197</f>
        <v>0</v>
      </c>
      <c r="G135" s="48">
        <f>'дод. 2'!H197</f>
        <v>0</v>
      </c>
      <c r="H135" s="48">
        <f>'дод. 2'!I197</f>
        <v>0</v>
      </c>
      <c r="I135" s="48">
        <f>'дод. 2'!J197</f>
        <v>0</v>
      </c>
      <c r="J135" s="48">
        <f>'дод. 2'!K197</f>
        <v>0</v>
      </c>
      <c r="K135" s="48">
        <f>'дод. 2'!L197</f>
        <v>0</v>
      </c>
      <c r="L135" s="48">
        <f>'дод. 2'!M197</f>
        <v>0</v>
      </c>
      <c r="M135" s="48">
        <f>'дод. 2'!N197</f>
        <v>0</v>
      </c>
      <c r="N135" s="48">
        <f>'дод. 2'!O197</f>
        <v>0</v>
      </c>
      <c r="O135" s="48">
        <f>'дод. 2'!P197</f>
        <v>2495700</v>
      </c>
      <c r="P135" s="292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</row>
    <row r="136" spans="2:35" ht="27.75" customHeight="1">
      <c r="B136" s="5"/>
      <c r="C136" s="13" t="s">
        <v>416</v>
      </c>
      <c r="D136" s="48">
        <f>'дод. 2'!E198</f>
        <v>2495700</v>
      </c>
      <c r="E136" s="48">
        <f>'дод. 2'!F198</f>
        <v>2495700</v>
      </c>
      <c r="F136" s="48">
        <f>'дод. 2'!G198</f>
        <v>0</v>
      </c>
      <c r="G136" s="48">
        <f>'дод. 2'!H198</f>
        <v>0</v>
      </c>
      <c r="H136" s="48">
        <f>'дод. 2'!I198</f>
        <v>0</v>
      </c>
      <c r="I136" s="48">
        <f>'дод. 2'!J198</f>
        <v>0</v>
      </c>
      <c r="J136" s="48">
        <f>'дод. 2'!K198</f>
        <v>0</v>
      </c>
      <c r="K136" s="48">
        <f>'дод. 2'!L198</f>
        <v>0</v>
      </c>
      <c r="L136" s="48">
        <f>'дод. 2'!M198</f>
        <v>0</v>
      </c>
      <c r="M136" s="48">
        <f>'дод. 2'!N198</f>
        <v>0</v>
      </c>
      <c r="N136" s="48">
        <f>'дод. 2'!O198</f>
        <v>0</v>
      </c>
      <c r="O136" s="48">
        <f>'дод. 2'!P198</f>
        <v>2495700</v>
      </c>
      <c r="P136" s="292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</row>
    <row r="137" spans="1:35" ht="29.25" customHeight="1">
      <c r="A137" s="5" t="s">
        <v>457</v>
      </c>
      <c r="B137" s="5"/>
      <c r="C137" s="13" t="s">
        <v>458</v>
      </c>
      <c r="D137" s="48">
        <f>D138+D139</f>
        <v>40180415.7</v>
      </c>
      <c r="E137" s="48">
        <f aca="true" t="shared" si="32" ref="E137:O137">E138+E139</f>
        <v>40180415.7</v>
      </c>
      <c r="F137" s="48">
        <f t="shared" si="32"/>
        <v>3173092</v>
      </c>
      <c r="G137" s="48">
        <f t="shared" si="32"/>
        <v>770758</v>
      </c>
      <c r="H137" s="48">
        <f t="shared" si="32"/>
        <v>0</v>
      </c>
      <c r="I137" s="48">
        <f t="shared" si="32"/>
        <v>375000</v>
      </c>
      <c r="J137" s="48">
        <f t="shared" si="32"/>
        <v>0</v>
      </c>
      <c r="K137" s="48">
        <f t="shared" si="32"/>
        <v>0</v>
      </c>
      <c r="L137" s="48">
        <f t="shared" si="32"/>
        <v>0</v>
      </c>
      <c r="M137" s="48">
        <f t="shared" si="32"/>
        <v>375000</v>
      </c>
      <c r="N137" s="48">
        <f t="shared" si="32"/>
        <v>375000</v>
      </c>
      <c r="O137" s="48">
        <f t="shared" si="32"/>
        <v>40555415.7</v>
      </c>
      <c r="P137" s="292"/>
      <c r="Q137" s="181"/>
      <c r="R137" s="181"/>
      <c r="S137" s="181"/>
      <c r="T137" s="181"/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1"/>
      <c r="AE137" s="181"/>
      <c r="AF137" s="181"/>
      <c r="AG137" s="181"/>
      <c r="AH137" s="181"/>
      <c r="AI137" s="181"/>
    </row>
    <row r="138" spans="1:35" s="8" customFormat="1" ht="32.25" customHeight="1">
      <c r="A138" s="7" t="s">
        <v>459</v>
      </c>
      <c r="B138" s="7" t="s">
        <v>91</v>
      </c>
      <c r="C138" s="14" t="s">
        <v>461</v>
      </c>
      <c r="D138" s="50">
        <f>'дод. 2'!E24+'дод. 2'!E200</f>
        <v>5149990</v>
      </c>
      <c r="E138" s="50">
        <f>'дод. 2'!F24+'дод. 2'!F200</f>
        <v>5149990</v>
      </c>
      <c r="F138" s="50">
        <f>'дод. 2'!G24+'дод. 2'!G200</f>
        <v>3173092</v>
      </c>
      <c r="G138" s="50">
        <f>'дод. 2'!H24+'дод. 2'!H200</f>
        <v>770758</v>
      </c>
      <c r="H138" s="50">
        <f>'дод. 2'!I24+'дод. 2'!I200</f>
        <v>0</v>
      </c>
      <c r="I138" s="50">
        <f>'дод. 2'!J24+'дод. 2'!J200</f>
        <v>300000</v>
      </c>
      <c r="J138" s="50">
        <f>'дод. 2'!K24+'дод. 2'!K200</f>
        <v>0</v>
      </c>
      <c r="K138" s="50">
        <f>'дод. 2'!L24+'дод. 2'!L200</f>
        <v>0</v>
      </c>
      <c r="L138" s="50">
        <f>'дод. 2'!M24+'дод. 2'!M200</f>
        <v>0</v>
      </c>
      <c r="M138" s="50">
        <f>'дод. 2'!N24+'дод. 2'!N200</f>
        <v>300000</v>
      </c>
      <c r="N138" s="50">
        <f>'дод. 2'!O24+'дод. 2'!O200</f>
        <v>300000</v>
      </c>
      <c r="O138" s="50">
        <f>'дод. 2'!P24+'дод. 2'!P200</f>
        <v>5449990</v>
      </c>
      <c r="P138" s="29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</row>
    <row r="139" spans="1:35" s="8" customFormat="1" ht="41.25" customHeight="1">
      <c r="A139" s="7" t="s">
        <v>460</v>
      </c>
      <c r="B139" s="7" t="s">
        <v>91</v>
      </c>
      <c r="C139" s="14" t="s">
        <v>462</v>
      </c>
      <c r="D139" s="50">
        <f>'дод. 2'!E25+'дод. 2'!E201+'дод. 2'!E83</f>
        <v>35030425.7</v>
      </c>
      <c r="E139" s="50">
        <f>'дод. 2'!F25+'дод. 2'!F201+'дод. 2'!F83</f>
        <v>35030425.7</v>
      </c>
      <c r="F139" s="50">
        <f>'дод. 2'!G25+'дод. 2'!G201+'дод. 2'!G83</f>
        <v>0</v>
      </c>
      <c r="G139" s="50">
        <f>'дод. 2'!H25+'дод. 2'!H201+'дод. 2'!H83</f>
        <v>0</v>
      </c>
      <c r="H139" s="50">
        <f>'дод. 2'!I25+'дод. 2'!I201+'дод. 2'!I83</f>
        <v>0</v>
      </c>
      <c r="I139" s="50">
        <f>'дод. 2'!J25+'дод. 2'!J201+'дод. 2'!J83</f>
        <v>75000</v>
      </c>
      <c r="J139" s="50">
        <f>'дод. 2'!K25+'дод. 2'!K201+'дод. 2'!K83</f>
        <v>0</v>
      </c>
      <c r="K139" s="50">
        <f>'дод. 2'!L25+'дод. 2'!L201+'дод. 2'!L83</f>
        <v>0</v>
      </c>
      <c r="L139" s="50">
        <f>'дод. 2'!M25+'дод. 2'!M201+'дод. 2'!M83</f>
        <v>0</v>
      </c>
      <c r="M139" s="50">
        <f>'дод. 2'!N25+'дод. 2'!N201+'дод. 2'!N83</f>
        <v>75000</v>
      </c>
      <c r="N139" s="50">
        <f>'дод. 2'!O25+'дод. 2'!O201+'дод. 2'!O83</f>
        <v>75000</v>
      </c>
      <c r="O139" s="50">
        <f>'дод. 2'!P25+'дод. 2'!P201+'дод. 2'!P83</f>
        <v>35105425.7</v>
      </c>
      <c r="P139" s="292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  <c r="AG139" s="184"/>
      <c r="AH139" s="184"/>
      <c r="AI139" s="184"/>
    </row>
    <row r="140" spans="1:35" s="21" customFormat="1" ht="19.5" customHeight="1">
      <c r="A140" s="22" t="s">
        <v>112</v>
      </c>
      <c r="B140" s="11"/>
      <c r="C140" s="11" t="s">
        <v>113</v>
      </c>
      <c r="D140" s="49">
        <f>D141+D143+D142</f>
        <v>25018508</v>
      </c>
      <c r="E140" s="49">
        <f aca="true" t="shared" si="33" ref="E140:O140">E141+E143+E142</f>
        <v>25018508</v>
      </c>
      <c r="F140" s="49">
        <f t="shared" si="33"/>
        <v>14067674</v>
      </c>
      <c r="G140" s="49">
        <f t="shared" si="33"/>
        <v>1451536</v>
      </c>
      <c r="H140" s="49">
        <f t="shared" si="33"/>
        <v>0</v>
      </c>
      <c r="I140" s="49">
        <f t="shared" si="33"/>
        <v>1356150</v>
      </c>
      <c r="J140" s="49">
        <f t="shared" si="33"/>
        <v>27000</v>
      </c>
      <c r="K140" s="49">
        <f t="shared" si="33"/>
        <v>5000</v>
      </c>
      <c r="L140" s="49">
        <f t="shared" si="33"/>
        <v>0</v>
      </c>
      <c r="M140" s="49">
        <f t="shared" si="33"/>
        <v>1329150</v>
      </c>
      <c r="N140" s="49">
        <f t="shared" si="33"/>
        <v>1329150</v>
      </c>
      <c r="O140" s="49">
        <f t="shared" si="33"/>
        <v>26374658</v>
      </c>
      <c r="P140" s="292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5"/>
      <c r="AE140" s="185"/>
      <c r="AF140" s="185"/>
      <c r="AG140" s="185"/>
      <c r="AH140" s="185"/>
      <c r="AI140" s="185"/>
    </row>
    <row r="141" spans="1:35" ht="22.5" customHeight="1">
      <c r="A141" s="5" t="s">
        <v>114</v>
      </c>
      <c r="B141" s="5" t="s">
        <v>115</v>
      </c>
      <c r="C141" s="13" t="s">
        <v>29</v>
      </c>
      <c r="D141" s="48">
        <f>'дод. 2'!E214</f>
        <v>16378546</v>
      </c>
      <c r="E141" s="48">
        <f>'дод. 2'!F214</f>
        <v>16378546</v>
      </c>
      <c r="F141" s="48">
        <f>'дод. 2'!G214</f>
        <v>11407051</v>
      </c>
      <c r="G141" s="48">
        <f>'дод. 2'!H214</f>
        <v>1115260</v>
      </c>
      <c r="H141" s="48">
        <f>'дод. 2'!I214</f>
        <v>0</v>
      </c>
      <c r="I141" s="48">
        <f>'дод. 2'!J214</f>
        <v>1257150</v>
      </c>
      <c r="J141" s="48">
        <f>'дод. 2'!K214</f>
        <v>27000</v>
      </c>
      <c r="K141" s="48">
        <f>'дод. 2'!L214</f>
        <v>5000</v>
      </c>
      <c r="L141" s="48">
        <f>'дод. 2'!M214</f>
        <v>0</v>
      </c>
      <c r="M141" s="48">
        <f>'дод. 2'!N214</f>
        <v>1230150</v>
      </c>
      <c r="N141" s="48">
        <f>'дод. 2'!O214</f>
        <v>1230150</v>
      </c>
      <c r="O141" s="48">
        <f>'дод. 2'!P214</f>
        <v>17635696</v>
      </c>
      <c r="P141" s="292"/>
      <c r="Q141" s="181"/>
      <c r="R141" s="181"/>
      <c r="S141" s="181"/>
      <c r="T141" s="181"/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  <c r="AF141" s="181"/>
      <c r="AG141" s="181"/>
      <c r="AH141" s="181"/>
      <c r="AI141" s="181"/>
    </row>
    <row r="142" spans="1:35" ht="33.75" customHeight="1">
      <c r="A142" s="5" t="s">
        <v>587</v>
      </c>
      <c r="B142" s="5" t="s">
        <v>588</v>
      </c>
      <c r="C142" s="13" t="s">
        <v>589</v>
      </c>
      <c r="D142" s="48">
        <f>'дод. 2'!E26</f>
        <v>2314830</v>
      </c>
      <c r="E142" s="48">
        <f>'дод. 2'!F26</f>
        <v>2314830</v>
      </c>
      <c r="F142" s="48">
        <f>'дод. 2'!G26</f>
        <v>783989</v>
      </c>
      <c r="G142" s="48">
        <f>'дод. 2'!H26</f>
        <v>237625</v>
      </c>
      <c r="H142" s="48">
        <f>'дод. 2'!I26</f>
        <v>0</v>
      </c>
      <c r="I142" s="48">
        <f>'дод. 2'!J26</f>
        <v>28500</v>
      </c>
      <c r="J142" s="48">
        <f>'дод. 2'!K26</f>
        <v>0</v>
      </c>
      <c r="K142" s="48">
        <f>'дод. 2'!L26</f>
        <v>0</v>
      </c>
      <c r="L142" s="48">
        <f>'дод. 2'!M26</f>
        <v>0</v>
      </c>
      <c r="M142" s="48">
        <f>'дод. 2'!N26</f>
        <v>28500</v>
      </c>
      <c r="N142" s="48">
        <f>'дод. 2'!O26</f>
        <v>28500</v>
      </c>
      <c r="O142" s="48">
        <f>'дод. 2'!P26</f>
        <v>2343330</v>
      </c>
      <c r="P142" s="292"/>
      <c r="Q142" s="181"/>
      <c r="R142" s="181"/>
      <c r="S142" s="181"/>
      <c r="T142" s="181"/>
      <c r="U142" s="181"/>
      <c r="V142" s="181"/>
      <c r="W142" s="181"/>
      <c r="X142" s="181"/>
      <c r="Y142" s="181"/>
      <c r="Z142" s="181"/>
      <c r="AA142" s="181"/>
      <c r="AB142" s="181"/>
      <c r="AC142" s="181"/>
      <c r="AD142" s="181"/>
      <c r="AE142" s="181"/>
      <c r="AF142" s="181"/>
      <c r="AG142" s="181"/>
      <c r="AH142" s="181"/>
      <c r="AI142" s="181"/>
    </row>
    <row r="143" spans="1:35" ht="27.75" customHeight="1">
      <c r="A143" s="5" t="s">
        <v>31</v>
      </c>
      <c r="B143" s="5"/>
      <c r="C143" s="13" t="s">
        <v>463</v>
      </c>
      <c r="D143" s="48">
        <f>'дод. 2'!E27+'дод. 2'!E215</f>
        <v>6325132</v>
      </c>
      <c r="E143" s="48">
        <f>'дод. 2'!F27+'дод. 2'!F215</f>
        <v>6325132</v>
      </c>
      <c r="F143" s="48">
        <f>'дод. 2'!G27+'дод. 2'!G215</f>
        <v>1876634</v>
      </c>
      <c r="G143" s="48">
        <f>'дод. 2'!H27+'дод. 2'!H215</f>
        <v>98651</v>
      </c>
      <c r="H143" s="48">
        <f>'дод. 2'!I27+'дод. 2'!I215</f>
        <v>0</v>
      </c>
      <c r="I143" s="48">
        <f>'дод. 2'!J27+'дод. 2'!J215</f>
        <v>70500</v>
      </c>
      <c r="J143" s="48">
        <f>'дод. 2'!K27+'дод. 2'!K215</f>
        <v>0</v>
      </c>
      <c r="K143" s="48">
        <f>'дод. 2'!L27+'дод. 2'!L215</f>
        <v>0</v>
      </c>
      <c r="L143" s="48">
        <f>'дод. 2'!M27+'дод. 2'!M215</f>
        <v>0</v>
      </c>
      <c r="M143" s="48">
        <f>'дод. 2'!N27+'дод. 2'!N215</f>
        <v>70500</v>
      </c>
      <c r="N143" s="48">
        <f>'дод. 2'!O27+'дод. 2'!O215</f>
        <v>70500</v>
      </c>
      <c r="O143" s="48">
        <f>'дод. 2'!P27+'дод. 2'!P215</f>
        <v>6395632</v>
      </c>
      <c r="P143" s="292">
        <v>21</v>
      </c>
      <c r="Q143" s="181"/>
      <c r="R143" s="181"/>
      <c r="S143" s="181"/>
      <c r="T143" s="181"/>
      <c r="U143" s="181"/>
      <c r="V143" s="181"/>
      <c r="W143" s="181"/>
      <c r="X143" s="181"/>
      <c r="Y143" s="181"/>
      <c r="Z143" s="181"/>
      <c r="AA143" s="181"/>
      <c r="AB143" s="181"/>
      <c r="AC143" s="181"/>
      <c r="AD143" s="181"/>
      <c r="AE143" s="181"/>
      <c r="AF143" s="181"/>
      <c r="AG143" s="181"/>
      <c r="AH143" s="181"/>
      <c r="AI143" s="181"/>
    </row>
    <row r="144" spans="1:35" s="8" customFormat="1" ht="39.75" customHeight="1">
      <c r="A144" s="7" t="s">
        <v>464</v>
      </c>
      <c r="B144" s="7" t="s">
        <v>116</v>
      </c>
      <c r="C144" s="14" t="s">
        <v>466</v>
      </c>
      <c r="D144" s="50">
        <f>'дод. 2'!E28+'дод. 2'!E216</f>
        <v>3431180</v>
      </c>
      <c r="E144" s="50">
        <f>'дод. 2'!F28+'дод. 2'!F216</f>
        <v>3431180</v>
      </c>
      <c r="F144" s="50">
        <f>'дод. 2'!G28+'дод. 2'!G216</f>
        <v>1876634</v>
      </c>
      <c r="G144" s="50">
        <f>'дод. 2'!H28+'дод. 2'!H216</f>
        <v>98651</v>
      </c>
      <c r="H144" s="50">
        <f>'дод. 2'!I28+'дод. 2'!I216</f>
        <v>0</v>
      </c>
      <c r="I144" s="50">
        <f>'дод. 2'!J28+'дод. 2'!J216</f>
        <v>70500</v>
      </c>
      <c r="J144" s="50">
        <f>'дод. 2'!K28+'дод. 2'!K216</f>
        <v>0</v>
      </c>
      <c r="K144" s="50">
        <f>'дод. 2'!L28+'дод. 2'!L216</f>
        <v>0</v>
      </c>
      <c r="L144" s="50">
        <f>'дод. 2'!M28+'дод. 2'!M216</f>
        <v>0</v>
      </c>
      <c r="M144" s="50">
        <f>'дод. 2'!N28+'дод. 2'!N216</f>
        <v>70500</v>
      </c>
      <c r="N144" s="50">
        <f>'дод. 2'!O28+'дод. 2'!O216</f>
        <v>70500</v>
      </c>
      <c r="O144" s="50">
        <f>'дод. 2'!P28+'дод. 2'!P216</f>
        <v>3501680</v>
      </c>
      <c r="P144" s="29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</row>
    <row r="145" spans="1:35" s="8" customFormat="1" ht="30" customHeight="1">
      <c r="A145" s="7" t="s">
        <v>465</v>
      </c>
      <c r="B145" s="7" t="s">
        <v>116</v>
      </c>
      <c r="C145" s="14" t="s">
        <v>467</v>
      </c>
      <c r="D145" s="50">
        <f>'дод. 2'!E29+'дод. 2'!E217</f>
        <v>2893952</v>
      </c>
      <c r="E145" s="50">
        <f>'дод. 2'!F29+'дод. 2'!F217</f>
        <v>2893952</v>
      </c>
      <c r="F145" s="50">
        <f>'дод. 2'!G29+'дод. 2'!G217</f>
        <v>0</v>
      </c>
      <c r="G145" s="50">
        <f>'дод. 2'!H29+'дод. 2'!H217</f>
        <v>0</v>
      </c>
      <c r="H145" s="50">
        <f>'дод. 2'!I29+'дод. 2'!I217</f>
        <v>0</v>
      </c>
      <c r="I145" s="50">
        <f>'дод. 2'!J29+'дод. 2'!J217</f>
        <v>0</v>
      </c>
      <c r="J145" s="50">
        <f>'дод. 2'!K29+'дод. 2'!K217</f>
        <v>0</v>
      </c>
      <c r="K145" s="50">
        <f>'дод. 2'!L29+'дод. 2'!L217</f>
        <v>0</v>
      </c>
      <c r="L145" s="50">
        <f>'дод. 2'!M29+'дод. 2'!M217</f>
        <v>0</v>
      </c>
      <c r="M145" s="50">
        <f>'дод. 2'!N29+'дод. 2'!N217</f>
        <v>0</v>
      </c>
      <c r="N145" s="50">
        <f>'дод. 2'!O29+'дод. 2'!O217</f>
        <v>0</v>
      </c>
      <c r="O145" s="50">
        <f>'дод. 2'!P29+'дод. 2'!P217</f>
        <v>2893952</v>
      </c>
      <c r="P145" s="29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</row>
    <row r="146" spans="1:35" s="21" customFormat="1" ht="21.75" customHeight="1">
      <c r="A146" s="22" t="s">
        <v>119</v>
      </c>
      <c r="B146" s="11"/>
      <c r="C146" s="11" t="s">
        <v>120</v>
      </c>
      <c r="D146" s="49">
        <f>D147+D150+D153</f>
        <v>33342800</v>
      </c>
      <c r="E146" s="49">
        <f aca="true" t="shared" si="34" ref="E146:O146">E147+E150+E153</f>
        <v>33342800</v>
      </c>
      <c r="F146" s="49">
        <f t="shared" si="34"/>
        <v>11467183</v>
      </c>
      <c r="G146" s="49">
        <f t="shared" si="34"/>
        <v>1192100</v>
      </c>
      <c r="H146" s="49">
        <f t="shared" si="34"/>
        <v>0</v>
      </c>
      <c r="I146" s="49">
        <f t="shared" si="34"/>
        <v>753687</v>
      </c>
      <c r="J146" s="49">
        <f t="shared" si="34"/>
        <v>226687</v>
      </c>
      <c r="K146" s="49">
        <f t="shared" si="34"/>
        <v>141022</v>
      </c>
      <c r="L146" s="49">
        <f t="shared" si="34"/>
        <v>53404</v>
      </c>
      <c r="M146" s="49">
        <f t="shared" si="34"/>
        <v>527000</v>
      </c>
      <c r="N146" s="49">
        <f t="shared" si="34"/>
        <v>527000</v>
      </c>
      <c r="O146" s="49">
        <f t="shared" si="34"/>
        <v>34096487</v>
      </c>
      <c r="P146" s="292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5"/>
      <c r="AE146" s="185"/>
      <c r="AF146" s="185"/>
      <c r="AG146" s="185"/>
      <c r="AH146" s="185"/>
      <c r="AI146" s="185"/>
    </row>
    <row r="147" spans="1:35" ht="29.25" customHeight="1">
      <c r="A147" s="5" t="s">
        <v>121</v>
      </c>
      <c r="B147" s="13"/>
      <c r="C147" s="13" t="s">
        <v>42</v>
      </c>
      <c r="D147" s="48">
        <f>D148+D149</f>
        <v>1587070</v>
      </c>
      <c r="E147" s="48">
        <f aca="true" t="shared" si="35" ref="E147:O147">E148+E149</f>
        <v>1587070</v>
      </c>
      <c r="F147" s="48">
        <f t="shared" si="35"/>
        <v>0</v>
      </c>
      <c r="G147" s="48">
        <f t="shared" si="35"/>
        <v>0</v>
      </c>
      <c r="H147" s="48">
        <f t="shared" si="35"/>
        <v>0</v>
      </c>
      <c r="I147" s="48">
        <f t="shared" si="35"/>
        <v>177000</v>
      </c>
      <c r="J147" s="48">
        <f t="shared" si="35"/>
        <v>0</v>
      </c>
      <c r="K147" s="48">
        <f t="shared" si="35"/>
        <v>0</v>
      </c>
      <c r="L147" s="48">
        <f t="shared" si="35"/>
        <v>0</v>
      </c>
      <c r="M147" s="48">
        <f t="shared" si="35"/>
        <v>177000</v>
      </c>
      <c r="N147" s="48">
        <f t="shared" si="35"/>
        <v>177000</v>
      </c>
      <c r="O147" s="48">
        <f t="shared" si="35"/>
        <v>1764070</v>
      </c>
      <c r="P147" s="292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</row>
    <row r="148" spans="1:35" s="8" customFormat="1" ht="43.5" customHeight="1">
      <c r="A148" s="7" t="s">
        <v>122</v>
      </c>
      <c r="B148" s="7" t="s">
        <v>123</v>
      </c>
      <c r="C148" s="14" t="s">
        <v>43</v>
      </c>
      <c r="D148" s="50">
        <f>'дод. 2'!E31</f>
        <v>836070</v>
      </c>
      <c r="E148" s="50">
        <f>'дод. 2'!F31</f>
        <v>836070</v>
      </c>
      <c r="F148" s="50">
        <f>'дод. 2'!G31</f>
        <v>0</v>
      </c>
      <c r="G148" s="50">
        <f>'дод. 2'!H31</f>
        <v>0</v>
      </c>
      <c r="H148" s="50">
        <f>'дод. 2'!I31</f>
        <v>0</v>
      </c>
      <c r="I148" s="50">
        <f>'дод. 2'!J31</f>
        <v>177000</v>
      </c>
      <c r="J148" s="50">
        <f>'дод. 2'!K31</f>
        <v>0</v>
      </c>
      <c r="K148" s="50">
        <f>'дод. 2'!L31</f>
        <v>0</v>
      </c>
      <c r="L148" s="50">
        <f>'дод. 2'!M31</f>
        <v>0</v>
      </c>
      <c r="M148" s="50">
        <f>'дод. 2'!N31</f>
        <v>177000</v>
      </c>
      <c r="N148" s="50">
        <f>'дод. 2'!O31</f>
        <v>177000</v>
      </c>
      <c r="O148" s="50">
        <f>'дод. 2'!P31</f>
        <v>1013070</v>
      </c>
      <c r="P148" s="29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</row>
    <row r="149" spans="1:35" s="8" customFormat="1" ht="39.75" customHeight="1">
      <c r="A149" s="7" t="s">
        <v>124</v>
      </c>
      <c r="B149" s="7" t="s">
        <v>123</v>
      </c>
      <c r="C149" s="14" t="s">
        <v>32</v>
      </c>
      <c r="D149" s="50">
        <f>'дод. 2'!E32</f>
        <v>751000</v>
      </c>
      <c r="E149" s="50">
        <f>'дод. 2'!F32</f>
        <v>751000</v>
      </c>
      <c r="F149" s="50">
        <f>'дод. 2'!G32</f>
        <v>0</v>
      </c>
      <c r="G149" s="50">
        <f>'дод. 2'!H32</f>
        <v>0</v>
      </c>
      <c r="H149" s="50">
        <f>'дод. 2'!I32</f>
        <v>0</v>
      </c>
      <c r="I149" s="50">
        <f>'дод. 2'!J32</f>
        <v>0</v>
      </c>
      <c r="J149" s="50">
        <f>'дод. 2'!K32</f>
        <v>0</v>
      </c>
      <c r="K149" s="50">
        <f>'дод. 2'!L32</f>
        <v>0</v>
      </c>
      <c r="L149" s="50">
        <f>'дод. 2'!M32</f>
        <v>0</v>
      </c>
      <c r="M149" s="50">
        <f>'дод. 2'!N32</f>
        <v>0</v>
      </c>
      <c r="N149" s="50">
        <f>'дод. 2'!O32</f>
        <v>0</v>
      </c>
      <c r="O149" s="50">
        <f>'дод. 2'!P32</f>
        <v>751000</v>
      </c>
      <c r="P149" s="29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</row>
    <row r="150" spans="1:35" ht="30.75" customHeight="1">
      <c r="A150" s="5" t="s">
        <v>174</v>
      </c>
      <c r="B150" s="5"/>
      <c r="C150" s="13" t="s">
        <v>177</v>
      </c>
      <c r="D150" s="48">
        <f>D151+D152</f>
        <v>22283709</v>
      </c>
      <c r="E150" s="48">
        <f aca="true" t="shared" si="36" ref="E150:O150">E151+E152</f>
        <v>22283709</v>
      </c>
      <c r="F150" s="48">
        <f t="shared" si="36"/>
        <v>9677400</v>
      </c>
      <c r="G150" s="48">
        <f t="shared" si="36"/>
        <v>784890</v>
      </c>
      <c r="H150" s="48">
        <f t="shared" si="36"/>
        <v>0</v>
      </c>
      <c r="I150" s="48">
        <f t="shared" si="36"/>
        <v>310000</v>
      </c>
      <c r="J150" s="48">
        <f t="shared" si="36"/>
        <v>0</v>
      </c>
      <c r="K150" s="48">
        <f t="shared" si="36"/>
        <v>0</v>
      </c>
      <c r="L150" s="48">
        <f t="shared" si="36"/>
        <v>0</v>
      </c>
      <c r="M150" s="48">
        <f t="shared" si="36"/>
        <v>310000</v>
      </c>
      <c r="N150" s="48">
        <f t="shared" si="36"/>
        <v>310000</v>
      </c>
      <c r="O150" s="48">
        <f t="shared" si="36"/>
        <v>22593709</v>
      </c>
      <c r="P150" s="292"/>
      <c r="Q150" s="181"/>
      <c r="R150" s="181"/>
      <c r="S150" s="181"/>
      <c r="T150" s="181"/>
      <c r="U150" s="181"/>
      <c r="V150" s="181"/>
      <c r="W150" s="181"/>
      <c r="X150" s="181"/>
      <c r="Y150" s="181"/>
      <c r="Z150" s="181"/>
      <c r="AA150" s="181"/>
      <c r="AB150" s="181"/>
      <c r="AC150" s="181"/>
      <c r="AD150" s="181"/>
      <c r="AE150" s="181"/>
      <c r="AF150" s="181"/>
      <c r="AG150" s="181"/>
      <c r="AH150" s="181"/>
      <c r="AI150" s="181"/>
    </row>
    <row r="151" spans="1:35" s="8" customFormat="1" ht="36.75" customHeight="1">
      <c r="A151" s="7" t="s">
        <v>175</v>
      </c>
      <c r="B151" s="7" t="s">
        <v>123</v>
      </c>
      <c r="C151" s="14" t="s">
        <v>44</v>
      </c>
      <c r="D151" s="50">
        <f>'дод. 2'!E34+'дод. 2'!E85</f>
        <v>14150730</v>
      </c>
      <c r="E151" s="50">
        <f>'дод. 2'!F34+'дод. 2'!F85</f>
        <v>14150730</v>
      </c>
      <c r="F151" s="50">
        <f>'дод. 2'!G34+'дод. 2'!G85</f>
        <v>9677400</v>
      </c>
      <c r="G151" s="50">
        <f>'дод. 2'!H34+'дод. 2'!H85</f>
        <v>784890</v>
      </c>
      <c r="H151" s="50">
        <f>'дод. 2'!I34+'дод. 2'!I85</f>
        <v>0</v>
      </c>
      <c r="I151" s="50">
        <f>'дод. 2'!J34+'дод. 2'!J85</f>
        <v>300000</v>
      </c>
      <c r="J151" s="50">
        <f>'дод. 2'!K34+'дод. 2'!K85</f>
        <v>0</v>
      </c>
      <c r="K151" s="50">
        <f>'дод. 2'!L34+'дод. 2'!L85</f>
        <v>0</v>
      </c>
      <c r="L151" s="50">
        <f>'дод. 2'!M34+'дод. 2'!M85</f>
        <v>0</v>
      </c>
      <c r="M151" s="50">
        <f>'дод. 2'!N34+'дод. 2'!N85</f>
        <v>300000</v>
      </c>
      <c r="N151" s="50">
        <f>'дод. 2'!O34+'дод. 2'!O85</f>
        <v>300000</v>
      </c>
      <c r="O151" s="50">
        <f>'дод. 2'!P34+'дод. 2'!P85</f>
        <v>14450730</v>
      </c>
      <c r="P151" s="29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</row>
    <row r="152" spans="1:35" s="8" customFormat="1" ht="31.5" customHeight="1">
      <c r="A152" s="7" t="s">
        <v>176</v>
      </c>
      <c r="B152" s="7" t="s">
        <v>123</v>
      </c>
      <c r="C152" s="14" t="s">
        <v>45</v>
      </c>
      <c r="D152" s="50">
        <f>'дод. 2'!E35</f>
        <v>8132979</v>
      </c>
      <c r="E152" s="50">
        <f>'дод. 2'!F35</f>
        <v>8132979</v>
      </c>
      <c r="F152" s="50">
        <f>'дод. 2'!G35</f>
        <v>0</v>
      </c>
      <c r="G152" s="50">
        <f>'дод. 2'!H35</f>
        <v>0</v>
      </c>
      <c r="H152" s="50">
        <f>'дод. 2'!I35</f>
        <v>0</v>
      </c>
      <c r="I152" s="50">
        <f>'дод. 2'!J35</f>
        <v>10000</v>
      </c>
      <c r="J152" s="50">
        <f>'дод. 2'!K35</f>
        <v>0</v>
      </c>
      <c r="K152" s="50">
        <f>'дод. 2'!L35</f>
        <v>0</v>
      </c>
      <c r="L152" s="50">
        <f>'дод. 2'!M35</f>
        <v>0</v>
      </c>
      <c r="M152" s="50">
        <f>'дод. 2'!N35</f>
        <v>10000</v>
      </c>
      <c r="N152" s="50">
        <f>'дод. 2'!O35</f>
        <v>10000</v>
      </c>
      <c r="O152" s="50">
        <f>'дод. 2'!P35</f>
        <v>8142979</v>
      </c>
      <c r="P152" s="29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</row>
    <row r="153" spans="1:35" ht="29.25" customHeight="1">
      <c r="A153" s="5" t="s">
        <v>125</v>
      </c>
      <c r="B153" s="5"/>
      <c r="C153" s="13" t="s">
        <v>169</v>
      </c>
      <c r="D153" s="48">
        <f>D154+D155</f>
        <v>9472021</v>
      </c>
      <c r="E153" s="48">
        <f aca="true" t="shared" si="37" ref="E153:O153">E154+E155</f>
        <v>9472021</v>
      </c>
      <c r="F153" s="48">
        <f t="shared" si="37"/>
        <v>1789783</v>
      </c>
      <c r="G153" s="48">
        <f t="shared" si="37"/>
        <v>407210</v>
      </c>
      <c r="H153" s="48">
        <f t="shared" si="37"/>
        <v>0</v>
      </c>
      <c r="I153" s="48">
        <f t="shared" si="37"/>
        <v>266687</v>
      </c>
      <c r="J153" s="48">
        <f t="shared" si="37"/>
        <v>226687</v>
      </c>
      <c r="K153" s="48">
        <f t="shared" si="37"/>
        <v>141022</v>
      </c>
      <c r="L153" s="48">
        <f t="shared" si="37"/>
        <v>53404</v>
      </c>
      <c r="M153" s="48">
        <f t="shared" si="37"/>
        <v>40000</v>
      </c>
      <c r="N153" s="48">
        <f t="shared" si="37"/>
        <v>40000</v>
      </c>
      <c r="O153" s="48">
        <f t="shared" si="37"/>
        <v>9738708</v>
      </c>
      <c r="P153" s="292"/>
      <c r="Q153" s="181"/>
      <c r="R153" s="181"/>
      <c r="S153" s="181"/>
      <c r="T153" s="181"/>
      <c r="U153" s="181"/>
      <c r="V153" s="181"/>
      <c r="W153" s="181"/>
      <c r="X153" s="181"/>
      <c r="Y153" s="181"/>
      <c r="Z153" s="181"/>
      <c r="AA153" s="181"/>
      <c r="AB153" s="181"/>
      <c r="AC153" s="181"/>
      <c r="AD153" s="181"/>
      <c r="AE153" s="181"/>
      <c r="AF153" s="181"/>
      <c r="AG153" s="181"/>
      <c r="AH153" s="181"/>
      <c r="AI153" s="181"/>
    </row>
    <row r="154" spans="1:35" s="8" customFormat="1" ht="75" customHeight="1">
      <c r="A154" s="7" t="s">
        <v>170</v>
      </c>
      <c r="B154" s="7" t="s">
        <v>123</v>
      </c>
      <c r="C154" s="14" t="s">
        <v>171</v>
      </c>
      <c r="D154" s="50">
        <f>'дод. 2'!E37</f>
        <v>3778561</v>
      </c>
      <c r="E154" s="50">
        <f>'дод. 2'!F37</f>
        <v>3778561</v>
      </c>
      <c r="F154" s="50">
        <f>'дод. 2'!G37</f>
        <v>1789783</v>
      </c>
      <c r="G154" s="50">
        <f>'дод. 2'!H37</f>
        <v>407210</v>
      </c>
      <c r="H154" s="50">
        <f>'дод. 2'!I37</f>
        <v>0</v>
      </c>
      <c r="I154" s="50">
        <f>'дод. 2'!J37</f>
        <v>246687</v>
      </c>
      <c r="J154" s="50">
        <f>'дод. 2'!K37</f>
        <v>226687</v>
      </c>
      <c r="K154" s="50">
        <f>'дод. 2'!L37</f>
        <v>141022</v>
      </c>
      <c r="L154" s="50">
        <f>'дод. 2'!M37</f>
        <v>53404</v>
      </c>
      <c r="M154" s="50">
        <f>'дод. 2'!N37</f>
        <v>20000</v>
      </c>
      <c r="N154" s="50">
        <f>'дод. 2'!O37</f>
        <v>20000</v>
      </c>
      <c r="O154" s="50">
        <f>'дод. 2'!P37</f>
        <v>4025248</v>
      </c>
      <c r="P154" s="29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</row>
    <row r="155" spans="1:35" s="8" customFormat="1" ht="54" customHeight="1">
      <c r="A155" s="7" t="s">
        <v>173</v>
      </c>
      <c r="B155" s="7" t="s">
        <v>123</v>
      </c>
      <c r="C155" s="14" t="s">
        <v>172</v>
      </c>
      <c r="D155" s="50">
        <f>'дод. 2'!E38</f>
        <v>5693460</v>
      </c>
      <c r="E155" s="50">
        <f>'дод. 2'!F38</f>
        <v>5693460</v>
      </c>
      <c r="F155" s="50">
        <f>'дод. 2'!G38</f>
        <v>0</v>
      </c>
      <c r="G155" s="50">
        <f>'дод. 2'!H38</f>
        <v>0</v>
      </c>
      <c r="H155" s="50">
        <f>'дод. 2'!I38</f>
        <v>0</v>
      </c>
      <c r="I155" s="50">
        <f>'дод. 2'!J38</f>
        <v>20000</v>
      </c>
      <c r="J155" s="50">
        <f>'дод. 2'!K38</f>
        <v>0</v>
      </c>
      <c r="K155" s="50">
        <f>'дод. 2'!L38</f>
        <v>0</v>
      </c>
      <c r="L155" s="50">
        <f>'дод. 2'!M38</f>
        <v>0</v>
      </c>
      <c r="M155" s="50">
        <f>'дод. 2'!N38</f>
        <v>20000</v>
      </c>
      <c r="N155" s="50">
        <f>'дод. 2'!O38</f>
        <v>20000</v>
      </c>
      <c r="O155" s="50">
        <f>'дод. 2'!P38</f>
        <v>5713460</v>
      </c>
      <c r="P155" s="29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</row>
    <row r="156" spans="1:35" s="21" customFormat="1" ht="27" customHeight="1">
      <c r="A156" s="22" t="s">
        <v>106</v>
      </c>
      <c r="B156" s="11"/>
      <c r="C156" s="11" t="s">
        <v>107</v>
      </c>
      <c r="D156" s="49">
        <f>D158+D164+D165+D170+D173+D166</f>
        <v>176839884.45</v>
      </c>
      <c r="E156" s="49">
        <f aca="true" t="shared" si="38" ref="E156:O156">E158+E164+E165+E170+E173+E166</f>
        <v>160364241.95</v>
      </c>
      <c r="F156" s="49">
        <f t="shared" si="38"/>
        <v>0</v>
      </c>
      <c r="G156" s="49">
        <f t="shared" si="38"/>
        <v>18229320</v>
      </c>
      <c r="H156" s="49">
        <f t="shared" si="38"/>
        <v>16475642.499999998</v>
      </c>
      <c r="I156" s="49">
        <f t="shared" si="38"/>
        <v>210308730.04</v>
      </c>
      <c r="J156" s="49">
        <f t="shared" si="38"/>
        <v>0</v>
      </c>
      <c r="K156" s="49">
        <f t="shared" si="38"/>
        <v>0</v>
      </c>
      <c r="L156" s="49">
        <f t="shared" si="38"/>
        <v>0</v>
      </c>
      <c r="M156" s="49">
        <f t="shared" si="38"/>
        <v>210308730.04</v>
      </c>
      <c r="N156" s="49">
        <f t="shared" si="38"/>
        <v>196545989.35</v>
      </c>
      <c r="O156" s="49">
        <f t="shared" si="38"/>
        <v>387148614.49</v>
      </c>
      <c r="P156" s="292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5"/>
      <c r="AE156" s="185"/>
      <c r="AF156" s="185"/>
      <c r="AG156" s="185"/>
      <c r="AH156" s="185"/>
      <c r="AI156" s="185"/>
    </row>
    <row r="157" spans="1:35" s="21" customFormat="1" ht="27" customHeight="1">
      <c r="A157" s="22"/>
      <c r="B157" s="11"/>
      <c r="C157" s="11" t="s">
        <v>416</v>
      </c>
      <c r="D157" s="49">
        <f>D167</f>
        <v>0</v>
      </c>
      <c r="E157" s="49">
        <f aca="true" t="shared" si="39" ref="E157:O157">E167</f>
        <v>0</v>
      </c>
      <c r="F157" s="49">
        <f t="shared" si="39"/>
        <v>0</v>
      </c>
      <c r="G157" s="49">
        <f t="shared" si="39"/>
        <v>0</v>
      </c>
      <c r="H157" s="49">
        <f t="shared" si="39"/>
        <v>0</v>
      </c>
      <c r="I157" s="49">
        <f t="shared" si="39"/>
        <v>13705000</v>
      </c>
      <c r="J157" s="49">
        <f t="shared" si="39"/>
        <v>0</v>
      </c>
      <c r="K157" s="49">
        <f t="shared" si="39"/>
        <v>0</v>
      </c>
      <c r="L157" s="49">
        <f t="shared" si="39"/>
        <v>0</v>
      </c>
      <c r="M157" s="49">
        <f t="shared" si="39"/>
        <v>13705000</v>
      </c>
      <c r="N157" s="49">
        <f t="shared" si="39"/>
        <v>0</v>
      </c>
      <c r="O157" s="49">
        <f t="shared" si="39"/>
        <v>13705000</v>
      </c>
      <c r="P157" s="292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</row>
    <row r="158" spans="1:35" ht="34.5" customHeight="1">
      <c r="A158" s="5" t="s">
        <v>108</v>
      </c>
      <c r="B158" s="5"/>
      <c r="C158" s="13" t="s">
        <v>204</v>
      </c>
      <c r="D158" s="48">
        <f>D159+D160+D163+D161+D162</f>
        <v>10603842</v>
      </c>
      <c r="E158" s="48">
        <f aca="true" t="shared" si="40" ref="E158:O158">E159+E160+E163+E161+E162</f>
        <v>1747700</v>
      </c>
      <c r="F158" s="48">
        <f t="shared" si="40"/>
        <v>0</v>
      </c>
      <c r="G158" s="48">
        <f t="shared" si="40"/>
        <v>0</v>
      </c>
      <c r="H158" s="48">
        <f t="shared" si="40"/>
        <v>8856142</v>
      </c>
      <c r="I158" s="48">
        <f t="shared" si="40"/>
        <v>65682230</v>
      </c>
      <c r="J158" s="48">
        <f t="shared" si="40"/>
        <v>0</v>
      </c>
      <c r="K158" s="48">
        <f t="shared" si="40"/>
        <v>0</v>
      </c>
      <c r="L158" s="48">
        <f t="shared" si="40"/>
        <v>0</v>
      </c>
      <c r="M158" s="48">
        <f t="shared" si="40"/>
        <v>65682230</v>
      </c>
      <c r="N158" s="48">
        <f t="shared" si="40"/>
        <v>65682230</v>
      </c>
      <c r="O158" s="48">
        <f t="shared" si="40"/>
        <v>76286072</v>
      </c>
      <c r="P158" s="292"/>
      <c r="Q158" s="181"/>
      <c r="R158" s="181"/>
      <c r="S158" s="181"/>
      <c r="T158" s="181"/>
      <c r="U158" s="181"/>
      <c r="V158" s="181"/>
      <c r="W158" s="181"/>
      <c r="X158" s="181"/>
      <c r="Y158" s="181"/>
      <c r="Z158" s="181"/>
      <c r="AA158" s="181"/>
      <c r="AB158" s="181"/>
      <c r="AC158" s="181"/>
      <c r="AD158" s="181"/>
      <c r="AE158" s="181"/>
      <c r="AF158" s="181"/>
      <c r="AG158" s="181"/>
      <c r="AH158" s="181"/>
      <c r="AI158" s="181"/>
    </row>
    <row r="159" spans="1:35" s="8" customFormat="1" ht="33.75" customHeight="1">
      <c r="A159" s="7" t="s">
        <v>205</v>
      </c>
      <c r="B159" s="7" t="s">
        <v>111</v>
      </c>
      <c r="C159" s="14" t="s">
        <v>206</v>
      </c>
      <c r="D159" s="50">
        <f>'дод. 2'!E229</f>
        <v>0</v>
      </c>
      <c r="E159" s="50">
        <f>'дод. 2'!F229</f>
        <v>0</v>
      </c>
      <c r="F159" s="50">
        <f>'дод. 2'!G229</f>
        <v>0</v>
      </c>
      <c r="G159" s="50">
        <f>'дод. 2'!H229</f>
        <v>0</v>
      </c>
      <c r="H159" s="50">
        <f>'дод. 2'!I229</f>
        <v>0</v>
      </c>
      <c r="I159" s="50">
        <f>'дод. 2'!J229</f>
        <v>33004208</v>
      </c>
      <c r="J159" s="50">
        <f>'дод. 2'!K229</f>
        <v>0</v>
      </c>
      <c r="K159" s="50">
        <f>'дод. 2'!L229</f>
        <v>0</v>
      </c>
      <c r="L159" s="50">
        <f>'дод. 2'!M229</f>
        <v>0</v>
      </c>
      <c r="M159" s="50">
        <f>'дод. 2'!N229</f>
        <v>33004208</v>
      </c>
      <c r="N159" s="50">
        <f>'дод. 2'!O229</f>
        <v>33004208</v>
      </c>
      <c r="O159" s="50">
        <f>'дод. 2'!P229</f>
        <v>33004208</v>
      </c>
      <c r="P159" s="29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</row>
    <row r="160" spans="1:35" s="8" customFormat="1" ht="36.75" customHeight="1">
      <c r="A160" s="7" t="s">
        <v>207</v>
      </c>
      <c r="B160" s="7" t="s">
        <v>111</v>
      </c>
      <c r="C160" s="14" t="s">
        <v>235</v>
      </c>
      <c r="D160" s="50">
        <f>'дод. 2'!E230</f>
        <v>9696142</v>
      </c>
      <c r="E160" s="50">
        <f>'дод. 2'!F230</f>
        <v>840000</v>
      </c>
      <c r="F160" s="50">
        <f>'дод. 2'!G230</f>
        <v>0</v>
      </c>
      <c r="G160" s="50">
        <f>'дод. 2'!H230</f>
        <v>0</v>
      </c>
      <c r="H160" s="50">
        <f>'дод. 2'!I230</f>
        <v>8856142</v>
      </c>
      <c r="I160" s="50">
        <f>'дод. 2'!J230</f>
        <v>542622</v>
      </c>
      <c r="J160" s="50">
        <f>'дод. 2'!K230</f>
        <v>0</v>
      </c>
      <c r="K160" s="50">
        <f>'дод. 2'!L230</f>
        <v>0</v>
      </c>
      <c r="L160" s="50">
        <f>'дод. 2'!M230</f>
        <v>0</v>
      </c>
      <c r="M160" s="50">
        <f>'дод. 2'!N230</f>
        <v>542622</v>
      </c>
      <c r="N160" s="50">
        <f>'дод. 2'!O230</f>
        <v>542622</v>
      </c>
      <c r="O160" s="50">
        <f>'дод. 2'!P230</f>
        <v>10238764</v>
      </c>
      <c r="P160" s="29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82"/>
      <c r="AD160" s="182"/>
      <c r="AE160" s="182"/>
      <c r="AF160" s="182"/>
      <c r="AG160" s="182"/>
      <c r="AH160" s="182"/>
      <c r="AI160" s="182"/>
    </row>
    <row r="161" spans="1:35" s="8" customFormat="1" ht="36.75" customHeight="1">
      <c r="A161" s="27" t="s">
        <v>406</v>
      </c>
      <c r="B161" s="27" t="s">
        <v>111</v>
      </c>
      <c r="C161" s="14" t="s">
        <v>407</v>
      </c>
      <c r="D161" s="50">
        <f>'дод. 2'!E231</f>
        <v>503000</v>
      </c>
      <c r="E161" s="50">
        <f>'дод. 2'!F231</f>
        <v>503000</v>
      </c>
      <c r="F161" s="50">
        <f>'дод. 2'!G231</f>
        <v>0</v>
      </c>
      <c r="G161" s="50">
        <f>'дод. 2'!H231</f>
        <v>0</v>
      </c>
      <c r="H161" s="50">
        <f>'дод. 2'!I231</f>
        <v>0</v>
      </c>
      <c r="I161" s="50">
        <f>'дод. 2'!J231</f>
        <v>29957400</v>
      </c>
      <c r="J161" s="50">
        <f>'дод. 2'!K231</f>
        <v>0</v>
      </c>
      <c r="K161" s="50">
        <f>'дод. 2'!L231</f>
        <v>0</v>
      </c>
      <c r="L161" s="50">
        <f>'дод. 2'!M231</f>
        <v>0</v>
      </c>
      <c r="M161" s="50">
        <f>'дод. 2'!N231</f>
        <v>29957400</v>
      </c>
      <c r="N161" s="50">
        <f>'дод. 2'!O231</f>
        <v>29957400</v>
      </c>
      <c r="O161" s="50">
        <f>'дод. 2'!P231</f>
        <v>30460400</v>
      </c>
      <c r="P161" s="29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2"/>
      <c r="AE161" s="182"/>
      <c r="AF161" s="182"/>
      <c r="AG161" s="182"/>
      <c r="AH161" s="182"/>
      <c r="AI161" s="182"/>
    </row>
    <row r="162" spans="1:35" s="8" customFormat="1" ht="46.5" customHeight="1">
      <c r="A162" s="27" t="s">
        <v>608</v>
      </c>
      <c r="B162" s="27" t="s">
        <v>111</v>
      </c>
      <c r="C162" s="14" t="s">
        <v>609</v>
      </c>
      <c r="D162" s="50">
        <f>'дод. 2'!E232</f>
        <v>0</v>
      </c>
      <c r="E162" s="50">
        <f>'дод. 2'!F232</f>
        <v>0</v>
      </c>
      <c r="F162" s="50">
        <f>'дод. 2'!G232</f>
        <v>0</v>
      </c>
      <c r="G162" s="50">
        <f>'дод. 2'!H232</f>
        <v>0</v>
      </c>
      <c r="H162" s="50">
        <f>'дод. 2'!I232</f>
        <v>0</v>
      </c>
      <c r="I162" s="50">
        <f>'дод. 2'!J232</f>
        <v>2178000</v>
      </c>
      <c r="J162" s="50">
        <f>'дод. 2'!K232</f>
        <v>0</v>
      </c>
      <c r="K162" s="50">
        <f>'дод. 2'!L232</f>
        <v>0</v>
      </c>
      <c r="L162" s="50">
        <f>'дод. 2'!M232</f>
        <v>0</v>
      </c>
      <c r="M162" s="50">
        <f>'дод. 2'!N232</f>
        <v>2178000</v>
      </c>
      <c r="N162" s="50">
        <f>'дод. 2'!O232</f>
        <v>2178000</v>
      </c>
      <c r="O162" s="50">
        <f>'дод. 2'!P232</f>
        <v>2178000</v>
      </c>
      <c r="P162" s="29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2"/>
      <c r="AF162" s="182"/>
      <c r="AG162" s="182"/>
      <c r="AH162" s="182"/>
      <c r="AI162" s="182"/>
    </row>
    <row r="163" spans="1:35" s="8" customFormat="1" ht="33" customHeight="1">
      <c r="A163" s="7" t="s">
        <v>409</v>
      </c>
      <c r="B163" s="7" t="s">
        <v>111</v>
      </c>
      <c r="C163" s="14" t="s">
        <v>410</v>
      </c>
      <c r="D163" s="50">
        <f>'дод. 2'!E233</f>
        <v>404700</v>
      </c>
      <c r="E163" s="50">
        <f>'дод. 2'!F233</f>
        <v>404700</v>
      </c>
      <c r="F163" s="50">
        <f>'дод. 2'!G233</f>
        <v>0</v>
      </c>
      <c r="G163" s="50">
        <f>'дод. 2'!H233</f>
        <v>0</v>
      </c>
      <c r="H163" s="50">
        <f>'дод. 2'!I233</f>
        <v>0</v>
      </c>
      <c r="I163" s="50">
        <f>'дод. 2'!J233</f>
        <v>0</v>
      </c>
      <c r="J163" s="50">
        <f>'дод. 2'!K233</f>
        <v>0</v>
      </c>
      <c r="K163" s="50">
        <f>'дод. 2'!L233</f>
        <v>0</v>
      </c>
      <c r="L163" s="50">
        <f>'дод. 2'!M233</f>
        <v>0</v>
      </c>
      <c r="M163" s="50">
        <f>'дод. 2'!N233</f>
        <v>0</v>
      </c>
      <c r="N163" s="50">
        <f>'дод. 2'!O233</f>
        <v>0</v>
      </c>
      <c r="O163" s="50">
        <f>'дод. 2'!P233</f>
        <v>404700</v>
      </c>
      <c r="P163" s="29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  <c r="AG163" s="182"/>
      <c r="AH163" s="182"/>
      <c r="AI163" s="182"/>
    </row>
    <row r="164" spans="1:35" s="8" customFormat="1" ht="52.5" customHeight="1">
      <c r="A164" s="5" t="s">
        <v>110</v>
      </c>
      <c r="B164" s="5" t="s">
        <v>111</v>
      </c>
      <c r="C164" s="13" t="s">
        <v>210</v>
      </c>
      <c r="D164" s="48">
        <f>'дод. 2'!E234</f>
        <v>6402960.7</v>
      </c>
      <c r="E164" s="48">
        <f>'дод. 2'!F234</f>
        <v>0</v>
      </c>
      <c r="F164" s="48">
        <f>'дод. 2'!G234</f>
        <v>0</v>
      </c>
      <c r="G164" s="48">
        <f>'дод. 2'!H234</f>
        <v>0</v>
      </c>
      <c r="H164" s="48">
        <f>'дод. 2'!I234</f>
        <v>6402960.7</v>
      </c>
      <c r="I164" s="48">
        <f>'дод. 2'!J234</f>
        <v>0</v>
      </c>
      <c r="J164" s="48">
        <f>'дод. 2'!K234</f>
        <v>0</v>
      </c>
      <c r="K164" s="48">
        <f>'дод. 2'!L234</f>
        <v>0</v>
      </c>
      <c r="L164" s="48">
        <f>'дод. 2'!M234</f>
        <v>0</v>
      </c>
      <c r="M164" s="48">
        <f>'дод. 2'!N234</f>
        <v>0</v>
      </c>
      <c r="N164" s="48">
        <f>'дод. 2'!O234</f>
        <v>0</v>
      </c>
      <c r="O164" s="48">
        <f>'дод. 2'!P234</f>
        <v>6402960.7</v>
      </c>
      <c r="P164" s="292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1"/>
      <c r="AD164" s="181"/>
      <c r="AE164" s="181"/>
      <c r="AF164" s="181"/>
      <c r="AG164" s="181"/>
      <c r="AH164" s="181"/>
      <c r="AI164" s="181"/>
    </row>
    <row r="165" spans="1:35" ht="30" customHeight="1">
      <c r="A165" s="5" t="s">
        <v>208</v>
      </c>
      <c r="B165" s="5" t="s">
        <v>111</v>
      </c>
      <c r="C165" s="13" t="s">
        <v>209</v>
      </c>
      <c r="D165" s="48">
        <f>'дод. 2'!E264+'дод. 2'!E235</f>
        <v>155656017.4</v>
      </c>
      <c r="E165" s="48">
        <f>'дод. 2'!F264+'дод. 2'!F235</f>
        <v>155475264.95</v>
      </c>
      <c r="F165" s="48">
        <f>'дод. 2'!G264+'дод. 2'!G235</f>
        <v>0</v>
      </c>
      <c r="G165" s="48">
        <f>'дод. 2'!H264+'дод. 2'!H235</f>
        <v>18189320</v>
      </c>
      <c r="H165" s="48">
        <f>'дод. 2'!I264+'дод. 2'!I235</f>
        <v>180752.45</v>
      </c>
      <c r="I165" s="48">
        <f>'дод. 2'!J264+'дод. 2'!J235</f>
        <v>130363759.35</v>
      </c>
      <c r="J165" s="48">
        <f>'дод. 2'!K264+'дод. 2'!K235</f>
        <v>0</v>
      </c>
      <c r="K165" s="48">
        <f>'дод. 2'!L264+'дод. 2'!L235</f>
        <v>0</v>
      </c>
      <c r="L165" s="48">
        <f>'дод. 2'!M264+'дод. 2'!M235</f>
        <v>0</v>
      </c>
      <c r="M165" s="48">
        <f>'дод. 2'!N264+'дод. 2'!N235</f>
        <v>130363759.35</v>
      </c>
      <c r="N165" s="48">
        <f>'дод. 2'!O264+'дод. 2'!O235</f>
        <v>130363759.35</v>
      </c>
      <c r="O165" s="48">
        <f>'дод. 2'!P264+'дод. 2'!P235</f>
        <v>286019776.75</v>
      </c>
      <c r="P165" s="292"/>
      <c r="Q165" s="181"/>
      <c r="R165" s="181"/>
      <c r="S165" s="181"/>
      <c r="T165" s="181"/>
      <c r="U165" s="181"/>
      <c r="V165" s="181"/>
      <c r="W165" s="181"/>
      <c r="X165" s="181"/>
      <c r="Y165" s="181"/>
      <c r="Z165" s="181"/>
      <c r="AA165" s="181"/>
      <c r="AB165" s="181"/>
      <c r="AC165" s="181"/>
      <c r="AD165" s="181"/>
      <c r="AE165" s="181"/>
      <c r="AF165" s="181"/>
      <c r="AG165" s="181"/>
      <c r="AH165" s="181"/>
      <c r="AI165" s="181"/>
    </row>
    <row r="166" spans="1:35" ht="35.25" customHeight="1">
      <c r="A166" s="5" t="s">
        <v>635</v>
      </c>
      <c r="B166" s="5"/>
      <c r="C166" s="13" t="s">
        <v>637</v>
      </c>
      <c r="D166" s="48">
        <f>D168</f>
        <v>0</v>
      </c>
      <c r="E166" s="48">
        <f aca="true" t="shared" si="41" ref="E166:O167">E168</f>
        <v>0</v>
      </c>
      <c r="F166" s="48">
        <f t="shared" si="41"/>
        <v>0</v>
      </c>
      <c r="G166" s="48">
        <f t="shared" si="41"/>
        <v>0</v>
      </c>
      <c r="H166" s="48">
        <f t="shared" si="41"/>
        <v>0</v>
      </c>
      <c r="I166" s="48">
        <f t="shared" si="41"/>
        <v>13705000</v>
      </c>
      <c r="J166" s="48">
        <f t="shared" si="41"/>
        <v>0</v>
      </c>
      <c r="K166" s="48">
        <f t="shared" si="41"/>
        <v>0</v>
      </c>
      <c r="L166" s="48">
        <f t="shared" si="41"/>
        <v>0</v>
      </c>
      <c r="M166" s="48">
        <f t="shared" si="41"/>
        <v>13705000</v>
      </c>
      <c r="N166" s="48">
        <f t="shared" si="41"/>
        <v>0</v>
      </c>
      <c r="O166" s="48">
        <f t="shared" si="41"/>
        <v>13705000</v>
      </c>
      <c r="P166" s="292"/>
      <c r="Q166" s="181"/>
      <c r="R166" s="181"/>
      <c r="S166" s="181"/>
      <c r="T166" s="181"/>
      <c r="U166" s="181"/>
      <c r="V166" s="181"/>
      <c r="W166" s="181"/>
      <c r="X166" s="181"/>
      <c r="Y166" s="181"/>
      <c r="Z166" s="181"/>
      <c r="AA166" s="181"/>
      <c r="AB166" s="181"/>
      <c r="AC166" s="181"/>
      <c r="AD166" s="181"/>
      <c r="AE166" s="181"/>
      <c r="AF166" s="181"/>
      <c r="AG166" s="181"/>
      <c r="AH166" s="181"/>
      <c r="AI166" s="181"/>
    </row>
    <row r="167" spans="2:35" ht="21.75" customHeight="1">
      <c r="B167" s="5"/>
      <c r="C167" s="13" t="s">
        <v>416</v>
      </c>
      <c r="D167" s="48">
        <f>D169</f>
        <v>0</v>
      </c>
      <c r="E167" s="48">
        <f t="shared" si="41"/>
        <v>0</v>
      </c>
      <c r="F167" s="48">
        <f t="shared" si="41"/>
        <v>0</v>
      </c>
      <c r="G167" s="48">
        <f t="shared" si="41"/>
        <v>0</v>
      </c>
      <c r="H167" s="48">
        <f t="shared" si="41"/>
        <v>0</v>
      </c>
      <c r="I167" s="48">
        <f t="shared" si="41"/>
        <v>13705000</v>
      </c>
      <c r="J167" s="48">
        <f t="shared" si="41"/>
        <v>0</v>
      </c>
      <c r="K167" s="48">
        <f t="shared" si="41"/>
        <v>0</v>
      </c>
      <c r="L167" s="48">
        <f t="shared" si="41"/>
        <v>0</v>
      </c>
      <c r="M167" s="48">
        <f t="shared" si="41"/>
        <v>13705000</v>
      </c>
      <c r="N167" s="48">
        <f t="shared" si="41"/>
        <v>0</v>
      </c>
      <c r="O167" s="48">
        <f t="shared" si="41"/>
        <v>13705000</v>
      </c>
      <c r="P167" s="292"/>
      <c r="Q167" s="225"/>
      <c r="R167" s="225"/>
      <c r="S167" s="225"/>
      <c r="T167" s="225"/>
      <c r="U167" s="225"/>
      <c r="V167" s="225"/>
      <c r="W167" s="225"/>
      <c r="X167" s="225"/>
      <c r="Y167" s="225"/>
      <c r="Z167" s="225"/>
      <c r="AA167" s="225"/>
      <c r="AB167" s="225"/>
      <c r="AC167" s="225"/>
      <c r="AD167" s="225"/>
      <c r="AE167" s="225"/>
      <c r="AF167" s="225"/>
      <c r="AG167" s="225"/>
      <c r="AH167" s="225"/>
      <c r="AI167" s="225"/>
    </row>
    <row r="168" spans="1:35" s="8" customFormat="1" ht="249.75" customHeight="1">
      <c r="A168" s="7" t="s">
        <v>636</v>
      </c>
      <c r="B168" s="7" t="s">
        <v>490</v>
      </c>
      <c r="C168" s="14" t="s">
        <v>638</v>
      </c>
      <c r="D168" s="50">
        <f>'дод. 2'!E239</f>
        <v>0</v>
      </c>
      <c r="E168" s="50">
        <f>'дод. 2'!F239</f>
        <v>0</v>
      </c>
      <c r="F168" s="50">
        <f>'дод. 2'!G239</f>
        <v>0</v>
      </c>
      <c r="G168" s="50">
        <f>'дод. 2'!H239</f>
        <v>0</v>
      </c>
      <c r="H168" s="50">
        <f>'дод. 2'!I239</f>
        <v>0</v>
      </c>
      <c r="I168" s="50">
        <f>'дод. 2'!J239</f>
        <v>13705000</v>
      </c>
      <c r="J168" s="50">
        <f>'дод. 2'!K239</f>
        <v>0</v>
      </c>
      <c r="K168" s="50">
        <f>'дод. 2'!L239</f>
        <v>0</v>
      </c>
      <c r="L168" s="50">
        <f>'дод. 2'!M239</f>
        <v>0</v>
      </c>
      <c r="M168" s="50">
        <f>'дод. 2'!N239</f>
        <v>13705000</v>
      </c>
      <c r="N168" s="50">
        <f>'дод. 2'!O239</f>
        <v>0</v>
      </c>
      <c r="O168" s="50">
        <f>'дод. 2'!P239</f>
        <v>13705000</v>
      </c>
      <c r="P168" s="292">
        <v>22</v>
      </c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2"/>
      <c r="AE168" s="182"/>
      <c r="AF168" s="182"/>
      <c r="AG168" s="182"/>
      <c r="AH168" s="182"/>
      <c r="AI168" s="182"/>
    </row>
    <row r="169" spans="1:35" s="8" customFormat="1" ht="27.75" customHeight="1">
      <c r="A169" s="7"/>
      <c r="B169" s="7"/>
      <c r="C169" s="14" t="s">
        <v>416</v>
      </c>
      <c r="D169" s="50">
        <f>'дод. 2'!E240</f>
        <v>0</v>
      </c>
      <c r="E169" s="50">
        <f>'дод. 2'!F240</f>
        <v>0</v>
      </c>
      <c r="F169" s="50">
        <f>'дод. 2'!G240</f>
        <v>0</v>
      </c>
      <c r="G169" s="50">
        <f>'дод. 2'!H240</f>
        <v>0</v>
      </c>
      <c r="H169" s="50">
        <f>'дод. 2'!I240</f>
        <v>0</v>
      </c>
      <c r="I169" s="50">
        <f>'дод. 2'!J240</f>
        <v>13705000</v>
      </c>
      <c r="J169" s="50">
        <f>'дод. 2'!K240</f>
        <v>0</v>
      </c>
      <c r="K169" s="50">
        <f>'дод. 2'!L240</f>
        <v>0</v>
      </c>
      <c r="L169" s="50">
        <f>'дод. 2'!M240</f>
        <v>0</v>
      </c>
      <c r="M169" s="50">
        <f>'дод. 2'!N240</f>
        <v>13705000</v>
      </c>
      <c r="N169" s="50">
        <f>'дод. 2'!O240</f>
        <v>0</v>
      </c>
      <c r="O169" s="50">
        <f>'дод. 2'!P240</f>
        <v>13705000</v>
      </c>
      <c r="P169" s="29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</row>
    <row r="170" spans="1:35" ht="24" customHeight="1">
      <c r="A170" s="5" t="s">
        <v>226</v>
      </c>
      <c r="B170" s="5"/>
      <c r="C170" s="13" t="s">
        <v>227</v>
      </c>
      <c r="D170" s="48">
        <f>D172+D171</f>
        <v>84912.35</v>
      </c>
      <c r="E170" s="48">
        <f aca="true" t="shared" si="42" ref="E170:O170">E172+E171</f>
        <v>0</v>
      </c>
      <c r="F170" s="48">
        <f t="shared" si="42"/>
        <v>0</v>
      </c>
      <c r="G170" s="48">
        <f t="shared" si="42"/>
        <v>0</v>
      </c>
      <c r="H170" s="48">
        <f t="shared" si="42"/>
        <v>84912.35</v>
      </c>
      <c r="I170" s="48">
        <f t="shared" si="42"/>
        <v>557740.69</v>
      </c>
      <c r="J170" s="48">
        <f t="shared" si="42"/>
        <v>0</v>
      </c>
      <c r="K170" s="48">
        <f t="shared" si="42"/>
        <v>0</v>
      </c>
      <c r="L170" s="48">
        <f t="shared" si="42"/>
        <v>0</v>
      </c>
      <c r="M170" s="48">
        <f t="shared" si="42"/>
        <v>557740.69</v>
      </c>
      <c r="N170" s="48">
        <f t="shared" si="42"/>
        <v>500000</v>
      </c>
      <c r="O170" s="48">
        <f t="shared" si="42"/>
        <v>642653.04</v>
      </c>
      <c r="P170" s="292"/>
      <c r="Q170" s="181"/>
      <c r="R170" s="181"/>
      <c r="S170" s="181"/>
      <c r="T170" s="181"/>
      <c r="U170" s="181"/>
      <c r="V170" s="181"/>
      <c r="W170" s="181"/>
      <c r="X170" s="181"/>
      <c r="Y170" s="181"/>
      <c r="Z170" s="181"/>
      <c r="AA170" s="181"/>
      <c r="AB170" s="181"/>
      <c r="AC170" s="181"/>
      <c r="AD170" s="181"/>
      <c r="AE170" s="181"/>
      <c r="AF170" s="181"/>
      <c r="AG170" s="181"/>
      <c r="AH170" s="181"/>
      <c r="AI170" s="181"/>
    </row>
    <row r="171" spans="1:35" ht="42.75" customHeight="1">
      <c r="A171" s="7" t="s">
        <v>627</v>
      </c>
      <c r="B171" s="7" t="s">
        <v>109</v>
      </c>
      <c r="C171" s="14" t="s">
        <v>628</v>
      </c>
      <c r="D171" s="48">
        <f>'дод. 2'!E266</f>
        <v>0</v>
      </c>
      <c r="E171" s="48">
        <f>'дод. 2'!F266</f>
        <v>0</v>
      </c>
      <c r="F171" s="48">
        <f>'дод. 2'!G266</f>
        <v>0</v>
      </c>
      <c r="G171" s="48">
        <f>'дод. 2'!H266</f>
        <v>0</v>
      </c>
      <c r="H171" s="48">
        <f>'дод. 2'!I266</f>
        <v>0</v>
      </c>
      <c r="I171" s="48">
        <f>'дод. 2'!J266</f>
        <v>500000</v>
      </c>
      <c r="J171" s="48">
        <f>'дод. 2'!K266</f>
        <v>0</v>
      </c>
      <c r="K171" s="48">
        <f>'дод. 2'!L266</f>
        <v>0</v>
      </c>
      <c r="L171" s="48">
        <f>'дод. 2'!M266</f>
        <v>0</v>
      </c>
      <c r="M171" s="48">
        <f>'дод. 2'!N266</f>
        <v>500000</v>
      </c>
      <c r="N171" s="48">
        <f>'дод. 2'!O266</f>
        <v>500000</v>
      </c>
      <c r="O171" s="48">
        <f>'дод. 2'!P266</f>
        <v>500000</v>
      </c>
      <c r="P171" s="292"/>
      <c r="Q171" s="181"/>
      <c r="R171" s="181"/>
      <c r="S171" s="181"/>
      <c r="T171" s="181"/>
      <c r="U171" s="181"/>
      <c r="V171" s="181"/>
      <c r="W171" s="181"/>
      <c r="X171" s="181"/>
      <c r="Y171" s="181"/>
      <c r="Z171" s="181"/>
      <c r="AA171" s="181"/>
      <c r="AB171" s="181"/>
      <c r="AC171" s="181"/>
      <c r="AD171" s="181"/>
      <c r="AE171" s="181"/>
      <c r="AF171" s="181"/>
      <c r="AG171" s="181"/>
      <c r="AH171" s="181"/>
      <c r="AI171" s="181"/>
    </row>
    <row r="172" spans="1:35" s="8" customFormat="1" ht="67.5" customHeight="1">
      <c r="A172" s="7" t="s">
        <v>212</v>
      </c>
      <c r="B172" s="9" t="s">
        <v>109</v>
      </c>
      <c r="C172" s="14" t="s">
        <v>213</v>
      </c>
      <c r="D172" s="50">
        <f>'дод. 2'!E267</f>
        <v>84912.35</v>
      </c>
      <c r="E172" s="50">
        <f>'дод. 2'!F267</f>
        <v>0</v>
      </c>
      <c r="F172" s="50">
        <f>'дод. 2'!G267</f>
        <v>0</v>
      </c>
      <c r="G172" s="50">
        <f>'дод. 2'!H267</f>
        <v>0</v>
      </c>
      <c r="H172" s="50">
        <f>'дод. 2'!I267</f>
        <v>84912.35</v>
      </c>
      <c r="I172" s="50">
        <f>'дод. 2'!J267</f>
        <v>57740.69</v>
      </c>
      <c r="J172" s="50">
        <f>'дод. 2'!K267</f>
        <v>0</v>
      </c>
      <c r="K172" s="50">
        <f>'дод. 2'!L267</f>
        <v>0</v>
      </c>
      <c r="L172" s="50">
        <f>'дод. 2'!M267</f>
        <v>0</v>
      </c>
      <c r="M172" s="50">
        <f>'дод. 2'!N267</f>
        <v>57740.69</v>
      </c>
      <c r="N172" s="50">
        <f>'дод. 2'!O267</f>
        <v>0</v>
      </c>
      <c r="O172" s="50">
        <f>'дод. 2'!P267</f>
        <v>142653.04</v>
      </c>
      <c r="P172" s="29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  <c r="AB172" s="182"/>
      <c r="AC172" s="182"/>
      <c r="AD172" s="182"/>
      <c r="AE172" s="182"/>
      <c r="AF172" s="182"/>
      <c r="AG172" s="182"/>
      <c r="AH172" s="182"/>
      <c r="AI172" s="182"/>
    </row>
    <row r="173" spans="1:35" ht="39.75" customHeight="1">
      <c r="A173" s="5" t="s">
        <v>228</v>
      </c>
      <c r="B173" s="12" t="s">
        <v>490</v>
      </c>
      <c r="C173" s="13" t="s">
        <v>229</v>
      </c>
      <c r="D173" s="48">
        <f>'дод. 2'!E236+'дод. 2'!E259+'дод. 2'!E291</f>
        <v>4092152</v>
      </c>
      <c r="E173" s="48">
        <f>'дод. 2'!F236+'дод. 2'!F259+'дод. 2'!F291</f>
        <v>3141277</v>
      </c>
      <c r="F173" s="48">
        <f>'дод. 2'!G236+'дод. 2'!G259+'дод. 2'!G291</f>
        <v>0</v>
      </c>
      <c r="G173" s="48">
        <f>'дод. 2'!H236+'дод. 2'!H259+'дод. 2'!H291</f>
        <v>40000</v>
      </c>
      <c r="H173" s="48">
        <f>'дод. 2'!I236+'дод. 2'!I259+'дод. 2'!I291</f>
        <v>950875</v>
      </c>
      <c r="I173" s="48">
        <f>'дод. 2'!J236+'дод. 2'!J259+'дод. 2'!J291</f>
        <v>0</v>
      </c>
      <c r="J173" s="48">
        <f>'дод. 2'!K236+'дод. 2'!K259+'дод. 2'!K291</f>
        <v>0</v>
      </c>
      <c r="K173" s="48">
        <f>'дод. 2'!L236+'дод. 2'!L259+'дод. 2'!L291</f>
        <v>0</v>
      </c>
      <c r="L173" s="48">
        <f>'дод. 2'!M236+'дод. 2'!M259+'дод. 2'!M291</f>
        <v>0</v>
      </c>
      <c r="M173" s="48">
        <f>'дод. 2'!N236+'дод. 2'!N259+'дод. 2'!N291</f>
        <v>0</v>
      </c>
      <c r="N173" s="48">
        <f>'дод. 2'!O236+'дод. 2'!O259+'дод. 2'!O291</f>
        <v>0</v>
      </c>
      <c r="O173" s="48">
        <f>'дод. 2'!P236+'дод. 2'!P259+'дод. 2'!P291</f>
        <v>4092152</v>
      </c>
      <c r="P173" s="292"/>
      <c r="Q173" s="181"/>
      <c r="R173" s="181"/>
      <c r="S173" s="181"/>
      <c r="T173" s="181"/>
      <c r="U173" s="181"/>
      <c r="V173" s="181"/>
      <c r="W173" s="181"/>
      <c r="X173" s="181"/>
      <c r="Y173" s="181"/>
      <c r="Z173" s="181"/>
      <c r="AA173" s="181"/>
      <c r="AB173" s="181"/>
      <c r="AC173" s="181"/>
      <c r="AD173" s="181"/>
      <c r="AE173" s="181"/>
      <c r="AF173" s="181"/>
      <c r="AG173" s="181"/>
      <c r="AH173" s="181"/>
      <c r="AI173" s="181"/>
    </row>
    <row r="174" spans="1:35" s="21" customFormat="1" ht="29.25" customHeight="1">
      <c r="A174" s="22" t="s">
        <v>214</v>
      </c>
      <c r="B174" s="11"/>
      <c r="C174" s="11" t="s">
        <v>215</v>
      </c>
      <c r="D174" s="49">
        <f aca="true" t="shared" si="43" ref="D174:O174">D175+D177+D192+D206+D208</f>
        <v>47342724</v>
      </c>
      <c r="E174" s="49">
        <f t="shared" si="43"/>
        <v>18009518</v>
      </c>
      <c r="F174" s="49">
        <f t="shared" si="43"/>
        <v>0</v>
      </c>
      <c r="G174" s="49">
        <f t="shared" si="43"/>
        <v>78316.65</v>
      </c>
      <c r="H174" s="49">
        <f t="shared" si="43"/>
        <v>29333206</v>
      </c>
      <c r="I174" s="49">
        <f>I175+I177+I192+I206+I208</f>
        <v>243804888.81</v>
      </c>
      <c r="J174" s="49">
        <f t="shared" si="43"/>
        <v>13246686.86</v>
      </c>
      <c r="K174" s="49">
        <f t="shared" si="43"/>
        <v>0</v>
      </c>
      <c r="L174" s="49">
        <f t="shared" si="43"/>
        <v>0</v>
      </c>
      <c r="M174" s="49">
        <f t="shared" si="43"/>
        <v>230558201.95</v>
      </c>
      <c r="N174" s="49">
        <f t="shared" si="43"/>
        <v>196232363.95999998</v>
      </c>
      <c r="O174" s="49">
        <f t="shared" si="43"/>
        <v>291147612.81</v>
      </c>
      <c r="P174" s="292"/>
      <c r="Q174" s="185"/>
      <c r="R174" s="185"/>
      <c r="S174" s="185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5"/>
      <c r="AD174" s="185"/>
      <c r="AE174" s="185"/>
      <c r="AF174" s="185"/>
      <c r="AG174" s="185"/>
      <c r="AH174" s="185"/>
      <c r="AI174" s="185"/>
    </row>
    <row r="175" spans="1:35" s="21" customFormat="1" ht="15.75">
      <c r="A175" s="22" t="s">
        <v>230</v>
      </c>
      <c r="B175" s="11"/>
      <c r="C175" s="11" t="s">
        <v>231</v>
      </c>
      <c r="D175" s="49">
        <f aca="true" t="shared" si="44" ref="D175:O175">D176</f>
        <v>1140670</v>
      </c>
      <c r="E175" s="49">
        <f t="shared" si="44"/>
        <v>650000</v>
      </c>
      <c r="F175" s="49">
        <f t="shared" si="44"/>
        <v>0</v>
      </c>
      <c r="G175" s="49">
        <f t="shared" si="44"/>
        <v>0</v>
      </c>
      <c r="H175" s="49">
        <f t="shared" si="44"/>
        <v>490670</v>
      </c>
      <c r="I175" s="49">
        <f>I176</f>
        <v>14343.33</v>
      </c>
      <c r="J175" s="49">
        <f t="shared" si="44"/>
        <v>14343.33</v>
      </c>
      <c r="K175" s="49">
        <f t="shared" si="44"/>
        <v>0</v>
      </c>
      <c r="L175" s="49">
        <f t="shared" si="44"/>
        <v>0</v>
      </c>
      <c r="M175" s="49">
        <f t="shared" si="44"/>
        <v>0</v>
      </c>
      <c r="N175" s="49">
        <f t="shared" si="44"/>
        <v>0</v>
      </c>
      <c r="O175" s="49">
        <f t="shared" si="44"/>
        <v>1155013.33</v>
      </c>
      <c r="P175" s="292"/>
      <c r="Q175" s="185"/>
      <c r="R175" s="185"/>
      <c r="S175" s="185"/>
      <c r="T175" s="185"/>
      <c r="U175" s="185"/>
      <c r="V175" s="185"/>
      <c r="W175" s="185"/>
      <c r="X175" s="185"/>
      <c r="Y175" s="185"/>
      <c r="Z175" s="185"/>
      <c r="AA175" s="185"/>
      <c r="AB175" s="185"/>
      <c r="AC175" s="185"/>
      <c r="AD175" s="185"/>
      <c r="AE175" s="185"/>
      <c r="AF175" s="185"/>
      <c r="AG175" s="185"/>
      <c r="AH175" s="185"/>
      <c r="AI175" s="185"/>
    </row>
    <row r="176" spans="1:35" ht="24" customHeight="1">
      <c r="A176" s="5" t="s">
        <v>216</v>
      </c>
      <c r="B176" s="5" t="s">
        <v>127</v>
      </c>
      <c r="C176" s="13" t="s">
        <v>217</v>
      </c>
      <c r="D176" s="48">
        <f>'дод. 2'!E301+'дод. 2'!E241</f>
        <v>1140670</v>
      </c>
      <c r="E176" s="48">
        <f>'дод. 2'!F301+'дод. 2'!F241</f>
        <v>650000</v>
      </c>
      <c r="F176" s="48">
        <f>'дод. 2'!G301+'дод. 2'!G241</f>
        <v>0</v>
      </c>
      <c r="G176" s="48">
        <f>'дод. 2'!H301+'дод. 2'!H241</f>
        <v>0</v>
      </c>
      <c r="H176" s="48">
        <f>'дод. 2'!I301+'дод. 2'!I241</f>
        <v>490670</v>
      </c>
      <c r="I176" s="48">
        <f>'дод. 2'!J301+'дод. 2'!J241</f>
        <v>14343.33</v>
      </c>
      <c r="J176" s="48">
        <f>'дод. 2'!K301+'дод. 2'!K241</f>
        <v>14343.33</v>
      </c>
      <c r="K176" s="48">
        <f>'дод. 2'!L301+'дод. 2'!L241</f>
        <v>0</v>
      </c>
      <c r="L176" s="48">
        <f>'дод. 2'!M301+'дод. 2'!M241</f>
        <v>0</v>
      </c>
      <c r="M176" s="48">
        <f>'дод. 2'!N301+'дод. 2'!N241</f>
        <v>0</v>
      </c>
      <c r="N176" s="48">
        <f>'дод. 2'!O301+'дод. 2'!O241</f>
        <v>0</v>
      </c>
      <c r="O176" s="48">
        <f>'дод. 2'!P301+'дод. 2'!P241</f>
        <v>1155013.33</v>
      </c>
      <c r="P176" s="292"/>
      <c r="Q176" s="181"/>
      <c r="R176" s="181"/>
      <c r="S176" s="181"/>
      <c r="T176" s="181"/>
      <c r="U176" s="181"/>
      <c r="V176" s="181"/>
      <c r="W176" s="181"/>
      <c r="X176" s="181"/>
      <c r="Y176" s="181"/>
      <c r="Z176" s="181"/>
      <c r="AA176" s="181"/>
      <c r="AB176" s="181"/>
      <c r="AC176" s="181"/>
      <c r="AD176" s="181"/>
      <c r="AE176" s="181"/>
      <c r="AF176" s="181"/>
      <c r="AG176" s="181"/>
      <c r="AH176" s="181"/>
      <c r="AI176" s="181"/>
    </row>
    <row r="177" spans="1:35" s="21" customFormat="1" ht="27.75" customHeight="1">
      <c r="A177" s="22" t="s">
        <v>144</v>
      </c>
      <c r="B177" s="22"/>
      <c r="C177" s="75" t="s">
        <v>218</v>
      </c>
      <c r="D177" s="49">
        <f>D179+D180+D184+D185+D187+D186</f>
        <v>0</v>
      </c>
      <c r="E177" s="49">
        <f aca="true" t="shared" si="45" ref="E177:O177">E179+E180+E184+E185+E187+E186</f>
        <v>0</v>
      </c>
      <c r="F177" s="49">
        <f t="shared" si="45"/>
        <v>0</v>
      </c>
      <c r="G177" s="49">
        <f t="shared" si="45"/>
        <v>0</v>
      </c>
      <c r="H177" s="49">
        <f t="shared" si="45"/>
        <v>0</v>
      </c>
      <c r="I177" s="49">
        <f>I179+I180+I184+I185+I187+I186</f>
        <v>116176353.00999999</v>
      </c>
      <c r="J177" s="49">
        <f t="shared" si="45"/>
        <v>0</v>
      </c>
      <c r="K177" s="49">
        <f t="shared" si="45"/>
        <v>0</v>
      </c>
      <c r="L177" s="49">
        <f t="shared" si="45"/>
        <v>0</v>
      </c>
      <c r="M177" s="49">
        <f t="shared" si="45"/>
        <v>116176353.00999999</v>
      </c>
      <c r="N177" s="49">
        <f t="shared" si="45"/>
        <v>113595989.96</v>
      </c>
      <c r="O177" s="49">
        <f t="shared" si="45"/>
        <v>116176353.00999999</v>
      </c>
      <c r="P177" s="292"/>
      <c r="Q177" s="185"/>
      <c r="R177" s="185"/>
      <c r="S177" s="185"/>
      <c r="T177" s="185"/>
      <c r="U177" s="185"/>
      <c r="V177" s="185"/>
      <c r="W177" s="185"/>
      <c r="X177" s="185"/>
      <c r="Y177" s="185"/>
      <c r="Z177" s="185"/>
      <c r="AA177" s="185"/>
      <c r="AB177" s="185"/>
      <c r="AC177" s="185"/>
      <c r="AD177" s="185"/>
      <c r="AE177" s="185"/>
      <c r="AF177" s="185"/>
      <c r="AG177" s="185"/>
      <c r="AH177" s="185"/>
      <c r="AI177" s="185"/>
    </row>
    <row r="178" spans="1:35" s="21" customFormat="1" ht="27.75" customHeight="1">
      <c r="A178" s="22"/>
      <c r="B178" s="22"/>
      <c r="C178" s="13" t="s">
        <v>416</v>
      </c>
      <c r="D178" s="49">
        <f>D188</f>
        <v>0</v>
      </c>
      <c r="E178" s="49">
        <f aca="true" t="shared" si="46" ref="E178:O178">E188</f>
        <v>0</v>
      </c>
      <c r="F178" s="49">
        <f t="shared" si="46"/>
        <v>0</v>
      </c>
      <c r="G178" s="49">
        <f t="shared" si="46"/>
        <v>0</v>
      </c>
      <c r="H178" s="49">
        <f t="shared" si="46"/>
        <v>0</v>
      </c>
      <c r="I178" s="49">
        <f t="shared" si="46"/>
        <v>6623891.34</v>
      </c>
      <c r="J178" s="49">
        <f t="shared" si="46"/>
        <v>0</v>
      </c>
      <c r="K178" s="49">
        <f t="shared" si="46"/>
        <v>0</v>
      </c>
      <c r="L178" s="49">
        <f t="shared" si="46"/>
        <v>0</v>
      </c>
      <c r="M178" s="49">
        <f t="shared" si="46"/>
        <v>6623891.34</v>
      </c>
      <c r="N178" s="49">
        <f t="shared" si="46"/>
        <v>4043528.29</v>
      </c>
      <c r="O178" s="49">
        <f t="shared" si="46"/>
        <v>6623891.34</v>
      </c>
      <c r="P178" s="292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5"/>
      <c r="AI178" s="185"/>
    </row>
    <row r="179" spans="1:35" ht="32.25" customHeight="1">
      <c r="A179" s="26" t="s">
        <v>425</v>
      </c>
      <c r="B179" s="26" t="s">
        <v>166</v>
      </c>
      <c r="C179" s="13" t="s">
        <v>438</v>
      </c>
      <c r="D179" s="48">
        <f>'дод. 2'!E242+'дод. 2'!E268</f>
        <v>0</v>
      </c>
      <c r="E179" s="48">
        <f>'дод. 2'!F242+'дод. 2'!F268</f>
        <v>0</v>
      </c>
      <c r="F179" s="48">
        <f>'дод. 2'!G242+'дод. 2'!G268</f>
        <v>0</v>
      </c>
      <c r="G179" s="48">
        <f>'дод. 2'!H242+'дод. 2'!H268</f>
        <v>0</v>
      </c>
      <c r="H179" s="48">
        <f>'дод. 2'!I242+'дод. 2'!I268</f>
        <v>0</v>
      </c>
      <c r="I179" s="48">
        <f>'дод. 2'!J242+'дод. 2'!J268</f>
        <v>34632850.129999995</v>
      </c>
      <c r="J179" s="48">
        <f>'дод. 2'!K242+'дод. 2'!K268</f>
        <v>0</v>
      </c>
      <c r="K179" s="48">
        <f>'дод. 2'!L242+'дод. 2'!L268</f>
        <v>0</v>
      </c>
      <c r="L179" s="48">
        <f>'дод. 2'!M242+'дод. 2'!M268</f>
        <v>0</v>
      </c>
      <c r="M179" s="48">
        <f>'дод. 2'!N242+'дод. 2'!N268</f>
        <v>34632850.129999995</v>
      </c>
      <c r="N179" s="48">
        <f>'дод. 2'!O242+'дод. 2'!O268</f>
        <v>34632850.129999995</v>
      </c>
      <c r="O179" s="48">
        <f>'дод. 2'!P242+'дод. 2'!P268</f>
        <v>34632850.129999995</v>
      </c>
      <c r="P179" s="292"/>
      <c r="Q179" s="181"/>
      <c r="R179" s="181"/>
      <c r="S179" s="181"/>
      <c r="T179" s="181"/>
      <c r="U179" s="181"/>
      <c r="V179" s="181"/>
      <c r="W179" s="181"/>
      <c r="X179" s="181"/>
      <c r="Y179" s="181"/>
      <c r="Z179" s="181"/>
      <c r="AA179" s="181"/>
      <c r="AB179" s="181"/>
      <c r="AC179" s="181"/>
      <c r="AD179" s="181"/>
      <c r="AE179" s="181"/>
      <c r="AF179" s="181"/>
      <c r="AG179" s="181"/>
      <c r="AH179" s="181"/>
      <c r="AI179" s="181"/>
    </row>
    <row r="180" spans="1:35" ht="32.25" customHeight="1">
      <c r="A180" s="26" t="s">
        <v>430</v>
      </c>
      <c r="B180" s="26"/>
      <c r="C180" s="13" t="s">
        <v>440</v>
      </c>
      <c r="D180" s="48">
        <f>D181+D182+D183</f>
        <v>0</v>
      </c>
      <c r="E180" s="48">
        <f aca="true" t="shared" si="47" ref="E180:O180">E181+E182+E183</f>
        <v>0</v>
      </c>
      <c r="F180" s="48">
        <f t="shared" si="47"/>
        <v>0</v>
      </c>
      <c r="G180" s="48">
        <f t="shared" si="47"/>
        <v>0</v>
      </c>
      <c r="H180" s="48">
        <f t="shared" si="47"/>
        <v>0</v>
      </c>
      <c r="I180" s="48">
        <f t="shared" si="47"/>
        <v>19341755</v>
      </c>
      <c r="J180" s="48">
        <f t="shared" si="47"/>
        <v>0</v>
      </c>
      <c r="K180" s="48">
        <f t="shared" si="47"/>
        <v>0</v>
      </c>
      <c r="L180" s="48">
        <f t="shared" si="47"/>
        <v>0</v>
      </c>
      <c r="M180" s="48">
        <f t="shared" si="47"/>
        <v>19341755</v>
      </c>
      <c r="N180" s="48">
        <f t="shared" si="47"/>
        <v>19341755</v>
      </c>
      <c r="O180" s="48">
        <f t="shared" si="47"/>
        <v>19341755</v>
      </c>
      <c r="P180" s="292"/>
      <c r="Q180" s="181"/>
      <c r="R180" s="181"/>
      <c r="S180" s="181"/>
      <c r="T180" s="181"/>
      <c r="U180" s="181"/>
      <c r="V180" s="181"/>
      <c r="W180" s="181"/>
      <c r="X180" s="181"/>
      <c r="Y180" s="181"/>
      <c r="Z180" s="181"/>
      <c r="AA180" s="181"/>
      <c r="AB180" s="181"/>
      <c r="AC180" s="181"/>
      <c r="AD180" s="181"/>
      <c r="AE180" s="181"/>
      <c r="AF180" s="181"/>
      <c r="AG180" s="181"/>
      <c r="AH180" s="181"/>
      <c r="AI180" s="181"/>
    </row>
    <row r="181" spans="1:35" s="8" customFormat="1" ht="32.25" customHeight="1">
      <c r="A181" s="27" t="s">
        <v>432</v>
      </c>
      <c r="B181" s="27" t="s">
        <v>166</v>
      </c>
      <c r="C181" s="14" t="s">
        <v>441</v>
      </c>
      <c r="D181" s="50">
        <f>'дод. 2'!E270</f>
        <v>0</v>
      </c>
      <c r="E181" s="50">
        <f>'дод. 2'!F270</f>
        <v>0</v>
      </c>
      <c r="F181" s="50">
        <f>'дод. 2'!G270</f>
        <v>0</v>
      </c>
      <c r="G181" s="50">
        <f>'дод. 2'!H270</f>
        <v>0</v>
      </c>
      <c r="H181" s="50">
        <f>'дод. 2'!I270</f>
        <v>0</v>
      </c>
      <c r="I181" s="50">
        <f>'дод. 2'!J270</f>
        <v>6600755</v>
      </c>
      <c r="J181" s="50">
        <f>'дод. 2'!K270</f>
        <v>0</v>
      </c>
      <c r="K181" s="50">
        <f>'дод. 2'!L270</f>
        <v>0</v>
      </c>
      <c r="L181" s="50">
        <f>'дод. 2'!M270</f>
        <v>0</v>
      </c>
      <c r="M181" s="50">
        <f>'дод. 2'!N270</f>
        <v>6600755</v>
      </c>
      <c r="N181" s="50">
        <f>'дод. 2'!O270</f>
        <v>6600755</v>
      </c>
      <c r="O181" s="50">
        <f>'дод. 2'!P270</f>
        <v>6600755</v>
      </c>
      <c r="P181" s="29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</row>
    <row r="182" spans="1:35" s="8" customFormat="1" ht="32.25" customHeight="1">
      <c r="A182" s="27" t="s">
        <v>434</v>
      </c>
      <c r="B182" s="27" t="s">
        <v>166</v>
      </c>
      <c r="C182" s="14" t="s">
        <v>443</v>
      </c>
      <c r="D182" s="50">
        <f>'дод. 2'!E271</f>
        <v>0</v>
      </c>
      <c r="E182" s="50">
        <f>'дод. 2'!F271</f>
        <v>0</v>
      </c>
      <c r="F182" s="50">
        <f>'дод. 2'!G271</f>
        <v>0</v>
      </c>
      <c r="G182" s="50">
        <f>'дод. 2'!H271</f>
        <v>0</v>
      </c>
      <c r="H182" s="50">
        <f>'дод. 2'!I271</f>
        <v>0</v>
      </c>
      <c r="I182" s="50">
        <f>'дод. 2'!J271</f>
        <v>5080000</v>
      </c>
      <c r="J182" s="50">
        <f>'дод. 2'!K271</f>
        <v>0</v>
      </c>
      <c r="K182" s="50">
        <f>'дод. 2'!L271</f>
        <v>0</v>
      </c>
      <c r="L182" s="50">
        <f>'дод. 2'!M271</f>
        <v>0</v>
      </c>
      <c r="M182" s="50">
        <f>'дод. 2'!N271</f>
        <v>5080000</v>
      </c>
      <c r="N182" s="50">
        <f>'дод. 2'!O271</f>
        <v>5080000</v>
      </c>
      <c r="O182" s="50">
        <f>'дод. 2'!P271</f>
        <v>5080000</v>
      </c>
      <c r="P182" s="29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</row>
    <row r="183" spans="1:35" s="8" customFormat="1" ht="32.25" customHeight="1">
      <c r="A183" s="27" t="s">
        <v>436</v>
      </c>
      <c r="B183" s="27" t="s">
        <v>166</v>
      </c>
      <c r="C183" s="14" t="s">
        <v>442</v>
      </c>
      <c r="D183" s="50">
        <f>'дод. 2'!E272</f>
        <v>0</v>
      </c>
      <c r="E183" s="50">
        <f>'дод. 2'!F272</f>
        <v>0</v>
      </c>
      <c r="F183" s="50">
        <f>'дод. 2'!G272</f>
        <v>0</v>
      </c>
      <c r="G183" s="50">
        <f>'дод. 2'!H272</f>
        <v>0</v>
      </c>
      <c r="H183" s="50">
        <f>'дод. 2'!I272</f>
        <v>0</v>
      </c>
      <c r="I183" s="50">
        <f>'дод. 2'!J272</f>
        <v>7661000</v>
      </c>
      <c r="J183" s="50">
        <f>'дод. 2'!K272</f>
        <v>0</v>
      </c>
      <c r="K183" s="50">
        <f>'дод. 2'!L272</f>
        <v>0</v>
      </c>
      <c r="L183" s="50">
        <f>'дод. 2'!M272</f>
        <v>0</v>
      </c>
      <c r="M183" s="50">
        <f>'дод. 2'!N272</f>
        <v>7661000</v>
      </c>
      <c r="N183" s="50">
        <f>'дод. 2'!O272</f>
        <v>7661000</v>
      </c>
      <c r="O183" s="50">
        <f>'дод. 2'!P272</f>
        <v>7661000</v>
      </c>
      <c r="P183" s="29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  <c r="AD183" s="182"/>
      <c r="AE183" s="182"/>
      <c r="AF183" s="182"/>
      <c r="AG183" s="182"/>
      <c r="AH183" s="182"/>
      <c r="AI183" s="182"/>
    </row>
    <row r="184" spans="1:35" ht="32.25" customHeight="1">
      <c r="A184" s="26" t="s">
        <v>427</v>
      </c>
      <c r="B184" s="26" t="s">
        <v>166</v>
      </c>
      <c r="C184" s="13" t="s">
        <v>439</v>
      </c>
      <c r="D184" s="48">
        <f>'дод. 2'!E243+'дод. 2'!E273</f>
        <v>0</v>
      </c>
      <c r="E184" s="48">
        <f>'дод. 2'!F243+'дод. 2'!F273</f>
        <v>0</v>
      </c>
      <c r="F184" s="48">
        <f>'дод. 2'!G243+'дод. 2'!G273</f>
        <v>0</v>
      </c>
      <c r="G184" s="48">
        <f>'дод. 2'!H243+'дод. 2'!H273</f>
        <v>0</v>
      </c>
      <c r="H184" s="48">
        <f>'дод. 2'!I243+'дод. 2'!I273</f>
        <v>0</v>
      </c>
      <c r="I184" s="48">
        <f>'дод. 2'!J243+'дод. 2'!J273</f>
        <v>48262286</v>
      </c>
      <c r="J184" s="48">
        <f>'дод. 2'!K243+'дод. 2'!K273</f>
        <v>0</v>
      </c>
      <c r="K184" s="48">
        <f>'дод. 2'!L243+'дод. 2'!L273</f>
        <v>0</v>
      </c>
      <c r="L184" s="48">
        <f>'дод. 2'!M243+'дод. 2'!M273</f>
        <v>0</v>
      </c>
      <c r="M184" s="48">
        <f>'дод. 2'!N243+'дод. 2'!N273</f>
        <v>48262286</v>
      </c>
      <c r="N184" s="48">
        <f>'дод. 2'!O243+'дод. 2'!O273</f>
        <v>48262286</v>
      </c>
      <c r="O184" s="48">
        <f>'дод. 2'!P243+'дод. 2'!P273</f>
        <v>48262286</v>
      </c>
      <c r="P184" s="292"/>
      <c r="Q184" s="181"/>
      <c r="R184" s="181"/>
      <c r="S184" s="181"/>
      <c r="T184" s="181"/>
      <c r="U184" s="181"/>
      <c r="V184" s="181"/>
      <c r="W184" s="181"/>
      <c r="X184" s="181"/>
      <c r="Y184" s="181"/>
      <c r="Z184" s="181"/>
      <c r="AA184" s="181"/>
      <c r="AB184" s="181"/>
      <c r="AC184" s="181"/>
      <c r="AD184" s="181"/>
      <c r="AE184" s="181"/>
      <c r="AF184" s="181"/>
      <c r="AG184" s="181"/>
      <c r="AH184" s="181"/>
      <c r="AI184" s="181"/>
    </row>
    <row r="185" spans="1:35" ht="35.25" customHeight="1">
      <c r="A185" s="5" t="s">
        <v>219</v>
      </c>
      <c r="B185" s="5" t="s">
        <v>166</v>
      </c>
      <c r="C185" s="13" t="s">
        <v>1</v>
      </c>
      <c r="D185" s="48">
        <f>'дод. 2'!E244+'дод. 2'!E274</f>
        <v>0</v>
      </c>
      <c r="E185" s="48">
        <f>'дод. 2'!F244+'дод. 2'!F274</f>
        <v>0</v>
      </c>
      <c r="F185" s="48">
        <f>'дод. 2'!G244+'дод. 2'!G274</f>
        <v>0</v>
      </c>
      <c r="G185" s="48">
        <f>'дод. 2'!H244+'дод. 2'!H274</f>
        <v>0</v>
      </c>
      <c r="H185" s="48">
        <f>'дод. 2'!I244+'дод. 2'!I274</f>
        <v>0</v>
      </c>
      <c r="I185" s="48">
        <f>'дод. 2'!J244+'дод. 2'!J274</f>
        <v>4200000</v>
      </c>
      <c r="J185" s="48">
        <f>'дод. 2'!K244+'дод. 2'!K274</f>
        <v>0</v>
      </c>
      <c r="K185" s="48">
        <f>'дод. 2'!L244+'дод. 2'!L274</f>
        <v>0</v>
      </c>
      <c r="L185" s="48">
        <f>'дод. 2'!M244+'дод. 2'!M274</f>
        <v>0</v>
      </c>
      <c r="M185" s="48">
        <f>'дод. 2'!N244+'дод. 2'!N274</f>
        <v>4200000</v>
      </c>
      <c r="N185" s="48">
        <f>'дод. 2'!O244+'дод. 2'!O274</f>
        <v>4200000</v>
      </c>
      <c r="O185" s="48">
        <f>'дод. 2'!P244+'дод. 2'!P274</f>
        <v>4200000</v>
      </c>
      <c r="P185" s="292"/>
      <c r="Q185" s="181"/>
      <c r="R185" s="181"/>
      <c r="S185" s="181"/>
      <c r="T185" s="181"/>
      <c r="U185" s="181"/>
      <c r="V185" s="181"/>
      <c r="W185" s="181"/>
      <c r="X185" s="181"/>
      <c r="Y185" s="181"/>
      <c r="Z185" s="181"/>
      <c r="AA185" s="181"/>
      <c r="AB185" s="181"/>
      <c r="AC185" s="181"/>
      <c r="AD185" s="181"/>
      <c r="AE185" s="181"/>
      <c r="AF185" s="181"/>
      <c r="AG185" s="181"/>
      <c r="AH185" s="181"/>
      <c r="AI185" s="181"/>
    </row>
    <row r="186" spans="1:35" ht="35.25" customHeight="1">
      <c r="A186" s="5" t="s">
        <v>633</v>
      </c>
      <c r="B186" s="5" t="s">
        <v>166</v>
      </c>
      <c r="C186" s="13" t="s">
        <v>634</v>
      </c>
      <c r="D186" s="48">
        <f>'дод. 2'!E292</f>
        <v>0</v>
      </c>
      <c r="E186" s="48">
        <f>'дод. 2'!F292</f>
        <v>0</v>
      </c>
      <c r="F186" s="48">
        <f>'дод. 2'!G292</f>
        <v>0</v>
      </c>
      <c r="G186" s="48">
        <f>'дод. 2'!H292</f>
        <v>0</v>
      </c>
      <c r="H186" s="48">
        <f>'дод. 2'!I292</f>
        <v>0</v>
      </c>
      <c r="I186" s="48">
        <f>'дод. 2'!J292</f>
        <v>140000</v>
      </c>
      <c r="J186" s="48">
        <f>'дод. 2'!K292</f>
        <v>0</v>
      </c>
      <c r="K186" s="48">
        <f>'дод. 2'!L292</f>
        <v>0</v>
      </c>
      <c r="L186" s="48">
        <f>'дод. 2'!M292</f>
        <v>0</v>
      </c>
      <c r="M186" s="48">
        <f>'дод. 2'!N292</f>
        <v>140000</v>
      </c>
      <c r="N186" s="48">
        <f>'дод. 2'!O292</f>
        <v>140000</v>
      </c>
      <c r="O186" s="48">
        <f>'дод. 2'!P292</f>
        <v>140000</v>
      </c>
      <c r="P186" s="292"/>
      <c r="Q186" s="181"/>
      <c r="R186" s="181"/>
      <c r="S186" s="181"/>
      <c r="T186" s="181"/>
      <c r="U186" s="181"/>
      <c r="V186" s="181"/>
      <c r="W186" s="181"/>
      <c r="X186" s="181"/>
      <c r="Y186" s="181"/>
      <c r="Z186" s="181"/>
      <c r="AA186" s="181"/>
      <c r="AB186" s="181"/>
      <c r="AC186" s="181"/>
      <c r="AD186" s="181"/>
      <c r="AE186" s="181"/>
      <c r="AF186" s="181"/>
      <c r="AG186" s="181"/>
      <c r="AH186" s="181"/>
      <c r="AI186" s="181"/>
    </row>
    <row r="187" spans="1:35" ht="30" customHeight="1">
      <c r="A187" s="5" t="s">
        <v>598</v>
      </c>
      <c r="B187" s="5"/>
      <c r="C187" s="13" t="s">
        <v>600</v>
      </c>
      <c r="D187" s="48">
        <f>D190+D189</f>
        <v>0</v>
      </c>
      <c r="E187" s="48">
        <f aca="true" t="shared" si="48" ref="E187:O187">E190+E189</f>
        <v>0</v>
      </c>
      <c r="F187" s="48">
        <f t="shared" si="48"/>
        <v>0</v>
      </c>
      <c r="G187" s="48">
        <f t="shared" si="48"/>
        <v>0</v>
      </c>
      <c r="H187" s="48">
        <f t="shared" si="48"/>
        <v>0</v>
      </c>
      <c r="I187" s="48">
        <f t="shared" si="48"/>
        <v>9599461.879999999</v>
      </c>
      <c r="J187" s="48">
        <f t="shared" si="48"/>
        <v>0</v>
      </c>
      <c r="K187" s="48">
        <f t="shared" si="48"/>
        <v>0</v>
      </c>
      <c r="L187" s="48">
        <f t="shared" si="48"/>
        <v>0</v>
      </c>
      <c r="M187" s="48">
        <f t="shared" si="48"/>
        <v>9599461.879999999</v>
      </c>
      <c r="N187" s="48">
        <f t="shared" si="48"/>
        <v>7019098.83</v>
      </c>
      <c r="O187" s="48">
        <f t="shared" si="48"/>
        <v>9599461.879999999</v>
      </c>
      <c r="P187" s="292"/>
      <c r="Q187" s="181"/>
      <c r="R187" s="181"/>
      <c r="S187" s="181"/>
      <c r="T187" s="181"/>
      <c r="U187" s="181"/>
      <c r="V187" s="181"/>
      <c r="W187" s="181"/>
      <c r="X187" s="181"/>
      <c r="Y187" s="181"/>
      <c r="Z187" s="181"/>
      <c r="AA187" s="181"/>
      <c r="AB187" s="181"/>
      <c r="AC187" s="181"/>
      <c r="AD187" s="181"/>
      <c r="AE187" s="181"/>
      <c r="AF187" s="181"/>
      <c r="AG187" s="181"/>
      <c r="AH187" s="181"/>
      <c r="AI187" s="181"/>
    </row>
    <row r="188" spans="2:35" ht="24.75" customHeight="1">
      <c r="B188" s="5"/>
      <c r="C188" s="13" t="s">
        <v>416</v>
      </c>
      <c r="D188" s="48">
        <f>D191</f>
        <v>0</v>
      </c>
      <c r="E188" s="48">
        <f aca="true" t="shared" si="49" ref="E188:O188">E191</f>
        <v>0</v>
      </c>
      <c r="F188" s="48">
        <f t="shared" si="49"/>
        <v>0</v>
      </c>
      <c r="G188" s="48">
        <f t="shared" si="49"/>
        <v>0</v>
      </c>
      <c r="H188" s="48">
        <f t="shared" si="49"/>
        <v>0</v>
      </c>
      <c r="I188" s="48">
        <f t="shared" si="49"/>
        <v>6623891.34</v>
      </c>
      <c r="J188" s="48">
        <f t="shared" si="49"/>
        <v>0</v>
      </c>
      <c r="K188" s="48">
        <f t="shared" si="49"/>
        <v>0</v>
      </c>
      <c r="L188" s="48">
        <f t="shared" si="49"/>
        <v>0</v>
      </c>
      <c r="M188" s="48">
        <f t="shared" si="49"/>
        <v>6623891.34</v>
      </c>
      <c r="N188" s="48">
        <f t="shared" si="49"/>
        <v>4043528.29</v>
      </c>
      <c r="O188" s="48">
        <f t="shared" si="49"/>
        <v>6623891.34</v>
      </c>
      <c r="P188" s="292"/>
      <c r="Q188" s="181"/>
      <c r="R188" s="181"/>
      <c r="S188" s="181"/>
      <c r="T188" s="181"/>
      <c r="U188" s="181"/>
      <c r="V188" s="181"/>
      <c r="W188" s="181"/>
      <c r="X188" s="181"/>
      <c r="Y188" s="181"/>
      <c r="Z188" s="181"/>
      <c r="AA188" s="181"/>
      <c r="AB188" s="181"/>
      <c r="AC188" s="181"/>
      <c r="AD188" s="181"/>
      <c r="AE188" s="181"/>
      <c r="AF188" s="181"/>
      <c r="AG188" s="181"/>
      <c r="AH188" s="181"/>
      <c r="AI188" s="181"/>
    </row>
    <row r="189" spans="1:35" s="8" customFormat="1" ht="54.75" customHeight="1">
      <c r="A189" s="7" t="s">
        <v>625</v>
      </c>
      <c r="B189" s="7" t="s">
        <v>126</v>
      </c>
      <c r="C189" s="14" t="s">
        <v>626</v>
      </c>
      <c r="D189" s="50">
        <f>'дод. 2'!E247</f>
        <v>0</v>
      </c>
      <c r="E189" s="50">
        <f>'дод. 2'!F247</f>
        <v>0</v>
      </c>
      <c r="F189" s="50">
        <f>'дод. 2'!G247</f>
        <v>0</v>
      </c>
      <c r="G189" s="50">
        <f>'дод. 2'!H247</f>
        <v>0</v>
      </c>
      <c r="H189" s="50">
        <f>'дод. 2'!I247</f>
        <v>0</v>
      </c>
      <c r="I189" s="50">
        <f>'дод. 2'!J247</f>
        <v>426739</v>
      </c>
      <c r="J189" s="50">
        <f>'дод. 2'!K247</f>
        <v>0</v>
      </c>
      <c r="K189" s="50">
        <f>'дод. 2'!L247</f>
        <v>0</v>
      </c>
      <c r="L189" s="50">
        <f>'дод. 2'!M247</f>
        <v>0</v>
      </c>
      <c r="M189" s="50">
        <f>'дод. 2'!N247</f>
        <v>426739</v>
      </c>
      <c r="N189" s="50">
        <f>'дод. 2'!O247</f>
        <v>426739</v>
      </c>
      <c r="O189" s="50">
        <f>'дод. 2'!P247</f>
        <v>426739</v>
      </c>
      <c r="P189" s="29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</row>
    <row r="190" spans="1:35" s="8" customFormat="1" ht="48.75" customHeight="1">
      <c r="A190" s="7" t="s">
        <v>599</v>
      </c>
      <c r="B190" s="7" t="s">
        <v>126</v>
      </c>
      <c r="C190" s="14" t="s">
        <v>601</v>
      </c>
      <c r="D190" s="50">
        <f>'дод. 2'!E88+'дод. 2'!E125+'дод. 2'!E248+'дод. 2'!E277</f>
        <v>0</v>
      </c>
      <c r="E190" s="50">
        <f>'дод. 2'!F88+'дод. 2'!F125+'дод. 2'!F248+'дод. 2'!F277</f>
        <v>0</v>
      </c>
      <c r="F190" s="50">
        <f>'дод. 2'!G88+'дод. 2'!G125+'дод. 2'!G248+'дод. 2'!G277</f>
        <v>0</v>
      </c>
      <c r="G190" s="50">
        <f>'дод. 2'!H88+'дод. 2'!H125+'дод. 2'!H248+'дод. 2'!H277</f>
        <v>0</v>
      </c>
      <c r="H190" s="50">
        <f>'дод. 2'!I88+'дод. 2'!I125+'дод. 2'!I248+'дод. 2'!I277</f>
        <v>0</v>
      </c>
      <c r="I190" s="50">
        <f>'дод. 2'!J88+'дод. 2'!J125+'дод. 2'!J248+'дод. 2'!J277+'дод. 2'!J218</f>
        <v>9172722.879999999</v>
      </c>
      <c r="J190" s="50">
        <f>'дод. 2'!K88+'дод. 2'!K125+'дод. 2'!K248+'дод. 2'!K277</f>
        <v>0</v>
      </c>
      <c r="K190" s="50">
        <f>'дод. 2'!L88+'дод. 2'!L125+'дод. 2'!L248+'дод. 2'!L277</f>
        <v>0</v>
      </c>
      <c r="L190" s="50">
        <f>'дод. 2'!M88+'дод. 2'!M125+'дод. 2'!M248+'дод. 2'!M277</f>
        <v>0</v>
      </c>
      <c r="M190" s="50">
        <f>'дод. 2'!N88+'дод. 2'!N125+'дод. 2'!N248+'дод. 2'!N277+'дод. 2'!N218</f>
        <v>9172722.879999999</v>
      </c>
      <c r="N190" s="50">
        <f>'дод. 2'!O88+'дод. 2'!O125+'дод. 2'!O248+'дод. 2'!O277+'дод. 2'!O218</f>
        <v>6592359.83</v>
      </c>
      <c r="O190" s="50">
        <f>'дод. 2'!P88+'дод. 2'!P125+'дод. 2'!P248+'дод. 2'!P277+'дод. 2'!P218</f>
        <v>9172722.879999999</v>
      </c>
      <c r="P190" s="29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</row>
    <row r="191" spans="1:35" s="8" customFormat="1" ht="27" customHeight="1">
      <c r="A191" s="7"/>
      <c r="B191" s="7"/>
      <c r="C191" s="14" t="s">
        <v>416</v>
      </c>
      <c r="D191" s="50">
        <f>'дод. 2'!E89+'дод. 2'!E126+'дод. 2'!E249+'дод. 2'!E278</f>
        <v>0</v>
      </c>
      <c r="E191" s="50">
        <f>'дод. 2'!F89+'дод. 2'!F126+'дод. 2'!F249+'дод. 2'!F278</f>
        <v>0</v>
      </c>
      <c r="F191" s="50">
        <f>'дод. 2'!G89+'дод. 2'!G126+'дод. 2'!G249+'дод. 2'!G278</f>
        <v>0</v>
      </c>
      <c r="G191" s="50">
        <f>'дод. 2'!H89+'дод. 2'!H126+'дод. 2'!H249+'дод. 2'!H278</f>
        <v>0</v>
      </c>
      <c r="H191" s="50">
        <f>'дод. 2'!I89+'дод. 2'!I126+'дод. 2'!I249+'дод. 2'!I278</f>
        <v>0</v>
      </c>
      <c r="I191" s="50">
        <f>'дод. 2'!J89+'дод. 2'!J126+'дод. 2'!J249+'дод. 2'!J278</f>
        <v>6623891.34</v>
      </c>
      <c r="J191" s="50">
        <f>'дод. 2'!K89+'дод. 2'!K126+'дод. 2'!K249+'дод. 2'!K278</f>
        <v>0</v>
      </c>
      <c r="K191" s="50">
        <f>'дод. 2'!L89+'дод. 2'!L126+'дод. 2'!L249+'дод. 2'!L278</f>
        <v>0</v>
      </c>
      <c r="L191" s="50">
        <f>'дод. 2'!M89+'дод. 2'!M126+'дод. 2'!M249+'дод. 2'!M278</f>
        <v>0</v>
      </c>
      <c r="M191" s="50">
        <f>'дод. 2'!N89+'дод. 2'!N126+'дод. 2'!N249+'дод. 2'!N278</f>
        <v>6623891.34</v>
      </c>
      <c r="N191" s="50">
        <f>'дод. 2'!O89+'дод. 2'!O126+'дод. 2'!O249+'дод. 2'!O278</f>
        <v>4043528.29</v>
      </c>
      <c r="O191" s="50">
        <f>'дод. 2'!P89+'дод. 2'!P126+'дод. 2'!P249+'дод. 2'!P278</f>
        <v>6623891.34</v>
      </c>
      <c r="P191" s="29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</row>
    <row r="192" spans="1:35" s="21" customFormat="1" ht="39.75" customHeight="1">
      <c r="A192" s="22" t="s">
        <v>130</v>
      </c>
      <c r="B192" s="11"/>
      <c r="C192" s="11" t="s">
        <v>2</v>
      </c>
      <c r="D192" s="49">
        <f>D194+D196+D201+D199+D202</f>
        <v>28194436</v>
      </c>
      <c r="E192" s="49">
        <f>E194+E196+E201+E199+E202</f>
        <v>649800</v>
      </c>
      <c r="F192" s="49">
        <f>F194+F196+F201+F199</f>
        <v>0</v>
      </c>
      <c r="G192" s="49">
        <f>G194+G196+G201+G199</f>
        <v>0</v>
      </c>
      <c r="H192" s="49">
        <f>H194+H196+H201+H199+H202</f>
        <v>27544636</v>
      </c>
      <c r="I192" s="49">
        <f>I194+I196+I201+I199+I202</f>
        <v>43463389.14</v>
      </c>
      <c r="J192" s="49">
        <f>J194+J196+J201+J199+J202</f>
        <v>11900000</v>
      </c>
      <c r="K192" s="49">
        <f>K194+K196+K201+K199</f>
        <v>0</v>
      </c>
      <c r="L192" s="49">
        <f>L194+L196+L201+L199</f>
        <v>0</v>
      </c>
      <c r="M192" s="49">
        <f>M194+M196+M201+M199+M202</f>
        <v>31563389.14</v>
      </c>
      <c r="N192" s="49">
        <f>N194+N196+N201+N199+N202</f>
        <v>1490000</v>
      </c>
      <c r="O192" s="49">
        <f>O194+O196+O201+O199+O202</f>
        <v>71657825.14</v>
      </c>
      <c r="P192" s="292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  <c r="AF192" s="185"/>
      <c r="AG192" s="185"/>
      <c r="AH192" s="185"/>
      <c r="AI192" s="185"/>
    </row>
    <row r="193" spans="1:35" s="28" customFormat="1" ht="21" customHeight="1">
      <c r="A193" s="235"/>
      <c r="B193" s="219"/>
      <c r="C193" s="219" t="s">
        <v>416</v>
      </c>
      <c r="D193" s="236">
        <f>D203</f>
        <v>0</v>
      </c>
      <c r="E193" s="236">
        <f aca="true" t="shared" si="50" ref="E193:O193">E203</f>
        <v>0</v>
      </c>
      <c r="F193" s="236">
        <f t="shared" si="50"/>
        <v>0</v>
      </c>
      <c r="G193" s="236">
        <f t="shared" si="50"/>
        <v>0</v>
      </c>
      <c r="H193" s="236">
        <f t="shared" si="50"/>
        <v>0</v>
      </c>
      <c r="I193" s="236">
        <f t="shared" si="50"/>
        <v>41900000</v>
      </c>
      <c r="J193" s="236">
        <f t="shared" si="50"/>
        <v>11900000</v>
      </c>
      <c r="K193" s="236">
        <f t="shared" si="50"/>
        <v>0</v>
      </c>
      <c r="L193" s="236">
        <f t="shared" si="50"/>
        <v>0</v>
      </c>
      <c r="M193" s="236">
        <f t="shared" si="50"/>
        <v>30000000</v>
      </c>
      <c r="N193" s="236">
        <f t="shared" si="50"/>
        <v>0</v>
      </c>
      <c r="O193" s="236">
        <f t="shared" si="50"/>
        <v>41900000</v>
      </c>
      <c r="P193" s="292">
        <v>23</v>
      </c>
      <c r="Q193" s="237"/>
      <c r="R193" s="237"/>
      <c r="S193" s="237"/>
      <c r="T193" s="237"/>
      <c r="U193" s="237"/>
      <c r="V193" s="237"/>
      <c r="W193" s="237"/>
      <c r="X193" s="237"/>
      <c r="Y193" s="237"/>
      <c r="Z193" s="237"/>
      <c r="AA193" s="237"/>
      <c r="AB193" s="237"/>
      <c r="AC193" s="237"/>
      <c r="AD193" s="237"/>
      <c r="AE193" s="237"/>
      <c r="AF193" s="237"/>
      <c r="AG193" s="237"/>
      <c r="AH193" s="237"/>
      <c r="AI193" s="237"/>
    </row>
    <row r="194" spans="1:35" ht="39.75" customHeight="1">
      <c r="A194" s="5" t="s">
        <v>131</v>
      </c>
      <c r="B194" s="13"/>
      <c r="C194" s="13" t="s">
        <v>4</v>
      </c>
      <c r="D194" s="48">
        <f aca="true" t="shared" si="51" ref="D194:O194">D195</f>
        <v>5000000</v>
      </c>
      <c r="E194" s="48">
        <f t="shared" si="51"/>
        <v>0</v>
      </c>
      <c r="F194" s="48">
        <f t="shared" si="51"/>
        <v>0</v>
      </c>
      <c r="G194" s="48">
        <f t="shared" si="51"/>
        <v>0</v>
      </c>
      <c r="H194" s="48">
        <f t="shared" si="51"/>
        <v>5000000</v>
      </c>
      <c r="I194" s="48">
        <f t="shared" si="51"/>
        <v>0</v>
      </c>
      <c r="J194" s="48">
        <f t="shared" si="51"/>
        <v>0</v>
      </c>
      <c r="K194" s="48">
        <f t="shared" si="51"/>
        <v>0</v>
      </c>
      <c r="L194" s="48">
        <f t="shared" si="51"/>
        <v>0</v>
      </c>
      <c r="M194" s="48">
        <f t="shared" si="51"/>
        <v>0</v>
      </c>
      <c r="N194" s="48">
        <f t="shared" si="51"/>
        <v>0</v>
      </c>
      <c r="O194" s="48">
        <f t="shared" si="51"/>
        <v>5000000</v>
      </c>
      <c r="P194" s="292"/>
      <c r="Q194" s="181"/>
      <c r="R194" s="181"/>
      <c r="S194" s="181"/>
      <c r="T194" s="181"/>
      <c r="U194" s="181"/>
      <c r="V194" s="181"/>
      <c r="W194" s="181"/>
      <c r="X194" s="181"/>
      <c r="Y194" s="181"/>
      <c r="Z194" s="181"/>
      <c r="AA194" s="181"/>
      <c r="AB194" s="181"/>
      <c r="AC194" s="181"/>
      <c r="AD194" s="181"/>
      <c r="AE194" s="181"/>
      <c r="AF194" s="181"/>
      <c r="AG194" s="181"/>
      <c r="AH194" s="181"/>
      <c r="AI194" s="181"/>
    </row>
    <row r="195" spans="1:35" s="8" customFormat="1" ht="39.75" customHeight="1">
      <c r="A195" s="7" t="s">
        <v>5</v>
      </c>
      <c r="B195" s="7" t="s">
        <v>128</v>
      </c>
      <c r="C195" s="14" t="s">
        <v>68</v>
      </c>
      <c r="D195" s="50">
        <f>'дод. 2'!E40</f>
        <v>5000000</v>
      </c>
      <c r="E195" s="50">
        <f>'дод. 2'!F40</f>
        <v>0</v>
      </c>
      <c r="F195" s="50">
        <f>'дод. 2'!G40</f>
        <v>0</v>
      </c>
      <c r="G195" s="50">
        <f>'дод. 2'!H40</f>
        <v>0</v>
      </c>
      <c r="H195" s="50">
        <f>'дод. 2'!I40</f>
        <v>5000000</v>
      </c>
      <c r="I195" s="50">
        <f>'дод. 2'!J40</f>
        <v>0</v>
      </c>
      <c r="J195" s="50">
        <f>'дод. 2'!K40</f>
        <v>0</v>
      </c>
      <c r="K195" s="50">
        <f>'дод. 2'!L40</f>
        <v>0</v>
      </c>
      <c r="L195" s="50">
        <f>'дод. 2'!M40</f>
        <v>0</v>
      </c>
      <c r="M195" s="50">
        <f>'дод. 2'!N40</f>
        <v>0</v>
      </c>
      <c r="N195" s="50">
        <f>'дод. 2'!O40</f>
        <v>0</v>
      </c>
      <c r="O195" s="50">
        <f>'дод. 2'!P40</f>
        <v>5000000</v>
      </c>
      <c r="P195" s="29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  <c r="AB195" s="182"/>
      <c r="AC195" s="182"/>
      <c r="AD195" s="182"/>
      <c r="AE195" s="182"/>
      <c r="AF195" s="182"/>
      <c r="AG195" s="182"/>
      <c r="AH195" s="182"/>
      <c r="AI195" s="182"/>
    </row>
    <row r="196" spans="1:35" ht="36" customHeight="1">
      <c r="A196" s="5" t="s">
        <v>7</v>
      </c>
      <c r="B196" s="5"/>
      <c r="C196" s="13" t="s">
        <v>8</v>
      </c>
      <c r="D196" s="48">
        <f>D197+D198</f>
        <v>22544636</v>
      </c>
      <c r="E196" s="48">
        <f aca="true" t="shared" si="52" ref="E196:O196">E197+E198</f>
        <v>0</v>
      </c>
      <c r="F196" s="48">
        <f t="shared" si="52"/>
        <v>0</v>
      </c>
      <c r="G196" s="48">
        <f t="shared" si="52"/>
        <v>0</v>
      </c>
      <c r="H196" s="48">
        <f t="shared" si="52"/>
        <v>22544636</v>
      </c>
      <c r="I196" s="48">
        <f t="shared" si="52"/>
        <v>1490000</v>
      </c>
      <c r="J196" s="48">
        <f t="shared" si="52"/>
        <v>0</v>
      </c>
      <c r="K196" s="48">
        <f t="shared" si="52"/>
        <v>0</v>
      </c>
      <c r="L196" s="48">
        <f t="shared" si="52"/>
        <v>0</v>
      </c>
      <c r="M196" s="48">
        <f t="shared" si="52"/>
        <v>1490000</v>
      </c>
      <c r="N196" s="48">
        <f t="shared" si="52"/>
        <v>1490000</v>
      </c>
      <c r="O196" s="48">
        <f t="shared" si="52"/>
        <v>24034636</v>
      </c>
      <c r="P196" s="292"/>
      <c r="Q196" s="181"/>
      <c r="R196" s="181"/>
      <c r="S196" s="181"/>
      <c r="T196" s="181"/>
      <c r="U196" s="181"/>
      <c r="V196" s="181"/>
      <c r="W196" s="181"/>
      <c r="X196" s="181"/>
      <c r="Y196" s="181"/>
      <c r="Z196" s="181"/>
      <c r="AA196" s="181"/>
      <c r="AB196" s="181"/>
      <c r="AC196" s="181"/>
      <c r="AD196" s="181"/>
      <c r="AE196" s="181"/>
      <c r="AF196" s="181"/>
      <c r="AG196" s="181"/>
      <c r="AH196" s="181"/>
      <c r="AI196" s="181"/>
    </row>
    <row r="197" spans="1:35" s="8" customFormat="1" ht="39.75" customHeight="1">
      <c r="A197" s="7" t="s">
        <v>6</v>
      </c>
      <c r="B197" s="7" t="s">
        <v>129</v>
      </c>
      <c r="C197" s="14" t="s">
        <v>232</v>
      </c>
      <c r="D197" s="50">
        <f>'дод. 2'!E42</f>
        <v>10000000</v>
      </c>
      <c r="E197" s="50">
        <f>'дод. 2'!F42</f>
        <v>0</v>
      </c>
      <c r="F197" s="50">
        <f>'дод. 2'!G42</f>
        <v>0</v>
      </c>
      <c r="G197" s="50">
        <f>'дод. 2'!H42</f>
        <v>0</v>
      </c>
      <c r="H197" s="50">
        <f>'дод. 2'!I42</f>
        <v>10000000</v>
      </c>
      <c r="I197" s="50">
        <f>'дод. 2'!J42</f>
        <v>0</v>
      </c>
      <c r="J197" s="50">
        <f>'дод. 2'!K42</f>
        <v>0</v>
      </c>
      <c r="K197" s="50">
        <f>'дод. 2'!L42</f>
        <v>0</v>
      </c>
      <c r="L197" s="50">
        <f>'дод. 2'!M42</f>
        <v>0</v>
      </c>
      <c r="M197" s="50">
        <f>'дод. 2'!N42</f>
        <v>0</v>
      </c>
      <c r="N197" s="50">
        <f>'дод. 2'!O42</f>
        <v>0</v>
      </c>
      <c r="O197" s="50">
        <f>'дод. 2'!P42</f>
        <v>10000000</v>
      </c>
      <c r="P197" s="29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  <c r="AB197" s="182"/>
      <c r="AC197" s="182"/>
      <c r="AD197" s="182"/>
      <c r="AE197" s="182"/>
      <c r="AF197" s="182"/>
      <c r="AG197" s="182"/>
      <c r="AH197" s="182"/>
      <c r="AI197" s="182"/>
    </row>
    <row r="198" spans="1:35" s="8" customFormat="1" ht="24" customHeight="1">
      <c r="A198" s="7" t="s">
        <v>9</v>
      </c>
      <c r="B198" s="7" t="s">
        <v>129</v>
      </c>
      <c r="C198" s="14" t="s">
        <v>33</v>
      </c>
      <c r="D198" s="50">
        <f>'дод. 2'!E43</f>
        <v>12544636</v>
      </c>
      <c r="E198" s="50">
        <f>'дод. 2'!F43</f>
        <v>0</v>
      </c>
      <c r="F198" s="50">
        <f>'дод. 2'!G43</f>
        <v>0</v>
      </c>
      <c r="G198" s="50">
        <f>'дод. 2'!H43</f>
        <v>0</v>
      </c>
      <c r="H198" s="50">
        <f>'дод. 2'!I43</f>
        <v>12544636</v>
      </c>
      <c r="I198" s="50">
        <f>'дод. 2'!J43</f>
        <v>1490000</v>
      </c>
      <c r="J198" s="50">
        <f>'дод. 2'!K43</f>
        <v>0</v>
      </c>
      <c r="K198" s="50">
        <f>'дод. 2'!L43</f>
        <v>0</v>
      </c>
      <c r="L198" s="50">
        <f>'дод. 2'!M43</f>
        <v>0</v>
      </c>
      <c r="M198" s="50">
        <f>'дод. 2'!N43</f>
        <v>1490000</v>
      </c>
      <c r="N198" s="50">
        <f>'дод. 2'!O43</f>
        <v>1490000</v>
      </c>
      <c r="O198" s="50">
        <f>'дод. 2'!P43</f>
        <v>14034636</v>
      </c>
      <c r="P198" s="292"/>
      <c r="Q198" s="184"/>
      <c r="R198" s="184"/>
      <c r="S198" s="184"/>
      <c r="T198" s="184"/>
      <c r="U198" s="184"/>
      <c r="V198" s="184"/>
      <c r="W198" s="184"/>
      <c r="X198" s="184"/>
      <c r="Y198" s="184"/>
      <c r="Z198" s="184"/>
      <c r="AA198" s="184"/>
      <c r="AB198" s="184"/>
      <c r="AC198" s="184"/>
      <c r="AD198" s="184"/>
      <c r="AE198" s="184"/>
      <c r="AF198" s="184"/>
      <c r="AG198" s="184"/>
      <c r="AH198" s="184"/>
      <c r="AI198" s="184"/>
    </row>
    <row r="199" spans="1:35" ht="24" customHeight="1">
      <c r="A199" s="5" t="s">
        <v>617</v>
      </c>
      <c r="B199" s="5"/>
      <c r="C199" s="13" t="s">
        <v>618</v>
      </c>
      <c r="D199" s="48">
        <f>D200</f>
        <v>0</v>
      </c>
      <c r="E199" s="48">
        <f aca="true" t="shared" si="53" ref="E199:O199">E200</f>
        <v>0</v>
      </c>
      <c r="F199" s="48">
        <f t="shared" si="53"/>
        <v>0</v>
      </c>
      <c r="G199" s="48">
        <f t="shared" si="53"/>
        <v>0</v>
      </c>
      <c r="H199" s="48">
        <f t="shared" si="53"/>
        <v>0</v>
      </c>
      <c r="I199" s="48">
        <f t="shared" si="53"/>
        <v>73389.14</v>
      </c>
      <c r="J199" s="48">
        <f t="shared" si="53"/>
        <v>0</v>
      </c>
      <c r="K199" s="48">
        <f t="shared" si="53"/>
        <v>0</v>
      </c>
      <c r="L199" s="48">
        <f t="shared" si="53"/>
        <v>0</v>
      </c>
      <c r="M199" s="48">
        <f t="shared" si="53"/>
        <v>73389.14</v>
      </c>
      <c r="N199" s="48">
        <f t="shared" si="53"/>
        <v>0</v>
      </c>
      <c r="O199" s="48">
        <f t="shared" si="53"/>
        <v>73389.14</v>
      </c>
      <c r="P199" s="292"/>
      <c r="Q199" s="183"/>
      <c r="R199" s="183"/>
      <c r="S199" s="183"/>
      <c r="T199" s="183"/>
      <c r="U199" s="183"/>
      <c r="V199" s="183"/>
      <c r="W199" s="183"/>
      <c r="X199" s="183"/>
      <c r="Y199" s="183"/>
      <c r="Z199" s="183"/>
      <c r="AA199" s="183"/>
      <c r="AB199" s="183"/>
      <c r="AC199" s="183"/>
      <c r="AD199" s="183"/>
      <c r="AE199" s="183"/>
      <c r="AF199" s="183"/>
      <c r="AG199" s="183"/>
      <c r="AH199" s="183"/>
      <c r="AI199" s="183"/>
    </row>
    <row r="200" spans="1:35" s="8" customFormat="1" ht="42.75" customHeight="1">
      <c r="A200" s="7" t="s">
        <v>619</v>
      </c>
      <c r="B200" s="7" t="s">
        <v>493</v>
      </c>
      <c r="C200" s="14" t="s">
        <v>620</v>
      </c>
      <c r="D200" s="50">
        <f>'дод. 2'!E280</f>
        <v>0</v>
      </c>
      <c r="E200" s="50">
        <f>'дод. 2'!F280</f>
        <v>0</v>
      </c>
      <c r="F200" s="50">
        <f>'дод. 2'!G280</f>
        <v>0</v>
      </c>
      <c r="G200" s="50">
        <f>'дод. 2'!H280</f>
        <v>0</v>
      </c>
      <c r="H200" s="50">
        <f>'дод. 2'!I280</f>
        <v>0</v>
      </c>
      <c r="I200" s="50">
        <f>'дод. 2'!J280</f>
        <v>73389.14</v>
      </c>
      <c r="J200" s="50">
        <f>'дод. 2'!K280</f>
        <v>0</v>
      </c>
      <c r="K200" s="50">
        <f>'дод. 2'!L280</f>
        <v>0</v>
      </c>
      <c r="L200" s="50">
        <f>'дод. 2'!M280</f>
        <v>0</v>
      </c>
      <c r="M200" s="50">
        <f>'дод. 2'!N280</f>
        <v>73389.14</v>
      </c>
      <c r="N200" s="50">
        <f>'дод. 2'!O280</f>
        <v>0</v>
      </c>
      <c r="O200" s="50">
        <f>'дод. 2'!P280</f>
        <v>73389.14</v>
      </c>
      <c r="P200" s="292"/>
      <c r="Q200" s="184"/>
      <c r="R200" s="184"/>
      <c r="S200" s="184"/>
      <c r="T200" s="184"/>
      <c r="U200" s="184"/>
      <c r="V200" s="184"/>
      <c r="W200" s="184"/>
      <c r="X200" s="184"/>
      <c r="Y200" s="184"/>
      <c r="Z200" s="184"/>
      <c r="AA200" s="184"/>
      <c r="AB200" s="184"/>
      <c r="AC200" s="184"/>
      <c r="AD200" s="184"/>
      <c r="AE200" s="184"/>
      <c r="AF200" s="184"/>
      <c r="AG200" s="184"/>
      <c r="AH200" s="184"/>
      <c r="AI200" s="184"/>
    </row>
    <row r="201" spans="1:35" ht="24" customHeight="1">
      <c r="A201" s="5" t="s">
        <v>492</v>
      </c>
      <c r="B201" s="5" t="s">
        <v>493</v>
      </c>
      <c r="C201" s="13" t="s">
        <v>494</v>
      </c>
      <c r="D201" s="48">
        <f>'дод. 2'!E44</f>
        <v>649800</v>
      </c>
      <c r="E201" s="48">
        <f>'дод. 2'!F44</f>
        <v>649800</v>
      </c>
      <c r="F201" s="48">
        <f>'дод. 2'!G44</f>
        <v>0</v>
      </c>
      <c r="G201" s="48">
        <f>'дод. 2'!H44</f>
        <v>0</v>
      </c>
      <c r="H201" s="48">
        <f>'дод. 2'!I44</f>
        <v>0</v>
      </c>
      <c r="I201" s="48">
        <f>'дод. 2'!J44</f>
        <v>0</v>
      </c>
      <c r="J201" s="48">
        <f>'дод. 2'!K44</f>
        <v>0</v>
      </c>
      <c r="K201" s="48">
        <f>'дод. 2'!L44</f>
        <v>0</v>
      </c>
      <c r="L201" s="48">
        <f>'дод. 2'!M44</f>
        <v>0</v>
      </c>
      <c r="M201" s="48">
        <f>'дод. 2'!N44</f>
        <v>0</v>
      </c>
      <c r="N201" s="48">
        <f>'дод. 2'!O44</f>
        <v>0</v>
      </c>
      <c r="O201" s="48">
        <f>'дод. 2'!P44</f>
        <v>649800</v>
      </c>
      <c r="P201" s="292"/>
      <c r="Q201" s="181"/>
      <c r="R201" s="181"/>
      <c r="S201" s="181"/>
      <c r="T201" s="181"/>
      <c r="U201" s="181"/>
      <c r="V201" s="181"/>
      <c r="W201" s="181"/>
      <c r="X201" s="181"/>
      <c r="Y201" s="181"/>
      <c r="Z201" s="181"/>
      <c r="AA201" s="181"/>
      <c r="AB201" s="181"/>
      <c r="AC201" s="181"/>
      <c r="AD201" s="181"/>
      <c r="AE201" s="181"/>
      <c r="AF201" s="181"/>
      <c r="AG201" s="181"/>
      <c r="AH201" s="181"/>
      <c r="AI201" s="181"/>
    </row>
    <row r="202" spans="1:35" ht="42.75" customHeight="1">
      <c r="A202" s="5" t="s">
        <v>642</v>
      </c>
      <c r="B202" s="5"/>
      <c r="C202" s="13" t="s">
        <v>643</v>
      </c>
      <c r="D202" s="48">
        <f>D204</f>
        <v>0</v>
      </c>
      <c r="E202" s="48"/>
      <c r="F202" s="48"/>
      <c r="G202" s="48"/>
      <c r="H202" s="48"/>
      <c r="I202" s="48">
        <f aca="true" t="shared" si="54" ref="I202:O203">I204</f>
        <v>41900000</v>
      </c>
      <c r="J202" s="48">
        <f t="shared" si="54"/>
        <v>11900000</v>
      </c>
      <c r="K202" s="48">
        <f t="shared" si="54"/>
        <v>0</v>
      </c>
      <c r="L202" s="48">
        <f t="shared" si="54"/>
        <v>0</v>
      </c>
      <c r="M202" s="48">
        <f t="shared" si="54"/>
        <v>30000000</v>
      </c>
      <c r="N202" s="48">
        <f t="shared" si="54"/>
        <v>0</v>
      </c>
      <c r="O202" s="48">
        <f t="shared" si="54"/>
        <v>41900000</v>
      </c>
      <c r="P202" s="292"/>
      <c r="Q202" s="181"/>
      <c r="R202" s="181"/>
      <c r="S202" s="181"/>
      <c r="T202" s="181"/>
      <c r="U202" s="181"/>
      <c r="V202" s="181"/>
      <c r="W202" s="181"/>
      <c r="X202" s="181"/>
      <c r="Y202" s="181"/>
      <c r="Z202" s="181"/>
      <c r="AA202" s="181"/>
      <c r="AB202" s="181"/>
      <c r="AC202" s="181"/>
      <c r="AD202" s="181"/>
      <c r="AE202" s="181"/>
      <c r="AF202" s="181"/>
      <c r="AG202" s="181"/>
      <c r="AH202" s="181"/>
      <c r="AI202" s="181"/>
    </row>
    <row r="203" spans="2:35" ht="24.75" customHeight="1">
      <c r="B203" s="5"/>
      <c r="C203" s="13" t="s">
        <v>416</v>
      </c>
      <c r="D203" s="48">
        <f>D205</f>
        <v>0</v>
      </c>
      <c r="E203" s="48">
        <f>E205</f>
        <v>0</v>
      </c>
      <c r="F203" s="48">
        <f>F205</f>
        <v>0</v>
      </c>
      <c r="G203" s="48">
        <f>G205</f>
        <v>0</v>
      </c>
      <c r="H203" s="48">
        <f>H205</f>
        <v>0</v>
      </c>
      <c r="I203" s="48">
        <f t="shared" si="54"/>
        <v>41900000</v>
      </c>
      <c r="J203" s="48">
        <f t="shared" si="54"/>
        <v>11900000</v>
      </c>
      <c r="K203" s="48">
        <f t="shared" si="54"/>
        <v>0</v>
      </c>
      <c r="L203" s="48">
        <f t="shared" si="54"/>
        <v>0</v>
      </c>
      <c r="M203" s="48">
        <f t="shared" si="54"/>
        <v>30000000</v>
      </c>
      <c r="N203" s="48">
        <f t="shared" si="54"/>
        <v>0</v>
      </c>
      <c r="O203" s="48">
        <f t="shared" si="54"/>
        <v>41900000</v>
      </c>
      <c r="P203" s="292"/>
      <c r="Q203" s="225"/>
      <c r="R203" s="225"/>
      <c r="S203" s="225"/>
      <c r="T203" s="225"/>
      <c r="U203" s="225"/>
      <c r="V203" s="225"/>
      <c r="W203" s="225"/>
      <c r="X203" s="225"/>
      <c r="Y203" s="225"/>
      <c r="Z203" s="225"/>
      <c r="AA203" s="225"/>
      <c r="AB203" s="225"/>
      <c r="AC203" s="225"/>
      <c r="AD203" s="225"/>
      <c r="AE203" s="225"/>
      <c r="AF203" s="225"/>
      <c r="AG203" s="225"/>
      <c r="AH203" s="225"/>
      <c r="AI203" s="225"/>
    </row>
    <row r="204" spans="1:35" ht="59.25" customHeight="1">
      <c r="A204" s="7" t="s">
        <v>645</v>
      </c>
      <c r="B204" s="7" t="s">
        <v>493</v>
      </c>
      <c r="C204" s="14" t="s">
        <v>646</v>
      </c>
      <c r="D204" s="48">
        <f>'дод. 2'!E283</f>
        <v>0</v>
      </c>
      <c r="E204" s="48"/>
      <c r="F204" s="48"/>
      <c r="G204" s="48"/>
      <c r="H204" s="48"/>
      <c r="I204" s="48">
        <f>J204+M204</f>
        <v>41900000</v>
      </c>
      <c r="J204" s="48">
        <f>'дод. 2'!K283</f>
        <v>11900000</v>
      </c>
      <c r="K204" s="48"/>
      <c r="L204" s="48"/>
      <c r="M204" s="48">
        <f>'дод. 2'!N283</f>
        <v>30000000</v>
      </c>
      <c r="N204" s="48"/>
      <c r="O204" s="48">
        <f>I204+D204</f>
        <v>41900000</v>
      </c>
      <c r="P204" s="292"/>
      <c r="Q204" s="181"/>
      <c r="R204" s="181"/>
      <c r="S204" s="181"/>
      <c r="T204" s="181"/>
      <c r="U204" s="181"/>
      <c r="V204" s="181"/>
      <c r="W204" s="181"/>
      <c r="X204" s="181"/>
      <c r="Y204" s="181"/>
      <c r="Z204" s="181"/>
      <c r="AA204" s="181"/>
      <c r="AB204" s="181"/>
      <c r="AC204" s="181"/>
      <c r="AD204" s="181"/>
      <c r="AE204" s="181"/>
      <c r="AF204" s="181"/>
      <c r="AG204" s="181"/>
      <c r="AH204" s="181"/>
      <c r="AI204" s="181"/>
    </row>
    <row r="205" spans="1:35" ht="24" customHeight="1">
      <c r="A205" s="7"/>
      <c r="B205" s="7"/>
      <c r="C205" s="14" t="s">
        <v>416</v>
      </c>
      <c r="D205" s="48">
        <f>'дод. 2'!E284</f>
        <v>0</v>
      </c>
      <c r="E205" s="48">
        <f>'дод. 2'!F284</f>
        <v>0</v>
      </c>
      <c r="F205" s="48">
        <f>'дод. 2'!G284</f>
        <v>0</v>
      </c>
      <c r="G205" s="48">
        <f>'дод. 2'!H284</f>
        <v>0</v>
      </c>
      <c r="H205" s="48">
        <f>'дод. 2'!I284</f>
        <v>0</v>
      </c>
      <c r="I205" s="48">
        <f>'дод. 2'!J284</f>
        <v>41900000</v>
      </c>
      <c r="J205" s="48">
        <f>'дод. 2'!K284</f>
        <v>11900000</v>
      </c>
      <c r="K205" s="48">
        <f>'дод. 2'!L284</f>
        <v>0</v>
      </c>
      <c r="L205" s="48">
        <f>'дод. 2'!M284</f>
        <v>0</v>
      </c>
      <c r="M205" s="48">
        <f>'дод. 2'!N284</f>
        <v>30000000</v>
      </c>
      <c r="N205" s="48">
        <f>'дод. 2'!O284</f>
        <v>0</v>
      </c>
      <c r="O205" s="48">
        <f>'дод. 2'!P284</f>
        <v>41900000</v>
      </c>
      <c r="P205" s="292"/>
      <c r="Q205" s="181"/>
      <c r="R205" s="181"/>
      <c r="S205" s="181"/>
      <c r="T205" s="181"/>
      <c r="U205" s="181"/>
      <c r="V205" s="181"/>
      <c r="W205" s="181"/>
      <c r="X205" s="181"/>
      <c r="Y205" s="181"/>
      <c r="Z205" s="181"/>
      <c r="AA205" s="181"/>
      <c r="AB205" s="181"/>
      <c r="AC205" s="181"/>
      <c r="AD205" s="181"/>
      <c r="AE205" s="181"/>
      <c r="AF205" s="181"/>
      <c r="AG205" s="181"/>
      <c r="AH205" s="181"/>
      <c r="AI205" s="181"/>
    </row>
    <row r="206" spans="1:35" s="21" customFormat="1" ht="28.5" customHeight="1">
      <c r="A206" s="34" t="s">
        <v>381</v>
      </c>
      <c r="B206" s="11"/>
      <c r="C206" s="11" t="s">
        <v>382</v>
      </c>
      <c r="D206" s="49">
        <f aca="true" t="shared" si="55" ref="D206:O206">D207</f>
        <v>10068490</v>
      </c>
      <c r="E206" s="49">
        <f t="shared" si="55"/>
        <v>10068490</v>
      </c>
      <c r="F206" s="49">
        <f t="shared" si="55"/>
        <v>0</v>
      </c>
      <c r="G206" s="49">
        <f t="shared" si="55"/>
        <v>0</v>
      </c>
      <c r="H206" s="49">
        <f t="shared" si="55"/>
        <v>0</v>
      </c>
      <c r="I206" s="49">
        <f t="shared" si="55"/>
        <v>8282000</v>
      </c>
      <c r="J206" s="49">
        <f t="shared" si="55"/>
        <v>0</v>
      </c>
      <c r="K206" s="49">
        <f t="shared" si="55"/>
        <v>0</v>
      </c>
      <c r="L206" s="49">
        <f t="shared" si="55"/>
        <v>0</v>
      </c>
      <c r="M206" s="49">
        <f t="shared" si="55"/>
        <v>8282000</v>
      </c>
      <c r="N206" s="49">
        <f t="shared" si="55"/>
        <v>8282000</v>
      </c>
      <c r="O206" s="49">
        <f t="shared" si="55"/>
        <v>18350490</v>
      </c>
      <c r="P206" s="292"/>
      <c r="Q206" s="185"/>
      <c r="R206" s="185"/>
      <c r="S206" s="185"/>
      <c r="T206" s="185"/>
      <c r="U206" s="185"/>
      <c r="V206" s="185"/>
      <c r="W206" s="185"/>
      <c r="X206" s="185"/>
      <c r="Y206" s="185"/>
      <c r="Z206" s="185"/>
      <c r="AA206" s="185"/>
      <c r="AB206" s="185"/>
      <c r="AC206" s="185"/>
      <c r="AD206" s="185"/>
      <c r="AE206" s="185"/>
      <c r="AF206" s="185"/>
      <c r="AG206" s="185"/>
      <c r="AH206" s="185"/>
      <c r="AI206" s="185"/>
    </row>
    <row r="207" spans="1:35" ht="37.5" customHeight="1">
      <c r="A207" s="26" t="s">
        <v>379</v>
      </c>
      <c r="B207" s="26" t="s">
        <v>380</v>
      </c>
      <c r="C207" s="53" t="s">
        <v>378</v>
      </c>
      <c r="D207" s="48">
        <f>'дод. 2'!E45</f>
        <v>10068490</v>
      </c>
      <c r="E207" s="48">
        <f>'дод. 2'!F45</f>
        <v>10068490</v>
      </c>
      <c r="F207" s="48">
        <f>'дод. 2'!G45</f>
        <v>0</v>
      </c>
      <c r="G207" s="48">
        <f>'дод. 2'!H45</f>
        <v>0</v>
      </c>
      <c r="H207" s="48">
        <f>'дод. 2'!I45</f>
        <v>0</v>
      </c>
      <c r="I207" s="48">
        <f>'дод. 2'!J45</f>
        <v>8282000</v>
      </c>
      <c r="J207" s="48">
        <f>'дод. 2'!K45</f>
        <v>0</v>
      </c>
      <c r="K207" s="48">
        <f>'дод. 2'!L45</f>
        <v>0</v>
      </c>
      <c r="L207" s="48">
        <f>'дод. 2'!M45</f>
        <v>0</v>
      </c>
      <c r="M207" s="48">
        <f>'дод. 2'!N45</f>
        <v>8282000</v>
      </c>
      <c r="N207" s="48">
        <f>'дод. 2'!O45</f>
        <v>8282000</v>
      </c>
      <c r="O207" s="48">
        <f>'дод. 2'!P45</f>
        <v>18350490</v>
      </c>
      <c r="P207" s="292"/>
      <c r="Q207" s="181"/>
      <c r="R207" s="181"/>
      <c r="S207" s="181"/>
      <c r="T207" s="181"/>
      <c r="U207" s="181"/>
      <c r="V207" s="181"/>
      <c r="W207" s="181"/>
      <c r="X207" s="181"/>
      <c r="Y207" s="181"/>
      <c r="Z207" s="181"/>
      <c r="AA207" s="181"/>
      <c r="AB207" s="181"/>
      <c r="AC207" s="181"/>
      <c r="AD207" s="181"/>
      <c r="AE207" s="181"/>
      <c r="AF207" s="181"/>
      <c r="AG207" s="181"/>
      <c r="AH207" s="181"/>
      <c r="AI207" s="181"/>
    </row>
    <row r="208" spans="1:35" s="21" customFormat="1" ht="38.25" customHeight="1">
      <c r="A208" s="22" t="s">
        <v>134</v>
      </c>
      <c r="B208" s="11"/>
      <c r="C208" s="11" t="s">
        <v>10</v>
      </c>
      <c r="D208" s="49">
        <f>D209+D210+D213+D214+D215+D211+D212</f>
        <v>7939128</v>
      </c>
      <c r="E208" s="49">
        <f aca="true" t="shared" si="56" ref="E208:O208">E209+E210+E213+E214+E215+E211+E212</f>
        <v>6641228</v>
      </c>
      <c r="F208" s="49">
        <f t="shared" si="56"/>
        <v>0</v>
      </c>
      <c r="G208" s="49">
        <f t="shared" si="56"/>
        <v>78316.65</v>
      </c>
      <c r="H208" s="49">
        <f t="shared" si="56"/>
        <v>1297900</v>
      </c>
      <c r="I208" s="49">
        <f t="shared" si="56"/>
        <v>75868803.33</v>
      </c>
      <c r="J208" s="49">
        <f t="shared" si="56"/>
        <v>1332343.53</v>
      </c>
      <c r="K208" s="49">
        <f t="shared" si="56"/>
        <v>0</v>
      </c>
      <c r="L208" s="49">
        <f t="shared" si="56"/>
        <v>0</v>
      </c>
      <c r="M208" s="49">
        <f t="shared" si="56"/>
        <v>74536459.8</v>
      </c>
      <c r="N208" s="49">
        <f t="shared" si="56"/>
        <v>72864374</v>
      </c>
      <c r="O208" s="49">
        <f t="shared" si="56"/>
        <v>83807931.33</v>
      </c>
      <c r="P208" s="292"/>
      <c r="Q208" s="185"/>
      <c r="R208" s="185"/>
      <c r="S208" s="185"/>
      <c r="T208" s="185"/>
      <c r="U208" s="185"/>
      <c r="V208" s="185"/>
      <c r="W208" s="185"/>
      <c r="X208" s="185"/>
      <c r="Y208" s="185"/>
      <c r="Z208" s="185"/>
      <c r="AA208" s="185"/>
      <c r="AB208" s="185"/>
      <c r="AC208" s="185"/>
      <c r="AD208" s="185"/>
      <c r="AE208" s="185"/>
      <c r="AF208" s="185"/>
      <c r="AG208" s="185"/>
      <c r="AH208" s="185"/>
      <c r="AI208" s="185"/>
    </row>
    <row r="209" spans="1:35" ht="38.25" customHeight="1">
      <c r="A209" s="5" t="s">
        <v>11</v>
      </c>
      <c r="B209" s="5" t="s">
        <v>133</v>
      </c>
      <c r="C209" s="13" t="s">
        <v>46</v>
      </c>
      <c r="D209" s="48">
        <f>'дод. 2'!E46+'дод. 2'!E302</f>
        <v>1240000</v>
      </c>
      <c r="E209" s="48">
        <f>'дод. 2'!F46+'дод. 2'!F302</f>
        <v>340000</v>
      </c>
      <c r="F209" s="48">
        <f>'дод. 2'!G46+'дод. 2'!G302</f>
        <v>0</v>
      </c>
      <c r="G209" s="48">
        <f>'дод. 2'!H46+'дод. 2'!H302</f>
        <v>0</v>
      </c>
      <c r="H209" s="48">
        <f>'дод. 2'!I46+'дод. 2'!I302</f>
        <v>900000</v>
      </c>
      <c r="I209" s="48">
        <f>'дод. 2'!J46+'дод. 2'!J302</f>
        <v>16800</v>
      </c>
      <c r="J209" s="48">
        <f>'дод. 2'!K46+'дод. 2'!K302</f>
        <v>0</v>
      </c>
      <c r="K209" s="48">
        <f>'дод. 2'!L46+'дод. 2'!L302</f>
        <v>0</v>
      </c>
      <c r="L209" s="48">
        <f>'дод. 2'!M46+'дод. 2'!M302</f>
        <v>0</v>
      </c>
      <c r="M209" s="48">
        <f>'дод. 2'!N46+'дод. 2'!N302</f>
        <v>16800</v>
      </c>
      <c r="N209" s="48">
        <f>'дод. 2'!O46+'дод. 2'!O302</f>
        <v>16800</v>
      </c>
      <c r="O209" s="48">
        <f>'дод. 2'!P46+'дод. 2'!P302</f>
        <v>1256800</v>
      </c>
      <c r="P209" s="292"/>
      <c r="Q209" s="181"/>
      <c r="R209" s="181"/>
      <c r="S209" s="181"/>
      <c r="T209" s="181"/>
      <c r="U209" s="181"/>
      <c r="V209" s="181"/>
      <c r="W209" s="181"/>
      <c r="X209" s="181"/>
      <c r="Y209" s="181"/>
      <c r="Z209" s="181"/>
      <c r="AA209" s="181"/>
      <c r="AB209" s="181"/>
      <c r="AC209" s="181"/>
      <c r="AD209" s="181"/>
      <c r="AE209" s="181"/>
      <c r="AF209" s="181"/>
      <c r="AG209" s="181"/>
      <c r="AH209" s="181"/>
      <c r="AI209" s="181"/>
    </row>
    <row r="210" spans="1:35" ht="24.75" customHeight="1">
      <c r="A210" s="5" t="s">
        <v>3</v>
      </c>
      <c r="B210" s="5" t="s">
        <v>132</v>
      </c>
      <c r="C210" s="13" t="s">
        <v>64</v>
      </c>
      <c r="D210" s="48">
        <f>'дод. 2'!E90+'дод. 2'!E127+'дод. 2'!E202+'дод. 2'!E222+'дод. 2'!E250+'дод. 2'!E285+'дод. 2'!E47+'дод. 2'!E315</f>
        <v>3900830</v>
      </c>
      <c r="E210" s="48">
        <f>'дод. 2'!F90+'дод. 2'!F127+'дод. 2'!F202+'дод. 2'!F222+'дод. 2'!F250+'дод. 2'!F285+'дод. 2'!F47+'дод. 2'!F315</f>
        <v>3700830</v>
      </c>
      <c r="F210" s="48">
        <f>'дод. 2'!G90+'дод. 2'!G127+'дод. 2'!G202+'дод. 2'!G222+'дод. 2'!G250+'дод. 2'!G285+'дод. 2'!G47+'дод. 2'!G315</f>
        <v>0</v>
      </c>
      <c r="G210" s="48">
        <f>'дод. 2'!H90+'дод. 2'!H127+'дод. 2'!H202+'дод. 2'!H222+'дод. 2'!H250+'дод. 2'!H285+'дод. 2'!H47+'дод. 2'!H315</f>
        <v>0</v>
      </c>
      <c r="H210" s="48">
        <f>'дод. 2'!I90+'дод. 2'!I127+'дод. 2'!I202+'дод. 2'!I222+'дод. 2'!I250+'дод. 2'!I285+'дод. 2'!I47+'дод. 2'!I315</f>
        <v>200000</v>
      </c>
      <c r="I210" s="48">
        <f>'дод. 2'!J90+'дод. 2'!J127+'дод. 2'!J202+'дод. 2'!J222+'дод. 2'!J250+'дод. 2'!J285+'дод. 2'!J47+'дод. 2'!J315</f>
        <v>43532574</v>
      </c>
      <c r="J210" s="48">
        <f>'дод. 2'!K90+'дод. 2'!K127+'дод. 2'!K202+'дод. 2'!K222+'дод. 2'!K250+'дод. 2'!K285+'дод. 2'!K47+'дод. 2'!K315</f>
        <v>0</v>
      </c>
      <c r="K210" s="48">
        <f>'дод. 2'!L90+'дод. 2'!L127+'дод. 2'!L202+'дод. 2'!L222+'дод. 2'!L250+'дод. 2'!L285+'дод. 2'!L47+'дод. 2'!L315</f>
        <v>0</v>
      </c>
      <c r="L210" s="48">
        <f>'дод. 2'!M90+'дод. 2'!M127+'дод. 2'!M202+'дод. 2'!M222+'дод. 2'!M250+'дод. 2'!M285+'дод. 2'!M47+'дод. 2'!M315</f>
        <v>0</v>
      </c>
      <c r="M210" s="48">
        <f>'дод. 2'!N90+'дод. 2'!N127+'дод. 2'!N202+'дод. 2'!N222+'дод. 2'!N250+'дод. 2'!N285+'дод. 2'!N47+'дод. 2'!N315</f>
        <v>43532574</v>
      </c>
      <c r="N210" s="48">
        <f>'дод. 2'!O90+'дод. 2'!O127+'дод. 2'!O202+'дод. 2'!O222+'дод. 2'!O250+'дод. 2'!O285+'дод. 2'!O47+'дод. 2'!O315</f>
        <v>43532574</v>
      </c>
      <c r="O210" s="48">
        <f>'дод. 2'!P90+'дод. 2'!P127+'дод. 2'!P202+'дод. 2'!P222+'дод. 2'!P250+'дод. 2'!P285+'дод. 2'!P47+'дод. 2'!P315</f>
        <v>47433404</v>
      </c>
      <c r="P210" s="292"/>
      <c r="Q210" s="181"/>
      <c r="R210" s="181"/>
      <c r="S210" s="181"/>
      <c r="T210" s="181"/>
      <c r="U210" s="181"/>
      <c r="V210" s="181"/>
      <c r="W210" s="181"/>
      <c r="X210" s="181"/>
      <c r="Y210" s="181"/>
      <c r="Z210" s="181"/>
      <c r="AA210" s="181"/>
      <c r="AB210" s="181"/>
      <c r="AC210" s="181"/>
      <c r="AD210" s="181"/>
      <c r="AE210" s="181"/>
      <c r="AF210" s="181"/>
      <c r="AG210" s="181"/>
      <c r="AH210" s="181"/>
      <c r="AI210" s="181"/>
    </row>
    <row r="211" spans="1:35" ht="33.75" customHeight="1">
      <c r="A211" s="5" t="s">
        <v>418</v>
      </c>
      <c r="B211" s="5" t="s">
        <v>126</v>
      </c>
      <c r="C211" s="13" t="s">
        <v>421</v>
      </c>
      <c r="D211" s="48">
        <f>'дод. 2'!E303</f>
        <v>0</v>
      </c>
      <c r="E211" s="48">
        <f>'дод. 2'!F303</f>
        <v>0</v>
      </c>
      <c r="F211" s="48">
        <f>'дод. 2'!G303</f>
        <v>0</v>
      </c>
      <c r="G211" s="48">
        <f>'дод. 2'!H303</f>
        <v>0</v>
      </c>
      <c r="H211" s="48">
        <f>'дод. 2'!I303</f>
        <v>0</v>
      </c>
      <c r="I211" s="48">
        <f>'дод. 2'!J303</f>
        <v>50000</v>
      </c>
      <c r="J211" s="48">
        <f>'дод. 2'!K303</f>
        <v>0</v>
      </c>
      <c r="K211" s="48">
        <f>'дод. 2'!L303</f>
        <v>0</v>
      </c>
      <c r="L211" s="48">
        <f>'дод. 2'!M303</f>
        <v>0</v>
      </c>
      <c r="M211" s="48">
        <f>'дод. 2'!N303</f>
        <v>50000</v>
      </c>
      <c r="N211" s="48">
        <f>'дод. 2'!O303</f>
        <v>50000</v>
      </c>
      <c r="O211" s="48">
        <f>'дод. 2'!P303</f>
        <v>50000</v>
      </c>
      <c r="P211" s="292"/>
      <c r="Q211" s="181"/>
      <c r="R211" s="181"/>
      <c r="S211" s="181"/>
      <c r="T211" s="181"/>
      <c r="U211" s="181"/>
      <c r="V211" s="181"/>
      <c r="W211" s="181"/>
      <c r="X211" s="181"/>
      <c r="Y211" s="181"/>
      <c r="Z211" s="181"/>
      <c r="AA211" s="181"/>
      <c r="AB211" s="181"/>
      <c r="AC211" s="181"/>
      <c r="AD211" s="181"/>
      <c r="AE211" s="181"/>
      <c r="AF211" s="181"/>
      <c r="AG211" s="181"/>
      <c r="AH211" s="181"/>
      <c r="AI211" s="181"/>
    </row>
    <row r="212" spans="1:35" ht="66.75" customHeight="1">
      <c r="A212" s="5" t="s">
        <v>420</v>
      </c>
      <c r="B212" s="5" t="s">
        <v>126</v>
      </c>
      <c r="C212" s="13" t="s">
        <v>422</v>
      </c>
      <c r="D212" s="48">
        <f>'дод. 2'!E304</f>
        <v>0</v>
      </c>
      <c r="E212" s="48">
        <f>'дод. 2'!F304</f>
        <v>0</v>
      </c>
      <c r="F212" s="48">
        <f>'дод. 2'!G304</f>
        <v>0</v>
      </c>
      <c r="G212" s="48">
        <f>'дод. 2'!H304</f>
        <v>0</v>
      </c>
      <c r="H212" s="48">
        <f>'дод. 2'!I304</f>
        <v>0</v>
      </c>
      <c r="I212" s="48">
        <f>'дод. 2'!J304</f>
        <v>25000</v>
      </c>
      <c r="J212" s="48">
        <f>'дод. 2'!K304</f>
        <v>0</v>
      </c>
      <c r="K212" s="48">
        <f>'дод. 2'!L304</f>
        <v>0</v>
      </c>
      <c r="L212" s="48">
        <f>'дод. 2'!M304</f>
        <v>0</v>
      </c>
      <c r="M212" s="48">
        <f>'дод. 2'!N304</f>
        <v>25000</v>
      </c>
      <c r="N212" s="48">
        <f>'дод. 2'!O304</f>
        <v>25000</v>
      </c>
      <c r="O212" s="48">
        <f>'дод. 2'!P304</f>
        <v>25000</v>
      </c>
      <c r="P212" s="292"/>
      <c r="Q212" s="181"/>
      <c r="R212" s="181"/>
      <c r="S212" s="181"/>
      <c r="T212" s="181"/>
      <c r="U212" s="181"/>
      <c r="V212" s="181"/>
      <c r="W212" s="181"/>
      <c r="X212" s="181"/>
      <c r="Y212" s="181"/>
      <c r="Z212" s="181"/>
      <c r="AA212" s="181"/>
      <c r="AB212" s="181"/>
      <c r="AC212" s="181"/>
      <c r="AD212" s="181"/>
      <c r="AE212" s="181"/>
      <c r="AF212" s="181"/>
      <c r="AG212" s="181"/>
      <c r="AH212" s="181"/>
      <c r="AI212" s="181"/>
    </row>
    <row r="213" spans="1:35" ht="15.75">
      <c r="A213" s="5" t="s">
        <v>12</v>
      </c>
      <c r="B213" s="5" t="s">
        <v>126</v>
      </c>
      <c r="C213" s="13" t="s">
        <v>47</v>
      </c>
      <c r="D213" s="48">
        <f>'дод. 2'!E48</f>
        <v>0</v>
      </c>
      <c r="E213" s="48">
        <f>'дод. 2'!F48</f>
        <v>0</v>
      </c>
      <c r="F213" s="48">
        <f>'дод. 2'!G48</f>
        <v>0</v>
      </c>
      <c r="G213" s="48">
        <f>'дод. 2'!H48</f>
        <v>0</v>
      </c>
      <c r="H213" s="48">
        <f>'дод. 2'!I48</f>
        <v>0</v>
      </c>
      <c r="I213" s="48">
        <f>'дод. 2'!J48</f>
        <v>29240000</v>
      </c>
      <c r="J213" s="48">
        <f>'дод. 2'!K48</f>
        <v>0</v>
      </c>
      <c r="K213" s="48">
        <f>'дод. 2'!L48</f>
        <v>0</v>
      </c>
      <c r="L213" s="48">
        <f>'дод. 2'!M48</f>
        <v>0</v>
      </c>
      <c r="M213" s="48">
        <f>'дод. 2'!N48</f>
        <v>29240000</v>
      </c>
      <c r="N213" s="48">
        <f>'дод. 2'!O48</f>
        <v>29240000</v>
      </c>
      <c r="O213" s="48">
        <f>'дод. 2'!P48</f>
        <v>29240000</v>
      </c>
      <c r="P213" s="292"/>
      <c r="Q213" s="181"/>
      <c r="R213" s="181"/>
      <c r="S213" s="181"/>
      <c r="T213" s="181"/>
      <c r="U213" s="181"/>
      <c r="V213" s="181"/>
      <c r="W213" s="181"/>
      <c r="X213" s="181"/>
      <c r="Y213" s="181"/>
      <c r="Z213" s="181"/>
      <c r="AA213" s="181"/>
      <c r="AB213" s="181"/>
      <c r="AC213" s="181"/>
      <c r="AD213" s="181"/>
      <c r="AE213" s="181"/>
      <c r="AF213" s="181"/>
      <c r="AG213" s="181"/>
      <c r="AH213" s="181"/>
      <c r="AI213" s="181"/>
    </row>
    <row r="214" spans="1:35" ht="36.75" customHeight="1">
      <c r="A214" s="5" t="s">
        <v>392</v>
      </c>
      <c r="B214" s="5" t="s">
        <v>126</v>
      </c>
      <c r="C214" s="13" t="s">
        <v>393</v>
      </c>
      <c r="D214" s="48">
        <f>'дод. 2'!E49</f>
        <v>209333</v>
      </c>
      <c r="E214" s="48">
        <f>'дод. 2'!F49</f>
        <v>209333</v>
      </c>
      <c r="F214" s="48">
        <f>'дод. 2'!G49</f>
        <v>0</v>
      </c>
      <c r="G214" s="48">
        <f>'дод. 2'!H49</f>
        <v>0</v>
      </c>
      <c r="H214" s="48">
        <f>'дод. 2'!I49</f>
        <v>0</v>
      </c>
      <c r="I214" s="48">
        <f>'дод. 2'!J49</f>
        <v>0</v>
      </c>
      <c r="J214" s="48">
        <f>'дод. 2'!K49</f>
        <v>0</v>
      </c>
      <c r="K214" s="48">
        <f>'дод. 2'!L49</f>
        <v>0</v>
      </c>
      <c r="L214" s="48">
        <f>'дод. 2'!M49</f>
        <v>0</v>
      </c>
      <c r="M214" s="48">
        <f>'дод. 2'!N49</f>
        <v>0</v>
      </c>
      <c r="N214" s="48">
        <f>'дод. 2'!O49</f>
        <v>0</v>
      </c>
      <c r="O214" s="48">
        <f>'дод. 2'!P49</f>
        <v>209333</v>
      </c>
      <c r="P214" s="292"/>
      <c r="Q214" s="181"/>
      <c r="R214" s="181"/>
      <c r="S214" s="181"/>
      <c r="T214" s="181"/>
      <c r="U214" s="181"/>
      <c r="V214" s="181"/>
      <c r="W214" s="181"/>
      <c r="X214" s="181"/>
      <c r="Y214" s="181"/>
      <c r="Z214" s="181"/>
      <c r="AA214" s="181"/>
      <c r="AB214" s="181"/>
      <c r="AC214" s="181"/>
      <c r="AD214" s="181"/>
      <c r="AE214" s="181"/>
      <c r="AF214" s="181"/>
      <c r="AG214" s="181"/>
      <c r="AH214" s="181"/>
      <c r="AI214" s="181"/>
    </row>
    <row r="215" spans="1:35" ht="29.25" customHeight="1">
      <c r="A215" s="5" t="s">
        <v>13</v>
      </c>
      <c r="B215" s="5"/>
      <c r="C215" s="13" t="s">
        <v>413</v>
      </c>
      <c r="D215" s="48">
        <f>D216+D217</f>
        <v>2588965</v>
      </c>
      <c r="E215" s="48">
        <f aca="true" t="shared" si="57" ref="E215:O215">E216+E217</f>
        <v>2391065</v>
      </c>
      <c r="F215" s="48">
        <f t="shared" si="57"/>
        <v>0</v>
      </c>
      <c r="G215" s="48">
        <f t="shared" si="57"/>
        <v>78316.65</v>
      </c>
      <c r="H215" s="48">
        <f t="shared" si="57"/>
        <v>197900</v>
      </c>
      <c r="I215" s="48">
        <f t="shared" si="57"/>
        <v>3004429.33</v>
      </c>
      <c r="J215" s="48">
        <f t="shared" si="57"/>
        <v>1332343.53</v>
      </c>
      <c r="K215" s="48">
        <f t="shared" si="57"/>
        <v>0</v>
      </c>
      <c r="L215" s="48">
        <f t="shared" si="57"/>
        <v>0</v>
      </c>
      <c r="M215" s="48">
        <f t="shared" si="57"/>
        <v>1672085.8</v>
      </c>
      <c r="N215" s="48">
        <f t="shared" si="57"/>
        <v>0</v>
      </c>
      <c r="O215" s="48">
        <f t="shared" si="57"/>
        <v>5593394.33</v>
      </c>
      <c r="P215" s="292"/>
      <c r="Q215" s="181"/>
      <c r="R215" s="181"/>
      <c r="S215" s="181"/>
      <c r="T215" s="181"/>
      <c r="U215" s="181"/>
      <c r="V215" s="181"/>
      <c r="W215" s="181"/>
      <c r="X215" s="181"/>
      <c r="Y215" s="181"/>
      <c r="Z215" s="181"/>
      <c r="AA215" s="181"/>
      <c r="AB215" s="181"/>
      <c r="AC215" s="181"/>
      <c r="AD215" s="181"/>
      <c r="AE215" s="181"/>
      <c r="AF215" s="181"/>
      <c r="AG215" s="181"/>
      <c r="AH215" s="181"/>
      <c r="AI215" s="181"/>
    </row>
    <row r="216" spans="1:35" s="8" customFormat="1" ht="122.25" customHeight="1">
      <c r="A216" s="7" t="s">
        <v>468</v>
      </c>
      <c r="B216" s="7" t="s">
        <v>126</v>
      </c>
      <c r="C216" s="14" t="s">
        <v>499</v>
      </c>
      <c r="D216" s="50">
        <f>'дод. 2'!E51+'дод. 2'!E294+'дод. 2'!E252+'дод. 2'!E287</f>
        <v>0</v>
      </c>
      <c r="E216" s="50">
        <f>'дод. 2'!F51+'дод. 2'!F294+'дод. 2'!F252+'дод. 2'!F287</f>
        <v>0</v>
      </c>
      <c r="F216" s="50">
        <f>'дод. 2'!G51+'дод. 2'!G294+'дод. 2'!G252+'дод. 2'!G287</f>
        <v>0</v>
      </c>
      <c r="G216" s="50">
        <f>'дод. 2'!H51+'дод. 2'!H294+'дод. 2'!H252+'дод. 2'!H287</f>
        <v>0</v>
      </c>
      <c r="H216" s="50">
        <f>'дод. 2'!I51+'дод. 2'!I294+'дод. 2'!I252+'дод. 2'!I287</f>
        <v>0</v>
      </c>
      <c r="I216" s="50">
        <f>'дод. 2'!J51+'дод. 2'!J294+'дод. 2'!J252+'дод. 2'!J287</f>
        <v>3004429.33</v>
      </c>
      <c r="J216" s="50">
        <f>'дод. 2'!K51+'дод. 2'!K294+'дод. 2'!K252+'дод. 2'!K287</f>
        <v>1332343.53</v>
      </c>
      <c r="K216" s="50">
        <f>'дод. 2'!L51+'дод. 2'!L294+'дод. 2'!L252+'дод. 2'!L287</f>
        <v>0</v>
      </c>
      <c r="L216" s="50">
        <f>'дод. 2'!M51+'дод. 2'!M294+'дод. 2'!M252+'дод. 2'!M287</f>
        <v>0</v>
      </c>
      <c r="M216" s="50">
        <f>'дод. 2'!N51+'дод. 2'!N294+'дод. 2'!N252+'дод. 2'!N287</f>
        <v>1672085.8</v>
      </c>
      <c r="N216" s="50">
        <f>'дод. 2'!O51+'дод. 2'!O294+'дод. 2'!O252+'дод. 2'!O287</f>
        <v>0</v>
      </c>
      <c r="O216" s="50">
        <f>'дод. 2'!P51+'дод. 2'!P294+'дод. 2'!P252+'дод. 2'!P287</f>
        <v>3004429.33</v>
      </c>
      <c r="P216" s="29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  <c r="AB216" s="182"/>
      <c r="AC216" s="182"/>
      <c r="AD216" s="182"/>
      <c r="AE216" s="182"/>
      <c r="AF216" s="182"/>
      <c r="AG216" s="182"/>
      <c r="AH216" s="182"/>
      <c r="AI216" s="182"/>
    </row>
    <row r="217" spans="1:35" s="8" customFormat="1" ht="30.75" customHeight="1">
      <c r="A217" s="7" t="s">
        <v>383</v>
      </c>
      <c r="B217" s="7" t="s">
        <v>126</v>
      </c>
      <c r="C217" s="14" t="s">
        <v>34</v>
      </c>
      <c r="D217" s="50">
        <f>'дод. 2'!E52+'дод. 2'!E306</f>
        <v>2588965</v>
      </c>
      <c r="E217" s="50">
        <f>'дод. 2'!F52+'дод. 2'!F306</f>
        <v>2391065</v>
      </c>
      <c r="F217" s="50">
        <f>'дод. 2'!G52+'дод. 2'!G306</f>
        <v>0</v>
      </c>
      <c r="G217" s="50">
        <f>'дод. 2'!H52+'дод. 2'!H306</f>
        <v>78316.65</v>
      </c>
      <c r="H217" s="50">
        <f>'дод. 2'!I52+'дод. 2'!I306</f>
        <v>197900</v>
      </c>
      <c r="I217" s="50">
        <f>'дод. 2'!J52+'дод. 2'!J306</f>
        <v>0</v>
      </c>
      <c r="J217" s="50">
        <f>'дод. 2'!K52+'дод. 2'!K306</f>
        <v>0</v>
      </c>
      <c r="K217" s="50">
        <f>'дод. 2'!L52+'дод. 2'!L306</f>
        <v>0</v>
      </c>
      <c r="L217" s="50">
        <f>'дод. 2'!M52+'дод. 2'!M306</f>
        <v>0</v>
      </c>
      <c r="M217" s="50">
        <f>'дод. 2'!N52+'дод. 2'!N306</f>
        <v>0</v>
      </c>
      <c r="N217" s="50">
        <f>'дод. 2'!O52+'дод. 2'!O306</f>
        <v>0</v>
      </c>
      <c r="O217" s="50">
        <f>'дод. 2'!P52+'дод. 2'!P306</f>
        <v>2588965</v>
      </c>
      <c r="P217" s="29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  <c r="AA217" s="182"/>
      <c r="AB217" s="182"/>
      <c r="AC217" s="182"/>
      <c r="AD217" s="182"/>
      <c r="AE217" s="182"/>
      <c r="AF217" s="182"/>
      <c r="AG217" s="182"/>
      <c r="AH217" s="182"/>
      <c r="AI217" s="182"/>
    </row>
    <row r="218" spans="1:35" s="21" customFormat="1" ht="23.25" customHeight="1">
      <c r="A218" s="22" t="s">
        <v>141</v>
      </c>
      <c r="B218" s="10"/>
      <c r="C218" s="11" t="s">
        <v>15</v>
      </c>
      <c r="D218" s="49">
        <f>D219+D222+D224+D227+D229+D230</f>
        <v>6480702.969999999</v>
      </c>
      <c r="E218" s="49">
        <f aca="true" t="shared" si="58" ref="E218:O218">E219+E222+E224+E227+E229+E230</f>
        <v>3033595.41</v>
      </c>
      <c r="F218" s="49">
        <f t="shared" si="58"/>
        <v>1087750</v>
      </c>
      <c r="G218" s="49">
        <f t="shared" si="58"/>
        <v>303626</v>
      </c>
      <c r="H218" s="49">
        <f t="shared" si="58"/>
        <v>0</v>
      </c>
      <c r="I218" s="49">
        <f t="shared" si="58"/>
        <v>6126408.87</v>
      </c>
      <c r="J218" s="49">
        <f t="shared" si="58"/>
        <v>2474787</v>
      </c>
      <c r="K218" s="49">
        <f t="shared" si="58"/>
        <v>0</v>
      </c>
      <c r="L218" s="49">
        <f t="shared" si="58"/>
        <v>1200</v>
      </c>
      <c r="M218" s="49">
        <f t="shared" si="58"/>
        <v>3651621.87</v>
      </c>
      <c r="N218" s="49">
        <f t="shared" si="58"/>
        <v>113800</v>
      </c>
      <c r="O218" s="49">
        <f t="shared" si="58"/>
        <v>12607111.84</v>
      </c>
      <c r="P218" s="292"/>
      <c r="Q218" s="185"/>
      <c r="R218" s="185"/>
      <c r="S218" s="185"/>
      <c r="T218" s="185"/>
      <c r="U218" s="185"/>
      <c r="V218" s="185"/>
      <c r="W218" s="185"/>
      <c r="X218" s="185"/>
      <c r="Y218" s="185"/>
      <c r="Z218" s="185"/>
      <c r="AA218" s="185"/>
      <c r="AB218" s="185"/>
      <c r="AC218" s="185"/>
      <c r="AD218" s="185"/>
      <c r="AE218" s="185"/>
      <c r="AF218" s="185"/>
      <c r="AG218" s="185"/>
      <c r="AH218" s="185"/>
      <c r="AI218" s="185"/>
    </row>
    <row r="219" spans="1:35" s="21" customFormat="1" ht="49.5" customHeight="1">
      <c r="A219" s="22" t="s">
        <v>143</v>
      </c>
      <c r="B219" s="30"/>
      <c r="C219" s="11" t="s">
        <v>16</v>
      </c>
      <c r="D219" s="49">
        <f>D220+D221</f>
        <v>2223743</v>
      </c>
      <c r="E219" s="49">
        <f aca="true" t="shared" si="59" ref="E219:O219">E220+E221</f>
        <v>2223743</v>
      </c>
      <c r="F219" s="49">
        <f t="shared" si="59"/>
        <v>1087750</v>
      </c>
      <c r="G219" s="49">
        <f t="shared" si="59"/>
        <v>81385</v>
      </c>
      <c r="H219" s="49">
        <f t="shared" si="59"/>
        <v>0</v>
      </c>
      <c r="I219" s="49">
        <f t="shared" si="59"/>
        <v>118900</v>
      </c>
      <c r="J219" s="49">
        <f t="shared" si="59"/>
        <v>5100</v>
      </c>
      <c r="K219" s="49">
        <f t="shared" si="59"/>
        <v>0</v>
      </c>
      <c r="L219" s="49">
        <f t="shared" si="59"/>
        <v>1200</v>
      </c>
      <c r="M219" s="49">
        <f t="shared" si="59"/>
        <v>113800</v>
      </c>
      <c r="N219" s="49">
        <f t="shared" si="59"/>
        <v>113800</v>
      </c>
      <c r="O219" s="49">
        <f t="shared" si="59"/>
        <v>2342643</v>
      </c>
      <c r="P219" s="292"/>
      <c r="Q219" s="185"/>
      <c r="R219" s="185"/>
      <c r="S219" s="185"/>
      <c r="T219" s="185"/>
      <c r="U219" s="185"/>
      <c r="V219" s="185"/>
      <c r="W219" s="185"/>
      <c r="X219" s="185"/>
      <c r="Y219" s="185"/>
      <c r="Z219" s="185"/>
      <c r="AA219" s="185"/>
      <c r="AB219" s="185"/>
      <c r="AC219" s="185"/>
      <c r="AD219" s="185"/>
      <c r="AE219" s="185"/>
      <c r="AF219" s="185"/>
      <c r="AG219" s="185"/>
      <c r="AH219" s="185"/>
      <c r="AI219" s="185"/>
    </row>
    <row r="220" spans="1:35" s="21" customFormat="1" ht="36.75" customHeight="1">
      <c r="A220" s="26" t="s">
        <v>17</v>
      </c>
      <c r="B220" s="26" t="s">
        <v>136</v>
      </c>
      <c r="C220" s="13" t="s">
        <v>469</v>
      </c>
      <c r="D220" s="48">
        <f>'дод. 2'!E53+'дод. 2'!E203</f>
        <v>706633</v>
      </c>
      <c r="E220" s="48">
        <f>'дод. 2'!F53+'дод. 2'!F203</f>
        <v>706633</v>
      </c>
      <c r="F220" s="48">
        <f>'дод. 2'!G53+'дод. 2'!G203</f>
        <v>0</v>
      </c>
      <c r="G220" s="48">
        <f>'дод. 2'!H53+'дод. 2'!H203</f>
        <v>5070</v>
      </c>
      <c r="H220" s="48">
        <f>'дод. 2'!I53+'дод. 2'!I203</f>
        <v>0</v>
      </c>
      <c r="I220" s="48">
        <f>'дод. 2'!J53+'дод. 2'!J203</f>
        <v>55900</v>
      </c>
      <c r="J220" s="48">
        <f>'дод. 2'!K53+'дод. 2'!K203</f>
        <v>0</v>
      </c>
      <c r="K220" s="48">
        <f>'дод. 2'!L53+'дод. 2'!L203</f>
        <v>0</v>
      </c>
      <c r="L220" s="48">
        <f>'дод. 2'!M53+'дод. 2'!M203</f>
        <v>0</v>
      </c>
      <c r="M220" s="48">
        <f>'дод. 2'!N53+'дод. 2'!N203</f>
        <v>55900</v>
      </c>
      <c r="N220" s="48">
        <f>'дод. 2'!O53+'дод. 2'!O203</f>
        <v>55900</v>
      </c>
      <c r="O220" s="48">
        <f>'дод. 2'!P53+'дод. 2'!P203</f>
        <v>762533</v>
      </c>
      <c r="P220" s="292"/>
      <c r="Q220" s="181"/>
      <c r="R220" s="181"/>
      <c r="S220" s="181"/>
      <c r="T220" s="181"/>
      <c r="U220" s="181"/>
      <c r="V220" s="181"/>
      <c r="W220" s="181"/>
      <c r="X220" s="181"/>
      <c r="Y220" s="181"/>
      <c r="Z220" s="181"/>
      <c r="AA220" s="181"/>
      <c r="AB220" s="181"/>
      <c r="AC220" s="181"/>
      <c r="AD220" s="181"/>
      <c r="AE220" s="181"/>
      <c r="AF220" s="181"/>
      <c r="AG220" s="181"/>
      <c r="AH220" s="181"/>
      <c r="AI220" s="181"/>
    </row>
    <row r="221" spans="1:35" ht="24.75" customHeight="1">
      <c r="A221" s="5" t="s">
        <v>236</v>
      </c>
      <c r="B221" s="12" t="s">
        <v>136</v>
      </c>
      <c r="C221" s="13" t="s">
        <v>18</v>
      </c>
      <c r="D221" s="48">
        <f>'дод. 2'!E54</f>
        <v>1517110</v>
      </c>
      <c r="E221" s="48">
        <f>'дод. 2'!F54</f>
        <v>1517110</v>
      </c>
      <c r="F221" s="48">
        <f>'дод. 2'!G54</f>
        <v>1087750</v>
      </c>
      <c r="G221" s="48">
        <f>'дод. 2'!H54</f>
        <v>76315</v>
      </c>
      <c r="H221" s="48">
        <f>'дод. 2'!I54</f>
        <v>0</v>
      </c>
      <c r="I221" s="48">
        <f>'дод. 2'!J54</f>
        <v>63000</v>
      </c>
      <c r="J221" s="48">
        <f>'дод. 2'!K54</f>
        <v>5100</v>
      </c>
      <c r="K221" s="48">
        <f>'дод. 2'!L54</f>
        <v>0</v>
      </c>
      <c r="L221" s="48">
        <f>'дод. 2'!M54</f>
        <v>1200</v>
      </c>
      <c r="M221" s="48">
        <f>'дод. 2'!N54</f>
        <v>57900</v>
      </c>
      <c r="N221" s="48">
        <f>'дод. 2'!O54</f>
        <v>57900</v>
      </c>
      <c r="O221" s="48">
        <f>'дод. 2'!P54</f>
        <v>1580110</v>
      </c>
      <c r="P221" s="295">
        <v>24</v>
      </c>
      <c r="Q221" s="181"/>
      <c r="R221" s="181"/>
      <c r="S221" s="181"/>
      <c r="T221" s="181"/>
      <c r="U221" s="181"/>
      <c r="V221" s="181"/>
      <c r="W221" s="181"/>
      <c r="X221" s="181"/>
      <c r="Y221" s="181"/>
      <c r="Z221" s="181"/>
      <c r="AA221" s="181"/>
      <c r="AB221" s="181"/>
      <c r="AC221" s="181"/>
      <c r="AD221" s="181"/>
      <c r="AE221" s="181"/>
      <c r="AF221" s="181"/>
      <c r="AG221" s="181"/>
      <c r="AH221" s="181"/>
      <c r="AI221" s="181"/>
    </row>
    <row r="222" spans="1:35" s="21" customFormat="1" ht="30" customHeight="1">
      <c r="A222" s="22" t="s">
        <v>394</v>
      </c>
      <c r="B222" s="22"/>
      <c r="C222" s="54" t="s">
        <v>395</v>
      </c>
      <c r="D222" s="49">
        <f aca="true" t="shared" si="60" ref="D222:O222">D223</f>
        <v>391300</v>
      </c>
      <c r="E222" s="49">
        <f t="shared" si="60"/>
        <v>391300</v>
      </c>
      <c r="F222" s="49">
        <f t="shared" si="60"/>
        <v>0</v>
      </c>
      <c r="G222" s="49">
        <f t="shared" si="60"/>
        <v>222241</v>
      </c>
      <c r="H222" s="49">
        <f t="shared" si="60"/>
        <v>0</v>
      </c>
      <c r="I222" s="49">
        <f t="shared" si="60"/>
        <v>0</v>
      </c>
      <c r="J222" s="49">
        <f t="shared" si="60"/>
        <v>0</v>
      </c>
      <c r="K222" s="49">
        <f t="shared" si="60"/>
        <v>0</v>
      </c>
      <c r="L222" s="49">
        <f t="shared" si="60"/>
        <v>0</v>
      </c>
      <c r="M222" s="49">
        <f t="shared" si="60"/>
        <v>0</v>
      </c>
      <c r="N222" s="49">
        <f t="shared" si="60"/>
        <v>0</v>
      </c>
      <c r="O222" s="49">
        <f t="shared" si="60"/>
        <v>391300</v>
      </c>
      <c r="P222" s="295"/>
      <c r="Q222" s="185"/>
      <c r="R222" s="185"/>
      <c r="S222" s="185"/>
      <c r="T222" s="185"/>
      <c r="U222" s="185"/>
      <c r="V222" s="185"/>
      <c r="W222" s="185"/>
      <c r="X222" s="185"/>
      <c r="Y222" s="185"/>
      <c r="Z222" s="185"/>
      <c r="AA222" s="185"/>
      <c r="AB222" s="185"/>
      <c r="AC222" s="185"/>
      <c r="AD222" s="185"/>
      <c r="AE222" s="185"/>
      <c r="AF222" s="185"/>
      <c r="AG222" s="185"/>
      <c r="AH222" s="185"/>
      <c r="AI222" s="185"/>
    </row>
    <row r="223" spans="1:35" ht="30" customHeight="1">
      <c r="A223" s="5" t="s">
        <v>388</v>
      </c>
      <c r="B223" s="12" t="s">
        <v>389</v>
      </c>
      <c r="C223" s="13" t="s">
        <v>390</v>
      </c>
      <c r="D223" s="48">
        <f>'дод. 2'!E55</f>
        <v>391300</v>
      </c>
      <c r="E223" s="48">
        <f>'дод. 2'!F55</f>
        <v>391300</v>
      </c>
      <c r="F223" s="48">
        <f>'дод. 2'!G55</f>
        <v>0</v>
      </c>
      <c r="G223" s="48">
        <f>'дод. 2'!H55</f>
        <v>222241</v>
      </c>
      <c r="H223" s="48">
        <f>'дод. 2'!I55</f>
        <v>0</v>
      </c>
      <c r="I223" s="48">
        <f>'дод. 2'!J55</f>
        <v>0</v>
      </c>
      <c r="J223" s="48">
        <f>'дод. 2'!K55</f>
        <v>0</v>
      </c>
      <c r="K223" s="48">
        <f>'дод. 2'!L55</f>
        <v>0</v>
      </c>
      <c r="L223" s="48">
        <f>'дод. 2'!M55</f>
        <v>0</v>
      </c>
      <c r="M223" s="48">
        <f>'дод. 2'!N55</f>
        <v>0</v>
      </c>
      <c r="N223" s="48">
        <f>'дод. 2'!O55</f>
        <v>0</v>
      </c>
      <c r="O223" s="48">
        <f>'дод. 2'!P55</f>
        <v>391300</v>
      </c>
      <c r="P223" s="295"/>
      <c r="Q223" s="181"/>
      <c r="R223" s="181"/>
      <c r="S223" s="181"/>
      <c r="T223" s="181"/>
      <c r="U223" s="181"/>
      <c r="V223" s="181"/>
      <c r="W223" s="181"/>
      <c r="X223" s="181"/>
      <c r="Y223" s="181"/>
      <c r="Z223" s="181"/>
      <c r="AA223" s="181"/>
      <c r="AB223" s="181"/>
      <c r="AC223" s="181"/>
      <c r="AD223" s="181"/>
      <c r="AE223" s="181"/>
      <c r="AF223" s="181"/>
      <c r="AG223" s="181"/>
      <c r="AH223" s="181"/>
      <c r="AI223" s="181"/>
    </row>
    <row r="224" spans="1:35" s="21" customFormat="1" ht="22.5" customHeight="1">
      <c r="A224" s="22" t="s">
        <v>14</v>
      </c>
      <c r="B224" s="34"/>
      <c r="C224" s="11" t="s">
        <v>19</v>
      </c>
      <c r="D224" s="49">
        <f>D225+D226</f>
        <v>76600</v>
      </c>
      <c r="E224" s="49">
        <f aca="true" t="shared" si="61" ref="E224:O224">E225+E226</f>
        <v>76600</v>
      </c>
      <c r="F224" s="49">
        <f t="shared" si="61"/>
        <v>0</v>
      </c>
      <c r="G224" s="49">
        <f t="shared" si="61"/>
        <v>0</v>
      </c>
      <c r="H224" s="49">
        <f t="shared" si="61"/>
        <v>0</v>
      </c>
      <c r="I224" s="49">
        <f t="shared" si="61"/>
        <v>6007508.87</v>
      </c>
      <c r="J224" s="49">
        <f t="shared" si="61"/>
        <v>2469687</v>
      </c>
      <c r="K224" s="49">
        <f t="shared" si="61"/>
        <v>0</v>
      </c>
      <c r="L224" s="49">
        <f t="shared" si="61"/>
        <v>0</v>
      </c>
      <c r="M224" s="49">
        <f t="shared" si="61"/>
        <v>3537821.87</v>
      </c>
      <c r="N224" s="49">
        <f t="shared" si="61"/>
        <v>0</v>
      </c>
      <c r="O224" s="49">
        <f t="shared" si="61"/>
        <v>6084108.87</v>
      </c>
      <c r="P224" s="295"/>
      <c r="Q224" s="185"/>
      <c r="R224" s="185"/>
      <c r="S224" s="185"/>
      <c r="T224" s="185"/>
      <c r="U224" s="185"/>
      <c r="V224" s="185"/>
      <c r="W224" s="185"/>
      <c r="X224" s="185"/>
      <c r="Y224" s="185"/>
      <c r="Z224" s="185"/>
      <c r="AA224" s="185"/>
      <c r="AB224" s="185"/>
      <c r="AC224" s="185"/>
      <c r="AD224" s="185"/>
      <c r="AE224" s="185"/>
      <c r="AF224" s="185"/>
      <c r="AG224" s="185"/>
      <c r="AH224" s="185"/>
      <c r="AI224" s="185"/>
    </row>
    <row r="225" spans="1:35" s="21" customFormat="1" ht="26.25" customHeight="1">
      <c r="A225" s="5" t="s">
        <v>20</v>
      </c>
      <c r="B225" s="5" t="s">
        <v>135</v>
      </c>
      <c r="C225" s="13" t="s">
        <v>35</v>
      </c>
      <c r="D225" s="48">
        <f>'дод. 2'!E253</f>
        <v>76600</v>
      </c>
      <c r="E225" s="48">
        <f>'дод. 2'!F253</f>
        <v>76600</v>
      </c>
      <c r="F225" s="48">
        <f>'дод. 2'!G253</f>
        <v>0</v>
      </c>
      <c r="G225" s="48">
        <f>'дод. 2'!H253</f>
        <v>0</v>
      </c>
      <c r="H225" s="48">
        <f>'дод. 2'!I253</f>
        <v>0</v>
      </c>
      <c r="I225" s="48">
        <f>'дод. 2'!J253</f>
        <v>0</v>
      </c>
      <c r="J225" s="48">
        <f>'дод. 2'!K253</f>
        <v>0</v>
      </c>
      <c r="K225" s="48">
        <f>'дод. 2'!L253</f>
        <v>0</v>
      </c>
      <c r="L225" s="48">
        <f>'дод. 2'!M253</f>
        <v>0</v>
      </c>
      <c r="M225" s="48">
        <f>'дод. 2'!N253</f>
        <v>0</v>
      </c>
      <c r="N225" s="48">
        <f>'дод. 2'!O253</f>
        <v>0</v>
      </c>
      <c r="O225" s="48">
        <f>'дод. 2'!P253</f>
        <v>76600</v>
      </c>
      <c r="P225" s="295"/>
      <c r="Q225" s="181"/>
      <c r="R225" s="181"/>
      <c r="S225" s="181"/>
      <c r="T225" s="181"/>
      <c r="U225" s="181"/>
      <c r="V225" s="181"/>
      <c r="W225" s="181"/>
      <c r="X225" s="181"/>
      <c r="Y225" s="181"/>
      <c r="Z225" s="181"/>
      <c r="AA225" s="181"/>
      <c r="AB225" s="181"/>
      <c r="AC225" s="181"/>
      <c r="AD225" s="181"/>
      <c r="AE225" s="181"/>
      <c r="AF225" s="181"/>
      <c r="AG225" s="181"/>
      <c r="AH225" s="181"/>
      <c r="AI225" s="181"/>
    </row>
    <row r="226" spans="1:35" s="21" customFormat="1" ht="37.5" customHeight="1">
      <c r="A226" s="5" t="s">
        <v>21</v>
      </c>
      <c r="B226" s="5" t="s">
        <v>139</v>
      </c>
      <c r="C226" s="13" t="s">
        <v>22</v>
      </c>
      <c r="D226" s="48">
        <f>'дод. 2'!E91+'дод. 2'!E316+'дод. 2'!E56+'дод. 2'!E254</f>
        <v>0</v>
      </c>
      <c r="E226" s="48">
        <f>'дод. 2'!F91+'дод. 2'!F316+'дод. 2'!F56+'дод. 2'!F254</f>
        <v>0</v>
      </c>
      <c r="F226" s="48">
        <f>'дод. 2'!G91+'дод. 2'!G316+'дод. 2'!G56+'дод. 2'!G254</f>
        <v>0</v>
      </c>
      <c r="G226" s="48">
        <f>'дод. 2'!H91+'дод. 2'!H316+'дод. 2'!H56+'дод. 2'!H254</f>
        <v>0</v>
      </c>
      <c r="H226" s="48">
        <f>'дод. 2'!I91+'дод. 2'!I316+'дод. 2'!I56+'дод. 2'!I254</f>
        <v>0</v>
      </c>
      <c r="I226" s="48">
        <f>'дод. 2'!J91+'дод. 2'!J316+'дод. 2'!J56+'дод. 2'!J254</f>
        <v>6007508.87</v>
      </c>
      <c r="J226" s="48">
        <f>'дод. 2'!K91+'дод. 2'!K316+'дод. 2'!K56+'дод. 2'!K254</f>
        <v>2469687</v>
      </c>
      <c r="K226" s="48">
        <f>'дод. 2'!L91+'дод. 2'!L316+'дод. 2'!L56+'дод. 2'!L254</f>
        <v>0</v>
      </c>
      <c r="L226" s="48">
        <f>'дод. 2'!M91+'дод. 2'!M316+'дод. 2'!M56+'дод. 2'!M254</f>
        <v>0</v>
      </c>
      <c r="M226" s="48">
        <f>'дод. 2'!N91+'дод. 2'!N316+'дод. 2'!N56+'дод. 2'!N254</f>
        <v>3537821.87</v>
      </c>
      <c r="N226" s="48">
        <f>'дод. 2'!O91+'дод. 2'!O316+'дод. 2'!O56+'дод. 2'!O254</f>
        <v>0</v>
      </c>
      <c r="O226" s="48">
        <f>'дод. 2'!P91+'дод. 2'!P316+'дод. 2'!P56+'дод. 2'!P254</f>
        <v>6007508.87</v>
      </c>
      <c r="P226" s="295"/>
      <c r="Q226" s="181"/>
      <c r="R226" s="181"/>
      <c r="S226" s="181"/>
      <c r="T226" s="181"/>
      <c r="U226" s="181"/>
      <c r="V226" s="181"/>
      <c r="W226" s="181"/>
      <c r="X226" s="181"/>
      <c r="Y226" s="181"/>
      <c r="Z226" s="181"/>
      <c r="AA226" s="181"/>
      <c r="AB226" s="181"/>
      <c r="AC226" s="181"/>
      <c r="AD226" s="181"/>
      <c r="AE226" s="181"/>
      <c r="AF226" s="181"/>
      <c r="AG226" s="181"/>
      <c r="AH226" s="181"/>
      <c r="AI226" s="181"/>
    </row>
    <row r="227" spans="1:35" s="21" customFormat="1" ht="26.25" customHeight="1">
      <c r="A227" s="22" t="s">
        <v>211</v>
      </c>
      <c r="B227" s="34"/>
      <c r="C227" s="11" t="s">
        <v>117</v>
      </c>
      <c r="D227" s="49">
        <f aca="true" t="shared" si="62" ref="D227:O227">D228</f>
        <v>164000</v>
      </c>
      <c r="E227" s="49">
        <f t="shared" si="62"/>
        <v>164000</v>
      </c>
      <c r="F227" s="49">
        <f t="shared" si="62"/>
        <v>0</v>
      </c>
      <c r="G227" s="49">
        <f t="shared" si="62"/>
        <v>0</v>
      </c>
      <c r="H227" s="49">
        <f t="shared" si="62"/>
        <v>0</v>
      </c>
      <c r="I227" s="49">
        <f t="shared" si="62"/>
        <v>0</v>
      </c>
      <c r="J227" s="49">
        <f t="shared" si="62"/>
        <v>0</v>
      </c>
      <c r="K227" s="49">
        <f t="shared" si="62"/>
        <v>0</v>
      </c>
      <c r="L227" s="49">
        <f t="shared" si="62"/>
        <v>0</v>
      </c>
      <c r="M227" s="49">
        <f t="shared" si="62"/>
        <v>0</v>
      </c>
      <c r="N227" s="49">
        <f t="shared" si="62"/>
        <v>0</v>
      </c>
      <c r="O227" s="49">
        <f t="shared" si="62"/>
        <v>164000</v>
      </c>
      <c r="P227" s="295"/>
      <c r="Q227" s="185"/>
      <c r="R227" s="185"/>
      <c r="S227" s="185"/>
      <c r="T227" s="185"/>
      <c r="U227" s="185"/>
      <c r="V227" s="185"/>
      <c r="W227" s="185"/>
      <c r="X227" s="185"/>
      <c r="Y227" s="185"/>
      <c r="Z227" s="185"/>
      <c r="AA227" s="185"/>
      <c r="AB227" s="185"/>
      <c r="AC227" s="185"/>
      <c r="AD227" s="185"/>
      <c r="AE227" s="185"/>
      <c r="AF227" s="185"/>
      <c r="AG227" s="185"/>
      <c r="AH227" s="185"/>
      <c r="AI227" s="185"/>
    </row>
    <row r="228" spans="1:35" s="21" customFormat="1" ht="25.5" customHeight="1">
      <c r="A228" s="5" t="s">
        <v>399</v>
      </c>
      <c r="B228" s="12" t="s">
        <v>118</v>
      </c>
      <c r="C228" s="13" t="s">
        <v>400</v>
      </c>
      <c r="D228" s="48">
        <f>'дод. 2'!E57</f>
        <v>164000</v>
      </c>
      <c r="E228" s="48">
        <f>'дод. 2'!F57</f>
        <v>164000</v>
      </c>
      <c r="F228" s="48">
        <f>'дод. 2'!G57</f>
        <v>0</v>
      </c>
      <c r="G228" s="48">
        <f>'дод. 2'!H57</f>
        <v>0</v>
      </c>
      <c r="H228" s="48">
        <f>'дод. 2'!I57</f>
        <v>0</v>
      </c>
      <c r="I228" s="48">
        <f>'дод. 2'!J57</f>
        <v>0</v>
      </c>
      <c r="J228" s="48">
        <f>'дод. 2'!K57</f>
        <v>0</v>
      </c>
      <c r="K228" s="48">
        <f>'дод. 2'!L57</f>
        <v>0</v>
      </c>
      <c r="L228" s="48">
        <f>'дод. 2'!M57</f>
        <v>0</v>
      </c>
      <c r="M228" s="48">
        <f>'дод. 2'!N57</f>
        <v>0</v>
      </c>
      <c r="N228" s="48">
        <f>'дод. 2'!O57</f>
        <v>0</v>
      </c>
      <c r="O228" s="48">
        <f>'дод. 2'!P57</f>
        <v>164000</v>
      </c>
      <c r="P228" s="295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</row>
    <row r="229" spans="1:35" s="21" customFormat="1" ht="26.25" customHeight="1">
      <c r="A229" s="22" t="s">
        <v>142</v>
      </c>
      <c r="B229" s="22" t="s">
        <v>137</v>
      </c>
      <c r="C229" s="11" t="s">
        <v>23</v>
      </c>
      <c r="D229" s="49">
        <f>'дод. 2'!E317</f>
        <v>177952.41</v>
      </c>
      <c r="E229" s="49">
        <f>'дод. 2'!F317</f>
        <v>177952.41</v>
      </c>
      <c r="F229" s="49">
        <f>'дод. 2'!G317</f>
        <v>0</v>
      </c>
      <c r="G229" s="49">
        <f>'дод. 2'!H317</f>
        <v>0</v>
      </c>
      <c r="H229" s="49">
        <f>'дод. 2'!I317</f>
        <v>0</v>
      </c>
      <c r="I229" s="49">
        <f>'дод. 2'!J317</f>
        <v>0</v>
      </c>
      <c r="J229" s="49">
        <f>'дод. 2'!K317</f>
        <v>0</v>
      </c>
      <c r="K229" s="49">
        <f>'дод. 2'!L317</f>
        <v>0</v>
      </c>
      <c r="L229" s="49">
        <f>'дод. 2'!M317</f>
        <v>0</v>
      </c>
      <c r="M229" s="49">
        <f>'дод. 2'!N317</f>
        <v>0</v>
      </c>
      <c r="N229" s="49">
        <f>'дод. 2'!O317</f>
        <v>0</v>
      </c>
      <c r="O229" s="49">
        <f>'дод. 2'!P317</f>
        <v>177952.41</v>
      </c>
      <c r="P229" s="295"/>
      <c r="Q229" s="185"/>
      <c r="R229" s="185"/>
      <c r="S229" s="185"/>
      <c r="T229" s="185"/>
      <c r="U229" s="185"/>
      <c r="V229" s="185"/>
      <c r="W229" s="185"/>
      <c r="X229" s="185"/>
      <c r="Y229" s="185"/>
      <c r="Z229" s="185"/>
      <c r="AA229" s="185"/>
      <c r="AB229" s="185"/>
      <c r="AC229" s="185"/>
      <c r="AD229" s="185"/>
      <c r="AE229" s="185"/>
      <c r="AF229" s="185"/>
      <c r="AG229" s="185"/>
      <c r="AH229" s="185"/>
      <c r="AI229" s="185"/>
    </row>
    <row r="230" spans="1:35" s="21" customFormat="1" ht="26.25" customHeight="1">
      <c r="A230" s="22" t="s">
        <v>24</v>
      </c>
      <c r="B230" s="22" t="s">
        <v>140</v>
      </c>
      <c r="C230" s="11" t="s">
        <v>38</v>
      </c>
      <c r="D230" s="49">
        <f>'дод. 2'!E318</f>
        <v>3447107.5599999987</v>
      </c>
      <c r="E230" s="49">
        <f>'дод. 2'!F318</f>
        <v>0</v>
      </c>
      <c r="F230" s="49">
        <f>'дод. 2'!G318</f>
        <v>0</v>
      </c>
      <c r="G230" s="49">
        <f>'дод. 2'!H318</f>
        <v>0</v>
      </c>
      <c r="H230" s="49">
        <f>'дод. 2'!I318</f>
        <v>0</v>
      </c>
      <c r="I230" s="49">
        <f>'дод. 2'!J318</f>
        <v>0</v>
      </c>
      <c r="J230" s="49">
        <f>'дод. 2'!K318</f>
        <v>0</v>
      </c>
      <c r="K230" s="49">
        <f>'дод. 2'!L318</f>
        <v>0</v>
      </c>
      <c r="L230" s="49">
        <f>'дод. 2'!M318</f>
        <v>0</v>
      </c>
      <c r="M230" s="49">
        <f>'дод. 2'!N318</f>
        <v>0</v>
      </c>
      <c r="N230" s="49">
        <f>'дод. 2'!O318</f>
        <v>0</v>
      </c>
      <c r="O230" s="49">
        <f>'дод. 2'!P318</f>
        <v>3447107.5599999987</v>
      </c>
      <c r="P230" s="295"/>
      <c r="Q230" s="185"/>
      <c r="R230" s="185"/>
      <c r="S230" s="185"/>
      <c r="T230" s="185"/>
      <c r="U230" s="185"/>
      <c r="V230" s="185"/>
      <c r="W230" s="185"/>
      <c r="X230" s="185"/>
      <c r="Y230" s="185"/>
      <c r="Z230" s="185"/>
      <c r="AA230" s="185"/>
      <c r="AB230" s="185"/>
      <c r="AC230" s="185"/>
      <c r="AD230" s="185"/>
      <c r="AE230" s="185"/>
      <c r="AF230" s="185"/>
      <c r="AG230" s="185"/>
      <c r="AH230" s="185"/>
      <c r="AI230" s="185"/>
    </row>
    <row r="231" spans="1:35" s="21" customFormat="1" ht="27.75" customHeight="1">
      <c r="A231" s="22" t="s">
        <v>25</v>
      </c>
      <c r="B231" s="22"/>
      <c r="C231" s="11" t="s">
        <v>164</v>
      </c>
      <c r="D231" s="49">
        <f>D233+D235+D239+D241</f>
        <v>89461000</v>
      </c>
      <c r="E231" s="49">
        <f aca="true" t="shared" si="63" ref="E231:O231">E233+E235+E239+E241</f>
        <v>89461000</v>
      </c>
      <c r="F231" s="49">
        <f t="shared" si="63"/>
        <v>0</v>
      </c>
      <c r="G231" s="49">
        <f t="shared" si="63"/>
        <v>0</v>
      </c>
      <c r="H231" s="49">
        <f t="shared" si="63"/>
        <v>0</v>
      </c>
      <c r="I231" s="49">
        <f t="shared" si="63"/>
        <v>11859580</v>
      </c>
      <c r="J231" s="49">
        <f t="shared" si="63"/>
        <v>4000000</v>
      </c>
      <c r="K231" s="49">
        <f t="shared" si="63"/>
        <v>0</v>
      </c>
      <c r="L231" s="49">
        <f t="shared" si="63"/>
        <v>0</v>
      </c>
      <c r="M231" s="49">
        <f t="shared" si="63"/>
        <v>7859580</v>
      </c>
      <c r="N231" s="49">
        <f t="shared" si="63"/>
        <v>7859580</v>
      </c>
      <c r="O231" s="49">
        <f t="shared" si="63"/>
        <v>101320580</v>
      </c>
      <c r="P231" s="295"/>
      <c r="Q231" s="185"/>
      <c r="R231" s="185"/>
      <c r="S231" s="185"/>
      <c r="T231" s="185"/>
      <c r="U231" s="185"/>
      <c r="V231" s="185"/>
      <c r="W231" s="185"/>
      <c r="X231" s="185"/>
      <c r="Y231" s="185"/>
      <c r="Z231" s="185"/>
      <c r="AA231" s="185"/>
      <c r="AB231" s="185"/>
      <c r="AC231" s="185"/>
      <c r="AD231" s="185"/>
      <c r="AE231" s="185"/>
      <c r="AF231" s="185"/>
      <c r="AG231" s="185"/>
      <c r="AH231" s="185"/>
      <c r="AI231" s="185"/>
    </row>
    <row r="232" spans="1:35" s="21" customFormat="1" ht="27.75" customHeight="1">
      <c r="A232" s="22"/>
      <c r="B232" s="22"/>
      <c r="C232" s="219" t="s">
        <v>416</v>
      </c>
      <c r="D232" s="49">
        <f>D236</f>
        <v>0</v>
      </c>
      <c r="E232" s="49">
        <f aca="true" t="shared" si="64" ref="E232:O232">E236</f>
        <v>0</v>
      </c>
      <c r="F232" s="49">
        <f t="shared" si="64"/>
        <v>0</v>
      </c>
      <c r="G232" s="49">
        <f t="shared" si="64"/>
        <v>0</v>
      </c>
      <c r="H232" s="49">
        <f t="shared" si="64"/>
        <v>0</v>
      </c>
      <c r="I232" s="49">
        <f t="shared" si="64"/>
        <v>4000000</v>
      </c>
      <c r="J232" s="49">
        <f t="shared" si="64"/>
        <v>4000000</v>
      </c>
      <c r="K232" s="49">
        <f t="shared" si="64"/>
        <v>0</v>
      </c>
      <c r="L232" s="49">
        <f t="shared" si="64"/>
        <v>0</v>
      </c>
      <c r="M232" s="49">
        <f t="shared" si="64"/>
        <v>0</v>
      </c>
      <c r="N232" s="49">
        <f t="shared" si="64"/>
        <v>0</v>
      </c>
      <c r="O232" s="49">
        <f t="shared" si="64"/>
        <v>4000000</v>
      </c>
      <c r="P232" s="295"/>
      <c r="Q232" s="185"/>
      <c r="R232" s="185"/>
      <c r="S232" s="185"/>
      <c r="T232" s="185"/>
      <c r="U232" s="185"/>
      <c r="V232" s="185"/>
      <c r="W232" s="185"/>
      <c r="X232" s="185"/>
      <c r="Y232" s="185"/>
      <c r="Z232" s="185"/>
      <c r="AA232" s="185"/>
      <c r="AB232" s="185"/>
      <c r="AC232" s="185"/>
      <c r="AD232" s="185"/>
      <c r="AE232" s="185"/>
      <c r="AF232" s="185"/>
      <c r="AG232" s="185"/>
      <c r="AH232" s="185"/>
      <c r="AI232" s="185"/>
    </row>
    <row r="233" spans="1:35" s="21" customFormat="1" ht="27.75" customHeight="1">
      <c r="A233" s="22" t="s">
        <v>397</v>
      </c>
      <c r="B233" s="22"/>
      <c r="C233" s="11" t="s">
        <v>470</v>
      </c>
      <c r="D233" s="49">
        <f aca="true" t="shared" si="65" ref="D233:O233">D234</f>
        <v>87299600</v>
      </c>
      <c r="E233" s="49">
        <f t="shared" si="65"/>
        <v>87299600</v>
      </c>
      <c r="F233" s="49">
        <f t="shared" si="65"/>
        <v>0</v>
      </c>
      <c r="G233" s="49">
        <f t="shared" si="65"/>
        <v>0</v>
      </c>
      <c r="H233" s="49">
        <f t="shared" si="65"/>
        <v>0</v>
      </c>
      <c r="I233" s="49">
        <f t="shared" si="65"/>
        <v>0</v>
      </c>
      <c r="J233" s="49">
        <f t="shared" si="65"/>
        <v>0</v>
      </c>
      <c r="K233" s="49">
        <f t="shared" si="65"/>
        <v>0</v>
      </c>
      <c r="L233" s="49">
        <f t="shared" si="65"/>
        <v>0</v>
      </c>
      <c r="M233" s="49">
        <f t="shared" si="65"/>
        <v>0</v>
      </c>
      <c r="N233" s="49">
        <f t="shared" si="65"/>
        <v>0</v>
      </c>
      <c r="O233" s="49">
        <f t="shared" si="65"/>
        <v>87299600</v>
      </c>
      <c r="P233" s="295"/>
      <c r="Q233" s="185"/>
      <c r="R233" s="185"/>
      <c r="S233" s="185"/>
      <c r="T233" s="185"/>
      <c r="U233" s="185"/>
      <c r="V233" s="185"/>
      <c r="W233" s="185"/>
      <c r="X233" s="185"/>
      <c r="Y233" s="185"/>
      <c r="Z233" s="185"/>
      <c r="AA233" s="185"/>
      <c r="AB233" s="185"/>
      <c r="AC233" s="185"/>
      <c r="AD233" s="185"/>
      <c r="AE233" s="185"/>
      <c r="AF233" s="185"/>
      <c r="AG233" s="185"/>
      <c r="AH233" s="185"/>
      <c r="AI233" s="185"/>
    </row>
    <row r="234" spans="1:35" s="21" customFormat="1" ht="21.75" customHeight="1">
      <c r="A234" s="5" t="s">
        <v>138</v>
      </c>
      <c r="B234" s="12" t="s">
        <v>78</v>
      </c>
      <c r="C234" s="13" t="s">
        <v>162</v>
      </c>
      <c r="D234" s="48">
        <f>'дод. 2'!E319</f>
        <v>87299600</v>
      </c>
      <c r="E234" s="48">
        <f>'дод. 2'!F319</f>
        <v>87299600</v>
      </c>
      <c r="F234" s="48">
        <f>'дод. 2'!G319</f>
        <v>0</v>
      </c>
      <c r="G234" s="48">
        <f>'дод. 2'!H319</f>
        <v>0</v>
      </c>
      <c r="H234" s="48">
        <f>'дод. 2'!I319</f>
        <v>0</v>
      </c>
      <c r="I234" s="48">
        <f>'дод. 2'!J319</f>
        <v>0</v>
      </c>
      <c r="J234" s="48">
        <f>'дод. 2'!K319</f>
        <v>0</v>
      </c>
      <c r="K234" s="48">
        <f>'дод. 2'!L319</f>
        <v>0</v>
      </c>
      <c r="L234" s="48">
        <f>'дод. 2'!M319</f>
        <v>0</v>
      </c>
      <c r="M234" s="48">
        <f>'дод. 2'!N319</f>
        <v>0</v>
      </c>
      <c r="N234" s="48">
        <f>'дод. 2'!O319</f>
        <v>0</v>
      </c>
      <c r="O234" s="48">
        <f>'дод. 2'!P319</f>
        <v>87299600</v>
      </c>
      <c r="P234" s="295"/>
      <c r="Q234" s="181"/>
      <c r="R234" s="181"/>
      <c r="S234" s="181"/>
      <c r="T234" s="181"/>
      <c r="U234" s="181"/>
      <c r="V234" s="181"/>
      <c r="W234" s="181"/>
      <c r="X234" s="181"/>
      <c r="Y234" s="181"/>
      <c r="Z234" s="181"/>
      <c r="AA234" s="181"/>
      <c r="AB234" s="181"/>
      <c r="AC234" s="181"/>
      <c r="AD234" s="181"/>
      <c r="AE234" s="181"/>
      <c r="AF234" s="181"/>
      <c r="AG234" s="181"/>
      <c r="AH234" s="181"/>
      <c r="AI234" s="181"/>
    </row>
    <row r="235" spans="1:35" s="21" customFormat="1" ht="66.75" customHeight="1">
      <c r="A235" s="22" t="s">
        <v>652</v>
      </c>
      <c r="B235" s="12"/>
      <c r="C235" s="240" t="s">
        <v>653</v>
      </c>
      <c r="D235" s="48">
        <f>D237</f>
        <v>0</v>
      </c>
      <c r="E235" s="48"/>
      <c r="F235" s="48"/>
      <c r="G235" s="48"/>
      <c r="H235" s="48"/>
      <c r="I235" s="49">
        <f>I237</f>
        <v>4000000</v>
      </c>
      <c r="J235" s="48">
        <f>J237</f>
        <v>4000000</v>
      </c>
      <c r="K235" s="48"/>
      <c r="L235" s="48"/>
      <c r="M235" s="48"/>
      <c r="N235" s="48"/>
      <c r="O235" s="49">
        <f>O237</f>
        <v>4000000</v>
      </c>
      <c r="P235" s="295"/>
      <c r="Q235" s="181"/>
      <c r="R235" s="181"/>
      <c r="S235" s="181"/>
      <c r="T235" s="181"/>
      <c r="U235" s="181"/>
      <c r="V235" s="181"/>
      <c r="W235" s="181"/>
      <c r="X235" s="181"/>
      <c r="Y235" s="181"/>
      <c r="Z235" s="181"/>
      <c r="AA235" s="181"/>
      <c r="AB235" s="181"/>
      <c r="AC235" s="181"/>
      <c r="AD235" s="181"/>
      <c r="AE235" s="181"/>
      <c r="AF235" s="181"/>
      <c r="AG235" s="181"/>
      <c r="AH235" s="181"/>
      <c r="AI235" s="181"/>
    </row>
    <row r="236" spans="1:35" s="28" customFormat="1" ht="23.25" customHeight="1">
      <c r="A236" s="235"/>
      <c r="B236" s="260"/>
      <c r="C236" s="219" t="s">
        <v>416</v>
      </c>
      <c r="D236" s="236"/>
      <c r="E236" s="236"/>
      <c r="F236" s="236"/>
      <c r="G236" s="236"/>
      <c r="H236" s="236"/>
      <c r="I236" s="236">
        <f>I238</f>
        <v>4000000</v>
      </c>
      <c r="J236" s="236">
        <f>J238</f>
        <v>4000000</v>
      </c>
      <c r="K236" s="236"/>
      <c r="L236" s="236"/>
      <c r="M236" s="236"/>
      <c r="N236" s="236"/>
      <c r="O236" s="236">
        <f>I236+D236</f>
        <v>4000000</v>
      </c>
      <c r="P236" s="295"/>
      <c r="Q236" s="237"/>
      <c r="R236" s="237"/>
      <c r="S236" s="237"/>
      <c r="T236" s="237"/>
      <c r="U236" s="237"/>
      <c r="V236" s="237"/>
      <c r="W236" s="237"/>
      <c r="X236" s="237"/>
      <c r="Y236" s="237"/>
      <c r="Z236" s="237"/>
      <c r="AA236" s="237"/>
      <c r="AB236" s="237"/>
      <c r="AC236" s="237"/>
      <c r="AD236" s="237"/>
      <c r="AE236" s="237"/>
      <c r="AF236" s="237"/>
      <c r="AG236" s="237"/>
      <c r="AH236" s="237"/>
      <c r="AI236" s="237"/>
    </row>
    <row r="237" spans="1:35" s="21" customFormat="1" ht="112.5" customHeight="1">
      <c r="A237" s="5" t="s">
        <v>651</v>
      </c>
      <c r="B237" s="12" t="s">
        <v>78</v>
      </c>
      <c r="C237" s="239" t="s">
        <v>650</v>
      </c>
      <c r="D237" s="48"/>
      <c r="E237" s="48"/>
      <c r="F237" s="48"/>
      <c r="G237" s="48"/>
      <c r="H237" s="48"/>
      <c r="I237" s="48">
        <f>J237+M237</f>
        <v>4000000</v>
      </c>
      <c r="J237" s="48">
        <f>'дод. 2'!K320</f>
        <v>4000000</v>
      </c>
      <c r="K237" s="48"/>
      <c r="L237" s="48"/>
      <c r="M237" s="48"/>
      <c r="N237" s="48"/>
      <c r="O237" s="48">
        <f>I237+D237</f>
        <v>4000000</v>
      </c>
      <c r="P237" s="295"/>
      <c r="Q237" s="181"/>
      <c r="R237" s="181"/>
      <c r="S237" s="181"/>
      <c r="T237" s="181"/>
      <c r="U237" s="181"/>
      <c r="V237" s="181"/>
      <c r="W237" s="181"/>
      <c r="X237" s="181"/>
      <c r="Y237" s="181"/>
      <c r="Z237" s="181"/>
      <c r="AA237" s="181"/>
      <c r="AB237" s="181"/>
      <c r="AC237" s="181"/>
      <c r="AD237" s="181"/>
      <c r="AE237" s="181"/>
      <c r="AF237" s="181"/>
      <c r="AG237" s="181"/>
      <c r="AH237" s="181"/>
      <c r="AI237" s="181"/>
    </row>
    <row r="238" spans="1:35" s="21" customFormat="1" ht="23.25" customHeight="1">
      <c r="A238" s="5"/>
      <c r="B238" s="12"/>
      <c r="C238" s="219" t="s">
        <v>416</v>
      </c>
      <c r="D238" s="48"/>
      <c r="E238" s="48"/>
      <c r="F238" s="48"/>
      <c r="G238" s="48"/>
      <c r="H238" s="48"/>
      <c r="I238" s="48">
        <f>J238+M238</f>
        <v>4000000</v>
      </c>
      <c r="J238" s="48">
        <f>'дод. 2'!K321</f>
        <v>4000000</v>
      </c>
      <c r="K238" s="48"/>
      <c r="L238" s="48"/>
      <c r="M238" s="48"/>
      <c r="N238" s="48"/>
      <c r="O238" s="48">
        <f>I238+D238</f>
        <v>4000000</v>
      </c>
      <c r="P238" s="295"/>
      <c r="Q238" s="181"/>
      <c r="R238" s="181"/>
      <c r="S238" s="181"/>
      <c r="T238" s="181"/>
      <c r="U238" s="181"/>
      <c r="V238" s="181"/>
      <c r="W238" s="181"/>
      <c r="X238" s="181"/>
      <c r="Y238" s="181"/>
      <c r="Z238" s="181"/>
      <c r="AA238" s="181"/>
      <c r="AB238" s="181"/>
      <c r="AC238" s="181"/>
      <c r="AD238" s="181"/>
      <c r="AE238" s="181"/>
      <c r="AF238" s="181"/>
      <c r="AG238" s="181"/>
      <c r="AH238" s="181"/>
      <c r="AI238" s="181"/>
    </row>
    <row r="239" spans="1:35" s="21" customFormat="1" ht="57" customHeight="1">
      <c r="A239" s="22" t="s">
        <v>26</v>
      </c>
      <c r="B239" s="10"/>
      <c r="C239" s="11" t="s">
        <v>27</v>
      </c>
      <c r="D239" s="49">
        <f aca="true" t="shared" si="66" ref="D239:O239">D240</f>
        <v>1574500</v>
      </c>
      <c r="E239" s="49">
        <f t="shared" si="66"/>
        <v>1574500</v>
      </c>
      <c r="F239" s="49">
        <f t="shared" si="66"/>
        <v>0</v>
      </c>
      <c r="G239" s="49">
        <f t="shared" si="66"/>
        <v>0</v>
      </c>
      <c r="H239" s="49">
        <f t="shared" si="66"/>
        <v>0</v>
      </c>
      <c r="I239" s="49">
        <f t="shared" si="66"/>
        <v>2116800</v>
      </c>
      <c r="J239" s="49">
        <f t="shared" si="66"/>
        <v>0</v>
      </c>
      <c r="K239" s="49">
        <f t="shared" si="66"/>
        <v>0</v>
      </c>
      <c r="L239" s="49">
        <f t="shared" si="66"/>
        <v>0</v>
      </c>
      <c r="M239" s="49">
        <f t="shared" si="66"/>
        <v>2116800</v>
      </c>
      <c r="N239" s="49">
        <f t="shared" si="66"/>
        <v>2116800</v>
      </c>
      <c r="O239" s="49">
        <f t="shared" si="66"/>
        <v>3691300</v>
      </c>
      <c r="P239" s="295"/>
      <c r="Q239" s="185"/>
      <c r="R239" s="185"/>
      <c r="S239" s="185"/>
      <c r="T239" s="185"/>
      <c r="U239" s="185"/>
      <c r="V239" s="185"/>
      <c r="W239" s="185"/>
      <c r="X239" s="185"/>
      <c r="Y239" s="185"/>
      <c r="Z239" s="185"/>
      <c r="AA239" s="185"/>
      <c r="AB239" s="185"/>
      <c r="AC239" s="185"/>
      <c r="AD239" s="185"/>
      <c r="AE239" s="185"/>
      <c r="AF239" s="185"/>
      <c r="AG239" s="185"/>
      <c r="AH239" s="185"/>
      <c r="AI239" s="185"/>
    </row>
    <row r="240" spans="1:35" s="21" customFormat="1" ht="33.75" customHeight="1">
      <c r="A240" s="5" t="s">
        <v>28</v>
      </c>
      <c r="B240" s="12" t="s">
        <v>78</v>
      </c>
      <c r="C240" s="18" t="s">
        <v>415</v>
      </c>
      <c r="D240" s="48">
        <f>'дод. 2'!E255+'дод. 2'!E204+'дод. 2'!E322+'дод. 2'!E58+'дод. 2'!E128</f>
        <v>1574500</v>
      </c>
      <c r="E240" s="48">
        <f>'дод. 2'!F255+'дод. 2'!F204+'дод. 2'!F322+'дод. 2'!F58+'дод. 2'!F128</f>
        <v>1574500</v>
      </c>
      <c r="F240" s="48">
        <f>'дод. 2'!G255+'дод. 2'!G204+'дод. 2'!G322+'дод. 2'!G58+'дод. 2'!G128</f>
        <v>0</v>
      </c>
      <c r="G240" s="48">
        <f>'дод. 2'!H255+'дод. 2'!H204+'дод. 2'!H322+'дод. 2'!H58+'дод. 2'!H128</f>
        <v>0</v>
      </c>
      <c r="H240" s="48">
        <f>'дод. 2'!I255+'дод. 2'!I204+'дод. 2'!I322+'дод. 2'!I58+'дод. 2'!I128</f>
        <v>0</v>
      </c>
      <c r="I240" s="48">
        <f>'дод. 2'!J255+'дод. 2'!J204+'дод. 2'!J322+'дод. 2'!J58+'дод. 2'!J128</f>
        <v>2116800</v>
      </c>
      <c r="J240" s="48">
        <f>'дод. 2'!K255+'дод. 2'!K204+'дод. 2'!K322+'дод. 2'!K58+'дод. 2'!K128</f>
        <v>0</v>
      </c>
      <c r="K240" s="48">
        <f>'дод. 2'!L255+'дод. 2'!L204+'дод. 2'!L322+'дод. 2'!L58+'дод. 2'!L128</f>
        <v>0</v>
      </c>
      <c r="L240" s="48">
        <f>'дод. 2'!M255+'дод. 2'!M204+'дод. 2'!M322+'дод. 2'!M58+'дод. 2'!M128</f>
        <v>0</v>
      </c>
      <c r="M240" s="48">
        <f>'дод. 2'!N255+'дод. 2'!N204+'дод. 2'!N322+'дод. 2'!N58+'дод. 2'!N128</f>
        <v>2116800</v>
      </c>
      <c r="N240" s="48">
        <f>'дод. 2'!O255+'дод. 2'!O204+'дод. 2'!O322+'дод. 2'!O58+'дод. 2'!O128</f>
        <v>2116800</v>
      </c>
      <c r="O240" s="48">
        <f>'дод. 2'!P255+'дод. 2'!P204+'дод. 2'!P322+'дод. 2'!P58+'дод. 2'!P128</f>
        <v>3691300</v>
      </c>
      <c r="P240" s="295"/>
      <c r="Q240" s="183"/>
      <c r="R240" s="183"/>
      <c r="S240" s="183"/>
      <c r="T240" s="183"/>
      <c r="U240" s="183"/>
      <c r="V240" s="183"/>
      <c r="W240" s="183"/>
      <c r="X240" s="183"/>
      <c r="Y240" s="183"/>
      <c r="Z240" s="183"/>
      <c r="AA240" s="183"/>
      <c r="AB240" s="183"/>
      <c r="AC240" s="183"/>
      <c r="AD240" s="183"/>
      <c r="AE240" s="183"/>
      <c r="AF240" s="183"/>
      <c r="AG240" s="183"/>
      <c r="AH240" s="183"/>
      <c r="AI240" s="183"/>
    </row>
    <row r="241" spans="1:35" s="21" customFormat="1" ht="60" customHeight="1">
      <c r="A241" s="22" t="s">
        <v>590</v>
      </c>
      <c r="B241" s="10"/>
      <c r="C241" s="39" t="s">
        <v>591</v>
      </c>
      <c r="D241" s="49">
        <f>D242</f>
        <v>586900</v>
      </c>
      <c r="E241" s="49">
        <f aca="true" t="shared" si="67" ref="E241:O241">E242</f>
        <v>586900</v>
      </c>
      <c r="F241" s="49">
        <f t="shared" si="67"/>
        <v>0</v>
      </c>
      <c r="G241" s="49">
        <f t="shared" si="67"/>
        <v>0</v>
      </c>
      <c r="H241" s="49">
        <f t="shared" si="67"/>
        <v>0</v>
      </c>
      <c r="I241" s="49">
        <f t="shared" si="67"/>
        <v>5742780</v>
      </c>
      <c r="J241" s="49">
        <f t="shared" si="67"/>
        <v>0</v>
      </c>
      <c r="K241" s="49">
        <f t="shared" si="67"/>
        <v>0</v>
      </c>
      <c r="L241" s="49">
        <f t="shared" si="67"/>
        <v>0</v>
      </c>
      <c r="M241" s="49">
        <f t="shared" si="67"/>
        <v>5742780</v>
      </c>
      <c r="N241" s="49">
        <f t="shared" si="67"/>
        <v>5742780</v>
      </c>
      <c r="O241" s="49">
        <f t="shared" si="67"/>
        <v>6329680</v>
      </c>
      <c r="P241" s="295"/>
      <c r="Q241" s="211"/>
      <c r="R241" s="211"/>
      <c r="S241" s="211"/>
      <c r="T241" s="211"/>
      <c r="U241" s="211"/>
      <c r="V241" s="211"/>
      <c r="W241" s="211"/>
      <c r="X241" s="211"/>
      <c r="Y241" s="211"/>
      <c r="Z241" s="211"/>
      <c r="AA241" s="211"/>
      <c r="AB241" s="211"/>
      <c r="AC241" s="211"/>
      <c r="AD241" s="211"/>
      <c r="AE241" s="211"/>
      <c r="AF241" s="211"/>
      <c r="AG241" s="211"/>
      <c r="AH241" s="211"/>
      <c r="AI241" s="211"/>
    </row>
    <row r="242" spans="1:35" s="21" customFormat="1" ht="60.75" customHeight="1">
      <c r="A242" s="5" t="s">
        <v>590</v>
      </c>
      <c r="B242" s="12" t="s">
        <v>78</v>
      </c>
      <c r="C242" s="18" t="s">
        <v>591</v>
      </c>
      <c r="D242" s="48">
        <f>'дод. 2'!E59+'дод. 2'!E92+'дод. 2'!E307</f>
        <v>586900</v>
      </c>
      <c r="E242" s="48">
        <f>'дод. 2'!F59+'дод. 2'!F92+'дод. 2'!F307</f>
        <v>586900</v>
      </c>
      <c r="F242" s="48">
        <f>'дод. 2'!G59+'дод. 2'!G92+'дод. 2'!G307</f>
        <v>0</v>
      </c>
      <c r="G242" s="48">
        <f>'дод. 2'!H59+'дод. 2'!H92+'дод. 2'!H307</f>
        <v>0</v>
      </c>
      <c r="H242" s="48">
        <f>'дод. 2'!I59+'дод. 2'!I92+'дод. 2'!I307</f>
        <v>0</v>
      </c>
      <c r="I242" s="48">
        <f>'дод. 2'!J59+'дод. 2'!J92+'дод. 2'!J307</f>
        <v>5742780</v>
      </c>
      <c r="J242" s="48">
        <f>'дод. 2'!K59+'дод. 2'!K92+'дод. 2'!K307</f>
        <v>0</v>
      </c>
      <c r="K242" s="48">
        <f>'дод. 2'!L59+'дод. 2'!L92+'дод. 2'!L307</f>
        <v>0</v>
      </c>
      <c r="L242" s="48">
        <f>'дод. 2'!M59+'дод. 2'!M92+'дод. 2'!M307</f>
        <v>0</v>
      </c>
      <c r="M242" s="48">
        <f>'дод. 2'!N59+'дод. 2'!N92+'дод. 2'!N307</f>
        <v>5742780</v>
      </c>
      <c r="N242" s="48">
        <f>'дод. 2'!O59+'дод. 2'!O92+'дод. 2'!O307</f>
        <v>5742780</v>
      </c>
      <c r="O242" s="48">
        <f>'дод. 2'!P59+'дод. 2'!P92+'дод. 2'!P307</f>
        <v>6329680</v>
      </c>
      <c r="P242" s="295"/>
      <c r="Q242" s="183"/>
      <c r="R242" s="183"/>
      <c r="S242" s="183"/>
      <c r="T242" s="183"/>
      <c r="U242" s="183"/>
      <c r="V242" s="183"/>
      <c r="W242" s="183"/>
      <c r="X242" s="183"/>
      <c r="Y242" s="183"/>
      <c r="Z242" s="183"/>
      <c r="AA242" s="183"/>
      <c r="AB242" s="183"/>
      <c r="AC242" s="183"/>
      <c r="AD242" s="183"/>
      <c r="AE242" s="183"/>
      <c r="AF242" s="183"/>
      <c r="AG242" s="183"/>
      <c r="AH242" s="183"/>
      <c r="AI242" s="183"/>
    </row>
    <row r="243" spans="1:35" s="21" customFormat="1" ht="25.5" customHeight="1">
      <c r="A243" s="22"/>
      <c r="B243" s="22"/>
      <c r="C243" s="11" t="s">
        <v>39</v>
      </c>
      <c r="D243" s="49">
        <f>D231+D218+D174+D156+D146+D140+D62+D34+D15+D12</f>
        <v>2905450923.26</v>
      </c>
      <c r="E243" s="49">
        <f aca="true" t="shared" si="68" ref="E243:O243">E231+E218+E174+E156+E146+E140+E62+E34+E15+E12</f>
        <v>2856194967.2000003</v>
      </c>
      <c r="F243" s="49">
        <f t="shared" si="68"/>
        <v>670634786.1</v>
      </c>
      <c r="G243" s="49">
        <f t="shared" si="68"/>
        <v>96170501.65</v>
      </c>
      <c r="H243" s="49">
        <f t="shared" si="68"/>
        <v>45808848.5</v>
      </c>
      <c r="I243" s="49">
        <f t="shared" si="68"/>
        <v>613741879.58</v>
      </c>
      <c r="J243" s="49">
        <f t="shared" si="68"/>
        <v>89333187.86</v>
      </c>
      <c r="K243" s="49">
        <f t="shared" si="68"/>
        <v>6315206</v>
      </c>
      <c r="L243" s="49">
        <f t="shared" si="68"/>
        <v>2472134</v>
      </c>
      <c r="M243" s="49">
        <f t="shared" si="68"/>
        <v>524408691.71999997</v>
      </c>
      <c r="N243" s="49">
        <f t="shared" si="68"/>
        <v>472232871.1699999</v>
      </c>
      <c r="O243" s="49">
        <f t="shared" si="68"/>
        <v>3519192802.84</v>
      </c>
      <c r="P243" s="295"/>
      <c r="Q243" s="185">
        <f>O243-D243-I243</f>
        <v>0</v>
      </c>
      <c r="R243" s="185"/>
      <c r="S243" s="185"/>
      <c r="T243" s="185"/>
      <c r="U243" s="185"/>
      <c r="V243" s="185"/>
      <c r="W243" s="185"/>
      <c r="X243" s="185"/>
      <c r="Y243" s="185"/>
      <c r="Z243" s="185"/>
      <c r="AA243" s="185"/>
      <c r="AB243" s="185"/>
      <c r="AC243" s="185"/>
      <c r="AD243" s="185"/>
      <c r="AE243" s="185"/>
      <c r="AF243" s="185"/>
      <c r="AG243" s="185"/>
      <c r="AH243" s="185"/>
      <c r="AI243" s="185"/>
    </row>
    <row r="244" spans="1:35" s="21" customFormat="1" ht="25.5" customHeight="1">
      <c r="A244" s="61"/>
      <c r="B244" s="61"/>
      <c r="C244" s="11" t="s">
        <v>416</v>
      </c>
      <c r="D244" s="62">
        <f>D232+D157+D63+D35+D16</f>
        <v>1637408712.9</v>
      </c>
      <c r="E244" s="62">
        <f>E232+E157+E63+E35+E16</f>
        <v>1637408712.9</v>
      </c>
      <c r="F244" s="62">
        <f>F232+F157+F63+F35+F16</f>
        <v>213388985</v>
      </c>
      <c r="G244" s="62">
        <f>G232+G157+G63+G35+G16</f>
        <v>0</v>
      </c>
      <c r="H244" s="62">
        <f>H232+H157+H63+H35+H16</f>
        <v>0</v>
      </c>
      <c r="I244" s="62">
        <f>I232+I157+I63+I35+I16+I178+I193</f>
        <v>77222964.55</v>
      </c>
      <c r="J244" s="62">
        <f aca="true" t="shared" si="69" ref="J244:O244">J232+J157+J63+J35+J16+J178+J193</f>
        <v>15900000</v>
      </c>
      <c r="K244" s="62">
        <f t="shared" si="69"/>
        <v>0</v>
      </c>
      <c r="L244" s="62">
        <f t="shared" si="69"/>
        <v>0</v>
      </c>
      <c r="M244" s="62">
        <f t="shared" si="69"/>
        <v>61322964.55</v>
      </c>
      <c r="N244" s="62">
        <f t="shared" si="69"/>
        <v>15037601.5</v>
      </c>
      <c r="O244" s="62">
        <f t="shared" si="69"/>
        <v>1714631677.45</v>
      </c>
      <c r="P244" s="295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</row>
    <row r="245" spans="1:35" s="21" customFormat="1" ht="51" customHeight="1">
      <c r="A245" s="98"/>
      <c r="B245" s="98"/>
      <c r="C245" s="99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295"/>
      <c r="Q245" s="186"/>
      <c r="R245" s="186"/>
      <c r="S245" s="187"/>
      <c r="T245" s="187"/>
      <c r="U245" s="187"/>
      <c r="V245" s="187"/>
      <c r="W245" s="187"/>
      <c r="X245" s="187"/>
      <c r="Y245" s="187"/>
      <c r="Z245" s="187"/>
      <c r="AA245" s="187"/>
      <c r="AB245" s="187"/>
      <c r="AC245" s="187"/>
      <c r="AD245" s="187"/>
      <c r="AE245" s="187"/>
      <c r="AF245" s="187"/>
      <c r="AG245" s="187"/>
      <c r="AH245" s="187"/>
      <c r="AI245" s="188"/>
    </row>
    <row r="246" spans="1:35" s="232" customFormat="1" ht="62.25" customHeight="1">
      <c r="A246" s="267"/>
      <c r="B246" s="268"/>
      <c r="C246" s="268"/>
      <c r="D246" s="229"/>
      <c r="E246" s="202"/>
      <c r="F246" s="202"/>
      <c r="G246" s="202"/>
      <c r="H246" s="202"/>
      <c r="I246" s="202"/>
      <c r="J246" s="202"/>
      <c r="K246" s="202"/>
      <c r="L246" s="202"/>
      <c r="M246" s="228"/>
      <c r="N246" s="205"/>
      <c r="O246" s="205"/>
      <c r="P246" s="295"/>
      <c r="Q246" s="230"/>
      <c r="R246" s="230"/>
      <c r="S246" s="203"/>
      <c r="T246" s="203"/>
      <c r="U246" s="203"/>
      <c r="V246" s="203"/>
      <c r="W246" s="203"/>
      <c r="X246" s="203"/>
      <c r="Y246" s="203"/>
      <c r="Z246" s="203"/>
      <c r="AA246" s="203"/>
      <c r="AB246" s="203"/>
      <c r="AC246" s="203"/>
      <c r="AD246" s="203"/>
      <c r="AE246" s="203"/>
      <c r="AF246" s="203"/>
      <c r="AG246" s="203"/>
      <c r="AH246" s="203"/>
      <c r="AI246" s="231"/>
    </row>
    <row r="247" spans="1:35" s="232" customFormat="1" ht="23.25" customHeight="1">
      <c r="A247" s="261" t="s">
        <v>665</v>
      </c>
      <c r="B247" s="261"/>
      <c r="C247" s="261"/>
      <c r="D247" s="95"/>
      <c r="E247" s="254"/>
      <c r="F247" s="254"/>
      <c r="G247" s="254"/>
      <c r="H247" s="254"/>
      <c r="I247" s="254"/>
      <c r="J247" s="254"/>
      <c r="K247" s="254"/>
      <c r="L247" s="254"/>
      <c r="M247" s="254"/>
      <c r="N247" s="228"/>
      <c r="O247" s="254"/>
      <c r="P247" s="295"/>
      <c r="Q247" s="230"/>
      <c r="R247" s="230"/>
      <c r="S247" s="203"/>
      <c r="T247" s="203"/>
      <c r="U247" s="203"/>
      <c r="V247" s="203"/>
      <c r="W247" s="203"/>
      <c r="X247" s="203"/>
      <c r="Y247" s="203"/>
      <c r="Z247" s="203"/>
      <c r="AA247" s="203"/>
      <c r="AB247" s="203"/>
      <c r="AC247" s="203"/>
      <c r="AD247" s="203"/>
      <c r="AE247" s="203"/>
      <c r="AF247" s="203"/>
      <c r="AG247" s="203"/>
      <c r="AH247" s="203"/>
      <c r="AI247" s="231"/>
    </row>
    <row r="248" spans="1:35" s="232" customFormat="1" ht="35.25" customHeight="1">
      <c r="A248" s="261" t="s">
        <v>664</v>
      </c>
      <c r="B248" s="94"/>
      <c r="C248" s="94"/>
      <c r="D248" s="95"/>
      <c r="E248" s="96"/>
      <c r="F248" s="96"/>
      <c r="G248" s="96"/>
      <c r="H248" s="96"/>
      <c r="I248" s="96"/>
      <c r="J248" s="96"/>
      <c r="K248" s="96"/>
      <c r="L248" s="96"/>
      <c r="M248" s="96"/>
      <c r="N248" s="228" t="s">
        <v>666</v>
      </c>
      <c r="O248" s="96"/>
      <c r="P248" s="295"/>
      <c r="Q248" s="230"/>
      <c r="R248" s="230"/>
      <c r="S248" s="203"/>
      <c r="T248" s="203"/>
      <c r="U248" s="203"/>
      <c r="V248" s="203"/>
      <c r="W248" s="203"/>
      <c r="X248" s="203"/>
      <c r="Y248" s="203"/>
      <c r="Z248" s="203"/>
      <c r="AA248" s="203"/>
      <c r="AB248" s="203"/>
      <c r="AC248" s="203"/>
      <c r="AD248" s="203"/>
      <c r="AE248" s="203"/>
      <c r="AF248" s="203"/>
      <c r="AG248" s="203"/>
      <c r="AH248" s="203"/>
      <c r="AI248" s="231"/>
    </row>
    <row r="249" spans="1:35" s="232" customFormat="1" ht="23.25" customHeight="1">
      <c r="A249" s="212"/>
      <c r="B249" s="212"/>
      <c r="C249" s="212"/>
      <c r="D249" s="206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205"/>
      <c r="P249" s="272"/>
      <c r="Q249" s="230"/>
      <c r="R249" s="230"/>
      <c r="S249" s="203"/>
      <c r="T249" s="203"/>
      <c r="U249" s="203"/>
      <c r="V249" s="203"/>
      <c r="W249" s="203"/>
      <c r="X249" s="203"/>
      <c r="Y249" s="203"/>
      <c r="Z249" s="203"/>
      <c r="AA249" s="203"/>
      <c r="AB249" s="203"/>
      <c r="AC249" s="203"/>
      <c r="AD249" s="203"/>
      <c r="AE249" s="203"/>
      <c r="AF249" s="203"/>
      <c r="AG249" s="203"/>
      <c r="AH249" s="203"/>
      <c r="AI249" s="231"/>
    </row>
    <row r="250" spans="1:35" s="21" customFormat="1" ht="29.25" customHeight="1">
      <c r="A250" s="266"/>
      <c r="B250" s="256"/>
      <c r="C250" s="256"/>
      <c r="D250" s="205"/>
      <c r="E250" s="205"/>
      <c r="F250" s="205"/>
      <c r="G250" s="205"/>
      <c r="H250" s="205"/>
      <c r="I250" s="205"/>
      <c r="J250" s="205"/>
      <c r="K250" s="205"/>
      <c r="L250" s="205"/>
      <c r="M250" s="205"/>
      <c r="N250" s="205"/>
      <c r="O250" s="205"/>
      <c r="P250" s="272"/>
      <c r="Q250" s="186"/>
      <c r="R250" s="186"/>
      <c r="S250" s="187"/>
      <c r="T250" s="187"/>
      <c r="U250" s="187"/>
      <c r="V250" s="187"/>
      <c r="W250" s="187"/>
      <c r="X250" s="187"/>
      <c r="Y250" s="187"/>
      <c r="Z250" s="187"/>
      <c r="AA250" s="187"/>
      <c r="AB250" s="187"/>
      <c r="AC250" s="187"/>
      <c r="AD250" s="187"/>
      <c r="AE250" s="187"/>
      <c r="AF250" s="187"/>
      <c r="AG250" s="187"/>
      <c r="AH250" s="187"/>
      <c r="AI250" s="188"/>
    </row>
    <row r="251" spans="1:35" s="207" customFormat="1" ht="27">
      <c r="A251" s="17"/>
      <c r="B251" s="6"/>
      <c r="C251" s="43"/>
      <c r="D251" s="57"/>
      <c r="E251" s="57"/>
      <c r="F251" s="16"/>
      <c r="G251" s="16"/>
      <c r="H251" s="16"/>
      <c r="I251" s="16"/>
      <c r="J251" s="20"/>
      <c r="K251" s="20"/>
      <c r="L251" s="16"/>
      <c r="M251" s="16"/>
      <c r="N251" s="16"/>
      <c r="O251" s="254"/>
      <c r="P251" s="272"/>
      <c r="Q251" s="233"/>
      <c r="R251" s="233"/>
      <c r="AI251" s="234"/>
    </row>
    <row r="252" spans="1:35" s="16" customFormat="1" ht="27" customHeight="1">
      <c r="A252" s="261"/>
      <c r="B252" s="94"/>
      <c r="C252" s="94"/>
      <c r="D252" s="95"/>
      <c r="E252" s="96"/>
      <c r="F252" s="96"/>
      <c r="G252" s="96"/>
      <c r="H252" s="96"/>
      <c r="I252" s="96"/>
      <c r="J252" s="96"/>
      <c r="K252" s="96"/>
      <c r="L252" s="96"/>
      <c r="M252" s="96"/>
      <c r="N252" s="228"/>
      <c r="O252" s="96"/>
      <c r="P252" s="272"/>
      <c r="Q252" s="186"/>
      <c r="R252" s="186"/>
      <c r="S252" s="131"/>
      <c r="T252" s="131"/>
      <c r="U252" s="131"/>
      <c r="V252" s="131"/>
      <c r="W252" s="131"/>
      <c r="X252" s="131"/>
      <c r="Y252" s="131"/>
      <c r="Z252" s="131"/>
      <c r="AA252" s="131"/>
      <c r="AB252" s="131"/>
      <c r="AC252" s="131"/>
      <c r="AD252" s="131"/>
      <c r="AE252" s="131"/>
      <c r="AF252" s="131"/>
      <c r="AG252" s="131"/>
      <c r="AH252" s="131"/>
      <c r="AI252" s="132"/>
    </row>
    <row r="253" spans="1:35" s="16" customFormat="1" ht="27.75">
      <c r="A253" s="212"/>
      <c r="B253" s="212"/>
      <c r="C253" s="212"/>
      <c r="D253" s="71"/>
      <c r="E253" s="227"/>
      <c r="F253" s="202"/>
      <c r="G253" s="202"/>
      <c r="H253" s="202"/>
      <c r="I253" s="202"/>
      <c r="J253" s="202"/>
      <c r="K253" s="202"/>
      <c r="L253" s="202"/>
      <c r="M253" s="296"/>
      <c r="N253" s="296"/>
      <c r="O253" s="296"/>
      <c r="P253" s="272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  <c r="AA253" s="131"/>
      <c r="AB253" s="131"/>
      <c r="AC253" s="131"/>
      <c r="AD253" s="131"/>
      <c r="AE253" s="131"/>
      <c r="AF253" s="131"/>
      <c r="AG253" s="131"/>
      <c r="AH253" s="131"/>
      <c r="AI253" s="132"/>
    </row>
    <row r="254" spans="1:35" s="16" customFormat="1" ht="26.25">
      <c r="A254" s="212"/>
      <c r="B254" s="212"/>
      <c r="C254" s="212"/>
      <c r="D254" s="26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P254" s="272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  <c r="AA254" s="131"/>
      <c r="AB254" s="131"/>
      <c r="AC254" s="131"/>
      <c r="AD254" s="131"/>
      <c r="AE254" s="131"/>
      <c r="AF254" s="131"/>
      <c r="AG254" s="131"/>
      <c r="AH254" s="131"/>
      <c r="AI254" s="132"/>
    </row>
    <row r="255" spans="1:35" s="16" customFormat="1" ht="27.75">
      <c r="A255" s="266"/>
      <c r="B255" s="256"/>
      <c r="C255" s="256"/>
      <c r="D255" s="205"/>
      <c r="E255" s="205"/>
      <c r="F255" s="205"/>
      <c r="G255" s="205"/>
      <c r="H255" s="205"/>
      <c r="I255" s="205"/>
      <c r="J255" s="205"/>
      <c r="K255" s="205"/>
      <c r="L255" s="205"/>
      <c r="M255" s="205"/>
      <c r="N255" s="205"/>
      <c r="P255" s="272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  <c r="AA255" s="131"/>
      <c r="AB255" s="131"/>
      <c r="AC255" s="131"/>
      <c r="AD255" s="131"/>
      <c r="AE255" s="131"/>
      <c r="AF255" s="131"/>
      <c r="AG255" s="131"/>
      <c r="AH255" s="131"/>
      <c r="AI255" s="132"/>
    </row>
    <row r="256" spans="1:35" s="16" customFormat="1" ht="15.75">
      <c r="A256" s="17"/>
      <c r="B256" s="6"/>
      <c r="C256" s="43"/>
      <c r="D256" s="57"/>
      <c r="E256" s="57"/>
      <c r="J256" s="56"/>
      <c r="K256" s="56"/>
      <c r="P256" s="272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  <c r="AA256" s="131"/>
      <c r="AB256" s="131"/>
      <c r="AC256" s="131"/>
      <c r="AD256" s="131"/>
      <c r="AE256" s="131"/>
      <c r="AF256" s="131"/>
      <c r="AG256" s="131"/>
      <c r="AH256" s="131"/>
      <c r="AI256" s="132"/>
    </row>
    <row r="257" spans="1:35" s="16" customFormat="1" ht="15.75">
      <c r="A257" s="17"/>
      <c r="B257" s="6"/>
      <c r="C257" s="43"/>
      <c r="J257" s="20"/>
      <c r="K257" s="20"/>
      <c r="P257" s="272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  <c r="AA257" s="131"/>
      <c r="AB257" s="131"/>
      <c r="AC257" s="131"/>
      <c r="AD257" s="131"/>
      <c r="AE257" s="131"/>
      <c r="AF257" s="131"/>
      <c r="AG257" s="131"/>
      <c r="AH257" s="131"/>
      <c r="AI257" s="132"/>
    </row>
    <row r="258" spans="1:35" s="16" customFormat="1" ht="15.75">
      <c r="A258" s="17"/>
      <c r="B258" s="6"/>
      <c r="C258" s="43"/>
      <c r="D258" s="56"/>
      <c r="J258" s="20"/>
      <c r="K258" s="20"/>
      <c r="P258" s="272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31"/>
      <c r="AD258" s="131"/>
      <c r="AE258" s="131"/>
      <c r="AF258" s="131"/>
      <c r="AG258" s="131"/>
      <c r="AH258" s="131"/>
      <c r="AI258" s="132"/>
    </row>
    <row r="259" spans="1:35" s="16" customFormat="1" ht="15.75">
      <c r="A259" s="17"/>
      <c r="B259" s="6"/>
      <c r="C259" s="43"/>
      <c r="D259" s="56"/>
      <c r="J259" s="20"/>
      <c r="K259" s="20"/>
      <c r="P259" s="272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131"/>
      <c r="AE259" s="131"/>
      <c r="AF259" s="131"/>
      <c r="AG259" s="131"/>
      <c r="AH259" s="131"/>
      <c r="AI259" s="132"/>
    </row>
    <row r="260" spans="1:35" s="16" customFormat="1" ht="15.75">
      <c r="A260" s="17"/>
      <c r="B260" s="6"/>
      <c r="C260" s="43"/>
      <c r="J260" s="20"/>
      <c r="K260" s="20"/>
      <c r="P260" s="272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  <c r="AA260" s="131"/>
      <c r="AB260" s="131"/>
      <c r="AC260" s="131"/>
      <c r="AD260" s="131"/>
      <c r="AE260" s="131"/>
      <c r="AF260" s="131"/>
      <c r="AG260" s="131"/>
      <c r="AH260" s="131"/>
      <c r="AI260" s="132"/>
    </row>
    <row r="261" spans="1:35" s="16" customFormat="1" ht="15.75">
      <c r="A261" s="17"/>
      <c r="B261" s="6"/>
      <c r="C261" s="43"/>
      <c r="J261" s="20"/>
      <c r="K261" s="20"/>
      <c r="P261" s="272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  <c r="AA261" s="131"/>
      <c r="AB261" s="131"/>
      <c r="AC261" s="131"/>
      <c r="AD261" s="131"/>
      <c r="AE261" s="131"/>
      <c r="AF261" s="131"/>
      <c r="AG261" s="131"/>
      <c r="AH261" s="131"/>
      <c r="AI261" s="132"/>
    </row>
    <row r="262" spans="1:35" s="16" customFormat="1" ht="15.75">
      <c r="A262" s="17"/>
      <c r="B262" s="6"/>
      <c r="C262" s="43"/>
      <c r="D262" s="56">
        <f>D243-D244-D234</f>
        <v>1180742610.3600001</v>
      </c>
      <c r="J262" s="20"/>
      <c r="K262" s="20"/>
      <c r="P262" s="272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  <c r="AA262" s="131"/>
      <c r="AB262" s="131"/>
      <c r="AC262" s="131"/>
      <c r="AD262" s="131"/>
      <c r="AE262" s="131"/>
      <c r="AF262" s="131"/>
      <c r="AG262" s="131"/>
      <c r="AH262" s="131"/>
      <c r="AI262" s="132"/>
    </row>
    <row r="263" spans="1:35" s="16" customFormat="1" ht="15.75">
      <c r="A263" s="17"/>
      <c r="B263" s="6"/>
      <c r="C263" s="43"/>
      <c r="D263" s="16">
        <v>259300600</v>
      </c>
      <c r="J263" s="20"/>
      <c r="K263" s="20"/>
      <c r="P263" s="272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  <c r="AA263" s="131"/>
      <c r="AB263" s="131"/>
      <c r="AC263" s="131"/>
      <c r="AD263" s="131"/>
      <c r="AE263" s="131"/>
      <c r="AF263" s="131"/>
      <c r="AG263" s="131"/>
      <c r="AH263" s="131"/>
      <c r="AI263" s="132"/>
    </row>
    <row r="264" spans="1:35" s="16" customFormat="1" ht="15.75">
      <c r="A264" s="17"/>
      <c r="B264" s="6"/>
      <c r="C264" s="43"/>
      <c r="D264" s="16">
        <v>213805600</v>
      </c>
      <c r="J264" s="20"/>
      <c r="K264" s="20"/>
      <c r="P264" s="272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  <c r="AA264" s="131"/>
      <c r="AB264" s="131"/>
      <c r="AC264" s="131"/>
      <c r="AD264" s="131"/>
      <c r="AE264" s="131"/>
      <c r="AF264" s="131"/>
      <c r="AG264" s="131"/>
      <c r="AH264" s="131"/>
      <c r="AI264" s="132"/>
    </row>
    <row r="265" spans="1:35" s="16" customFormat="1" ht="15.75">
      <c r="A265" s="17"/>
      <c r="B265" s="6"/>
      <c r="C265" s="43"/>
      <c r="D265" s="56">
        <f>D262+D263+D264</f>
        <v>1653848810.3600001</v>
      </c>
      <c r="J265" s="20"/>
      <c r="K265" s="20"/>
      <c r="P265" s="272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  <c r="AA265" s="131"/>
      <c r="AB265" s="131"/>
      <c r="AC265" s="131"/>
      <c r="AD265" s="131"/>
      <c r="AE265" s="131"/>
      <c r="AF265" s="131"/>
      <c r="AG265" s="131"/>
      <c r="AH265" s="131"/>
      <c r="AI265" s="132"/>
    </row>
    <row r="266" spans="1:35" s="16" customFormat="1" ht="15.75">
      <c r="A266" s="17"/>
      <c r="B266" s="6"/>
      <c r="C266" s="43"/>
      <c r="P266" s="272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  <c r="AA266" s="131"/>
      <c r="AB266" s="131"/>
      <c r="AC266" s="131"/>
      <c r="AD266" s="131"/>
      <c r="AE266" s="131"/>
      <c r="AF266" s="131"/>
      <c r="AG266" s="131"/>
      <c r="AH266" s="131"/>
      <c r="AI266" s="132"/>
    </row>
    <row r="267" spans="1:35" s="16" customFormat="1" ht="15.75">
      <c r="A267" s="17"/>
      <c r="B267" s="6"/>
      <c r="C267" s="43"/>
      <c r="P267" s="272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  <c r="AA267" s="131"/>
      <c r="AB267" s="131"/>
      <c r="AC267" s="131"/>
      <c r="AD267" s="131"/>
      <c r="AE267" s="131"/>
      <c r="AF267" s="131"/>
      <c r="AG267" s="131"/>
      <c r="AH267" s="131"/>
      <c r="AI267" s="132"/>
    </row>
    <row r="268" spans="1:35" s="16" customFormat="1" ht="27.75">
      <c r="A268" s="273"/>
      <c r="B268" s="274"/>
      <c r="C268" s="274"/>
      <c r="D268" s="229"/>
      <c r="E268" s="202"/>
      <c r="F268" s="202"/>
      <c r="G268" s="202"/>
      <c r="H268" s="202"/>
      <c r="I268" s="202"/>
      <c r="J268" s="202"/>
      <c r="K268" s="202"/>
      <c r="L268" s="202"/>
      <c r="M268" s="228"/>
      <c r="N268" s="205"/>
      <c r="P268" s="272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  <c r="AA268" s="131"/>
      <c r="AB268" s="131"/>
      <c r="AC268" s="131"/>
      <c r="AD268" s="131"/>
      <c r="AE268" s="131"/>
      <c r="AF268" s="131"/>
      <c r="AG268" s="131"/>
      <c r="AH268" s="131"/>
      <c r="AI268" s="132"/>
    </row>
    <row r="269" spans="1:35" s="16" customFormat="1" ht="27.75">
      <c r="A269" s="203"/>
      <c r="B269" s="226"/>
      <c r="C269" s="226"/>
      <c r="D269" s="226"/>
      <c r="E269" s="226"/>
      <c r="F269" s="226"/>
      <c r="G269" s="226"/>
      <c r="H269" s="226"/>
      <c r="I269" s="202"/>
      <c r="J269" s="202"/>
      <c r="K269" s="204"/>
      <c r="L269" s="202"/>
      <c r="M269" s="205"/>
      <c r="N269" s="205"/>
      <c r="P269" s="272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  <c r="AA269" s="131"/>
      <c r="AB269" s="131"/>
      <c r="AC269" s="131"/>
      <c r="AD269" s="131"/>
      <c r="AE269" s="131"/>
      <c r="AF269" s="131"/>
      <c r="AG269" s="131"/>
      <c r="AH269" s="131"/>
      <c r="AI269" s="132"/>
    </row>
    <row r="270" spans="1:35" s="16" customFormat="1" ht="26.25">
      <c r="A270" s="297"/>
      <c r="B270" s="297"/>
      <c r="C270" s="297"/>
      <c r="D270" s="206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P270" s="272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  <c r="AA270" s="131"/>
      <c r="AB270" s="131"/>
      <c r="AC270" s="131"/>
      <c r="AD270" s="131"/>
      <c r="AE270" s="131"/>
      <c r="AF270" s="131"/>
      <c r="AG270" s="131"/>
      <c r="AH270" s="131"/>
      <c r="AI270" s="132"/>
    </row>
    <row r="271" spans="1:35" s="16" customFormat="1" ht="27.75">
      <c r="A271" s="255"/>
      <c r="B271" s="256"/>
      <c r="C271" s="256"/>
      <c r="D271" s="205"/>
      <c r="E271" s="205"/>
      <c r="F271" s="205"/>
      <c r="G271" s="205"/>
      <c r="H271" s="205"/>
      <c r="I271" s="205"/>
      <c r="J271" s="205"/>
      <c r="K271" s="205"/>
      <c r="L271" s="205"/>
      <c r="M271" s="205"/>
      <c r="N271" s="205"/>
      <c r="P271" s="272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  <c r="AA271" s="131"/>
      <c r="AB271" s="131"/>
      <c r="AC271" s="131"/>
      <c r="AD271" s="131"/>
      <c r="AE271" s="131"/>
      <c r="AF271" s="131"/>
      <c r="AG271" s="131"/>
      <c r="AH271" s="131"/>
      <c r="AI271" s="132"/>
    </row>
    <row r="272" spans="1:35" s="16" customFormat="1" ht="15.75">
      <c r="A272" s="17"/>
      <c r="B272" s="6"/>
      <c r="C272" s="43"/>
      <c r="D272" s="57"/>
      <c r="E272" s="57"/>
      <c r="J272" s="20"/>
      <c r="K272" s="20"/>
      <c r="P272" s="272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  <c r="AA272" s="131"/>
      <c r="AB272" s="131"/>
      <c r="AC272" s="131"/>
      <c r="AD272" s="131"/>
      <c r="AE272" s="131"/>
      <c r="AF272" s="131"/>
      <c r="AG272" s="131"/>
      <c r="AH272" s="131"/>
      <c r="AI272" s="132"/>
    </row>
    <row r="273" spans="1:35" s="16" customFormat="1" ht="15.75">
      <c r="A273" s="17"/>
      <c r="B273" s="6"/>
      <c r="C273" s="43"/>
      <c r="J273" s="20"/>
      <c r="K273" s="20"/>
      <c r="P273" s="272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  <c r="AA273" s="131"/>
      <c r="AB273" s="131"/>
      <c r="AC273" s="131"/>
      <c r="AD273" s="131"/>
      <c r="AE273" s="131"/>
      <c r="AF273" s="131"/>
      <c r="AG273" s="131"/>
      <c r="AH273" s="131"/>
      <c r="AI273" s="132"/>
    </row>
    <row r="274" spans="1:35" s="16" customFormat="1" ht="15.75">
      <c r="A274" s="17"/>
      <c r="B274" s="6"/>
      <c r="C274" s="43"/>
      <c r="P274" s="272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  <c r="AA274" s="131"/>
      <c r="AB274" s="131"/>
      <c r="AC274" s="131"/>
      <c r="AD274" s="131"/>
      <c r="AE274" s="131"/>
      <c r="AF274" s="131"/>
      <c r="AG274" s="131"/>
      <c r="AH274" s="131"/>
      <c r="AI274" s="132"/>
    </row>
    <row r="275" spans="1:35" s="16" customFormat="1" ht="15.75">
      <c r="A275" s="17"/>
      <c r="B275" s="6"/>
      <c r="C275" s="43"/>
      <c r="P275" s="272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  <c r="AA275" s="131"/>
      <c r="AB275" s="131"/>
      <c r="AC275" s="131"/>
      <c r="AD275" s="131"/>
      <c r="AE275" s="131"/>
      <c r="AF275" s="131"/>
      <c r="AG275" s="131"/>
      <c r="AH275" s="131"/>
      <c r="AI275" s="132"/>
    </row>
    <row r="276" spans="1:35" s="16" customFormat="1" ht="15.75">
      <c r="A276" s="17"/>
      <c r="B276" s="6"/>
      <c r="C276" s="43"/>
      <c r="P276" s="272"/>
      <c r="Q276" s="131"/>
      <c r="R276" s="131"/>
      <c r="S276" s="131"/>
      <c r="T276" s="131"/>
      <c r="U276" s="131"/>
      <c r="V276" s="131"/>
      <c r="W276" s="131"/>
      <c r="X276" s="131"/>
      <c r="Y276" s="131"/>
      <c r="Z276" s="131"/>
      <c r="AA276" s="131"/>
      <c r="AB276" s="131"/>
      <c r="AC276" s="131"/>
      <c r="AD276" s="131"/>
      <c r="AE276" s="131"/>
      <c r="AF276" s="131"/>
      <c r="AG276" s="131"/>
      <c r="AH276" s="131"/>
      <c r="AI276" s="132"/>
    </row>
    <row r="277" spans="1:35" s="16" customFormat="1" ht="15.75">
      <c r="A277" s="17"/>
      <c r="B277" s="6"/>
      <c r="C277" s="43"/>
      <c r="P277" s="272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  <c r="AA277" s="131"/>
      <c r="AB277" s="131"/>
      <c r="AC277" s="131"/>
      <c r="AD277" s="131"/>
      <c r="AE277" s="131"/>
      <c r="AF277" s="131"/>
      <c r="AG277" s="131"/>
      <c r="AH277" s="131"/>
      <c r="AI277" s="132"/>
    </row>
    <row r="278" spans="1:35" s="16" customFormat="1" ht="15.75">
      <c r="A278" s="17"/>
      <c r="B278" s="6"/>
      <c r="C278" s="43"/>
      <c r="P278" s="272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  <c r="AA278" s="131"/>
      <c r="AB278" s="131"/>
      <c r="AC278" s="131"/>
      <c r="AD278" s="131"/>
      <c r="AE278" s="131"/>
      <c r="AF278" s="131"/>
      <c r="AG278" s="131"/>
      <c r="AH278" s="131"/>
      <c r="AI278" s="132"/>
    </row>
    <row r="279" spans="1:35" s="16" customFormat="1" ht="15.75">
      <c r="A279" s="17"/>
      <c r="B279" s="6"/>
      <c r="C279" s="43"/>
      <c r="P279" s="272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  <c r="AA279" s="131"/>
      <c r="AB279" s="131"/>
      <c r="AC279" s="131"/>
      <c r="AD279" s="131"/>
      <c r="AE279" s="131"/>
      <c r="AF279" s="131"/>
      <c r="AG279" s="131"/>
      <c r="AH279" s="131"/>
      <c r="AI279" s="132"/>
    </row>
    <row r="280" spans="1:35" s="16" customFormat="1" ht="15.75">
      <c r="A280" s="17"/>
      <c r="B280" s="6"/>
      <c r="C280" s="43"/>
      <c r="P280" s="272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  <c r="AA280" s="131"/>
      <c r="AB280" s="131"/>
      <c r="AC280" s="131"/>
      <c r="AD280" s="131"/>
      <c r="AE280" s="131"/>
      <c r="AF280" s="131"/>
      <c r="AG280" s="131"/>
      <c r="AH280" s="131"/>
      <c r="AI280" s="132"/>
    </row>
    <row r="281" spans="1:35" s="16" customFormat="1" ht="15.75">
      <c r="A281" s="17"/>
      <c r="B281" s="6"/>
      <c r="C281" s="43"/>
      <c r="P281" s="272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  <c r="AA281" s="131"/>
      <c r="AB281" s="131"/>
      <c r="AC281" s="131"/>
      <c r="AD281" s="131"/>
      <c r="AE281" s="131"/>
      <c r="AF281" s="131"/>
      <c r="AG281" s="131"/>
      <c r="AH281" s="131"/>
      <c r="AI281" s="132"/>
    </row>
    <row r="282" spans="1:35" s="16" customFormat="1" ht="15.75">
      <c r="A282" s="17"/>
      <c r="B282" s="6"/>
      <c r="C282" s="43"/>
      <c r="P282" s="272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  <c r="AA282" s="131"/>
      <c r="AB282" s="131"/>
      <c r="AC282" s="131"/>
      <c r="AD282" s="131"/>
      <c r="AE282" s="131"/>
      <c r="AF282" s="131"/>
      <c r="AG282" s="131"/>
      <c r="AH282" s="131"/>
      <c r="AI282" s="132"/>
    </row>
    <row r="283" spans="1:35" s="16" customFormat="1" ht="15.75">
      <c r="A283" s="17"/>
      <c r="B283" s="6"/>
      <c r="C283" s="43"/>
      <c r="P283" s="272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  <c r="AA283" s="131"/>
      <c r="AB283" s="131"/>
      <c r="AC283" s="131"/>
      <c r="AD283" s="131"/>
      <c r="AE283" s="131"/>
      <c r="AF283" s="131"/>
      <c r="AG283" s="131"/>
      <c r="AH283" s="131"/>
      <c r="AI283" s="132"/>
    </row>
    <row r="284" spans="1:35" s="16" customFormat="1" ht="15.75">
      <c r="A284" s="17"/>
      <c r="B284" s="6"/>
      <c r="C284" s="43"/>
      <c r="P284" s="272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  <c r="AA284" s="131"/>
      <c r="AB284" s="131"/>
      <c r="AC284" s="131"/>
      <c r="AD284" s="131"/>
      <c r="AE284" s="131"/>
      <c r="AF284" s="131"/>
      <c r="AG284" s="131"/>
      <c r="AH284" s="131"/>
      <c r="AI284" s="132"/>
    </row>
    <row r="285" spans="1:35" s="16" customFormat="1" ht="15.75">
      <c r="A285" s="17"/>
      <c r="B285" s="6"/>
      <c r="C285" s="43"/>
      <c r="P285" s="272"/>
      <c r="Q285" s="131"/>
      <c r="R285" s="131"/>
      <c r="S285" s="131"/>
      <c r="T285" s="131"/>
      <c r="U285" s="131"/>
      <c r="V285" s="131"/>
      <c r="W285" s="131"/>
      <c r="X285" s="131"/>
      <c r="Y285" s="131"/>
      <c r="Z285" s="131"/>
      <c r="AA285" s="131"/>
      <c r="AB285" s="131"/>
      <c r="AC285" s="131"/>
      <c r="AD285" s="131"/>
      <c r="AE285" s="131"/>
      <c r="AF285" s="131"/>
      <c r="AG285" s="131"/>
      <c r="AH285" s="131"/>
      <c r="AI285" s="132"/>
    </row>
    <row r="286" spans="1:35" s="16" customFormat="1" ht="15.75">
      <c r="A286" s="17"/>
      <c r="B286" s="6"/>
      <c r="C286" s="43"/>
      <c r="P286" s="199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  <c r="AA286" s="131"/>
      <c r="AB286" s="131"/>
      <c r="AC286" s="131"/>
      <c r="AD286" s="131"/>
      <c r="AE286" s="131"/>
      <c r="AF286" s="131"/>
      <c r="AG286" s="131"/>
      <c r="AH286" s="131"/>
      <c r="AI286" s="132"/>
    </row>
    <row r="287" spans="1:35" s="16" customFormat="1" ht="15.75">
      <c r="A287" s="17"/>
      <c r="B287" s="6"/>
      <c r="C287" s="43"/>
      <c r="P287" s="199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  <c r="AA287" s="131"/>
      <c r="AB287" s="131"/>
      <c r="AC287" s="131"/>
      <c r="AD287" s="131"/>
      <c r="AE287" s="131"/>
      <c r="AF287" s="131"/>
      <c r="AG287" s="131"/>
      <c r="AH287" s="131"/>
      <c r="AI287" s="132"/>
    </row>
    <row r="288" spans="1:35" s="16" customFormat="1" ht="15.75">
      <c r="A288" s="17"/>
      <c r="B288" s="6"/>
      <c r="C288" s="43"/>
      <c r="P288" s="199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  <c r="AA288" s="131"/>
      <c r="AB288" s="131"/>
      <c r="AC288" s="131"/>
      <c r="AD288" s="131"/>
      <c r="AE288" s="131"/>
      <c r="AF288" s="131"/>
      <c r="AG288" s="131"/>
      <c r="AH288" s="131"/>
      <c r="AI288" s="132"/>
    </row>
    <row r="289" spans="1:35" s="16" customFormat="1" ht="15.75">
      <c r="A289" s="17"/>
      <c r="B289" s="6"/>
      <c r="C289" s="43"/>
      <c r="P289" s="199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  <c r="AA289" s="131"/>
      <c r="AB289" s="131"/>
      <c r="AC289" s="131"/>
      <c r="AD289" s="131"/>
      <c r="AE289" s="131"/>
      <c r="AF289" s="131"/>
      <c r="AG289" s="131"/>
      <c r="AH289" s="131"/>
      <c r="AI289" s="132"/>
    </row>
    <row r="290" spans="1:35" s="16" customFormat="1" ht="15.75">
      <c r="A290" s="17"/>
      <c r="B290" s="6"/>
      <c r="C290" s="43"/>
      <c r="P290" s="199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  <c r="AA290" s="131"/>
      <c r="AB290" s="131"/>
      <c r="AC290" s="131"/>
      <c r="AD290" s="131"/>
      <c r="AE290" s="131"/>
      <c r="AF290" s="131"/>
      <c r="AG290" s="131"/>
      <c r="AH290" s="131"/>
      <c r="AI290" s="132"/>
    </row>
    <row r="291" spans="1:35" s="16" customFormat="1" ht="15.75">
      <c r="A291" s="17"/>
      <c r="B291" s="6"/>
      <c r="C291" s="43"/>
      <c r="P291" s="199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  <c r="AA291" s="131"/>
      <c r="AB291" s="131"/>
      <c r="AC291" s="131"/>
      <c r="AD291" s="131"/>
      <c r="AE291" s="131"/>
      <c r="AF291" s="131"/>
      <c r="AG291" s="131"/>
      <c r="AH291" s="131"/>
      <c r="AI291" s="132"/>
    </row>
    <row r="292" spans="1:35" s="16" customFormat="1" ht="15.75">
      <c r="A292" s="17"/>
      <c r="B292" s="6"/>
      <c r="C292" s="43"/>
      <c r="P292" s="199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  <c r="AA292" s="131"/>
      <c r="AB292" s="131"/>
      <c r="AC292" s="131"/>
      <c r="AD292" s="131"/>
      <c r="AE292" s="131"/>
      <c r="AF292" s="131"/>
      <c r="AG292" s="131"/>
      <c r="AH292" s="131"/>
      <c r="AI292" s="132"/>
    </row>
    <row r="293" spans="1:35" s="16" customFormat="1" ht="15.75">
      <c r="A293" s="17"/>
      <c r="B293" s="6"/>
      <c r="C293" s="43"/>
      <c r="P293" s="199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  <c r="AA293" s="131"/>
      <c r="AB293" s="131"/>
      <c r="AC293" s="131"/>
      <c r="AD293" s="131"/>
      <c r="AE293" s="131"/>
      <c r="AF293" s="131"/>
      <c r="AG293" s="131"/>
      <c r="AH293" s="131"/>
      <c r="AI293" s="132"/>
    </row>
    <row r="294" spans="1:35" s="16" customFormat="1" ht="15.75">
      <c r="A294" s="17"/>
      <c r="B294" s="6"/>
      <c r="C294" s="43"/>
      <c r="P294" s="199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  <c r="AA294" s="131"/>
      <c r="AB294" s="131"/>
      <c r="AC294" s="131"/>
      <c r="AD294" s="131"/>
      <c r="AE294" s="131"/>
      <c r="AF294" s="131"/>
      <c r="AG294" s="131"/>
      <c r="AH294" s="131"/>
      <c r="AI294" s="132"/>
    </row>
    <row r="295" spans="1:35" s="16" customFormat="1" ht="15.75">
      <c r="A295" s="17"/>
      <c r="B295" s="6"/>
      <c r="C295" s="43"/>
      <c r="P295" s="199"/>
      <c r="Q295" s="131"/>
      <c r="R295" s="131"/>
      <c r="S295" s="131"/>
      <c r="T295" s="131"/>
      <c r="U295" s="131"/>
      <c r="V295" s="131"/>
      <c r="W295" s="131"/>
      <c r="X295" s="131"/>
      <c r="Y295" s="131"/>
      <c r="Z295" s="131"/>
      <c r="AA295" s="131"/>
      <c r="AB295" s="131"/>
      <c r="AC295" s="131"/>
      <c r="AD295" s="131"/>
      <c r="AE295" s="131"/>
      <c r="AF295" s="131"/>
      <c r="AG295" s="131"/>
      <c r="AH295" s="131"/>
      <c r="AI295" s="132"/>
    </row>
    <row r="296" spans="1:35" s="16" customFormat="1" ht="15.75">
      <c r="A296" s="17"/>
      <c r="B296" s="6"/>
      <c r="C296" s="43"/>
      <c r="P296" s="199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  <c r="AA296" s="131"/>
      <c r="AB296" s="131"/>
      <c r="AC296" s="131"/>
      <c r="AD296" s="131"/>
      <c r="AE296" s="131"/>
      <c r="AF296" s="131"/>
      <c r="AG296" s="131"/>
      <c r="AH296" s="131"/>
      <c r="AI296" s="132"/>
    </row>
    <row r="297" spans="1:35" s="16" customFormat="1" ht="15.75">
      <c r="A297" s="17"/>
      <c r="B297" s="6"/>
      <c r="C297" s="43"/>
      <c r="P297" s="199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  <c r="AA297" s="131"/>
      <c r="AB297" s="131"/>
      <c r="AC297" s="131"/>
      <c r="AD297" s="131"/>
      <c r="AE297" s="131"/>
      <c r="AF297" s="131"/>
      <c r="AG297" s="131"/>
      <c r="AH297" s="131"/>
      <c r="AI297" s="132"/>
    </row>
    <row r="298" spans="1:35" s="16" customFormat="1" ht="15.75">
      <c r="A298" s="17"/>
      <c r="B298" s="6"/>
      <c r="C298" s="43"/>
      <c r="P298" s="199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  <c r="AA298" s="131"/>
      <c r="AB298" s="131"/>
      <c r="AC298" s="131"/>
      <c r="AD298" s="131"/>
      <c r="AE298" s="131"/>
      <c r="AF298" s="131"/>
      <c r="AG298" s="131"/>
      <c r="AH298" s="131"/>
      <c r="AI298" s="132"/>
    </row>
    <row r="299" spans="1:35" s="16" customFormat="1" ht="15.75">
      <c r="A299" s="17"/>
      <c r="B299" s="6"/>
      <c r="C299" s="43"/>
      <c r="P299" s="199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  <c r="AA299" s="131"/>
      <c r="AB299" s="131"/>
      <c r="AC299" s="131"/>
      <c r="AD299" s="131"/>
      <c r="AE299" s="131"/>
      <c r="AF299" s="131"/>
      <c r="AG299" s="131"/>
      <c r="AH299" s="131"/>
      <c r="AI299" s="132"/>
    </row>
    <row r="300" spans="1:35" s="16" customFormat="1" ht="15.75">
      <c r="A300" s="17"/>
      <c r="B300" s="6"/>
      <c r="C300" s="43"/>
      <c r="P300" s="199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  <c r="AA300" s="131"/>
      <c r="AB300" s="131"/>
      <c r="AC300" s="131"/>
      <c r="AD300" s="131"/>
      <c r="AE300" s="131"/>
      <c r="AF300" s="131"/>
      <c r="AG300" s="131"/>
      <c r="AH300" s="131"/>
      <c r="AI300" s="132"/>
    </row>
    <row r="301" spans="1:35" s="16" customFormat="1" ht="15.75">
      <c r="A301" s="17"/>
      <c r="B301" s="6"/>
      <c r="C301" s="43"/>
      <c r="P301" s="199"/>
      <c r="Q301" s="131"/>
      <c r="R301" s="131"/>
      <c r="S301" s="131"/>
      <c r="T301" s="131"/>
      <c r="U301" s="131"/>
      <c r="V301" s="131"/>
      <c r="W301" s="131"/>
      <c r="X301" s="131"/>
      <c r="Y301" s="131"/>
      <c r="Z301" s="131"/>
      <c r="AA301" s="131"/>
      <c r="AB301" s="131"/>
      <c r="AC301" s="131"/>
      <c r="AD301" s="131"/>
      <c r="AE301" s="131"/>
      <c r="AF301" s="131"/>
      <c r="AG301" s="131"/>
      <c r="AH301" s="131"/>
      <c r="AI301" s="132"/>
    </row>
    <row r="302" spans="1:35" s="16" customFormat="1" ht="15.75">
      <c r="A302" s="17"/>
      <c r="B302" s="6"/>
      <c r="C302" s="43"/>
      <c r="P302" s="199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  <c r="AA302" s="131"/>
      <c r="AB302" s="131"/>
      <c r="AC302" s="131"/>
      <c r="AD302" s="131"/>
      <c r="AE302" s="131"/>
      <c r="AF302" s="131"/>
      <c r="AG302" s="131"/>
      <c r="AH302" s="131"/>
      <c r="AI302" s="132"/>
    </row>
    <row r="303" spans="1:35" s="16" customFormat="1" ht="15.75">
      <c r="A303" s="17"/>
      <c r="B303" s="6"/>
      <c r="C303" s="43"/>
      <c r="P303" s="199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  <c r="AA303" s="131"/>
      <c r="AB303" s="131"/>
      <c r="AC303" s="131"/>
      <c r="AD303" s="131"/>
      <c r="AE303" s="131"/>
      <c r="AF303" s="131"/>
      <c r="AG303" s="131"/>
      <c r="AH303" s="131"/>
      <c r="AI303" s="132"/>
    </row>
    <row r="304" spans="1:35" s="16" customFormat="1" ht="15.75">
      <c r="A304" s="17"/>
      <c r="B304" s="6"/>
      <c r="C304" s="43"/>
      <c r="P304" s="199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  <c r="AA304" s="131"/>
      <c r="AB304" s="131"/>
      <c r="AC304" s="131"/>
      <c r="AD304" s="131"/>
      <c r="AE304" s="131"/>
      <c r="AF304" s="131"/>
      <c r="AG304" s="131"/>
      <c r="AH304" s="131"/>
      <c r="AI304" s="132"/>
    </row>
    <row r="305" spans="1:35" s="16" customFormat="1" ht="15.75">
      <c r="A305" s="17"/>
      <c r="B305" s="6"/>
      <c r="C305" s="43"/>
      <c r="P305" s="199"/>
      <c r="Q305" s="131"/>
      <c r="R305" s="131"/>
      <c r="S305" s="131"/>
      <c r="T305" s="131"/>
      <c r="U305" s="131"/>
      <c r="V305" s="131"/>
      <c r="W305" s="131"/>
      <c r="X305" s="131"/>
      <c r="Y305" s="131"/>
      <c r="Z305" s="131"/>
      <c r="AA305" s="131"/>
      <c r="AB305" s="131"/>
      <c r="AC305" s="131"/>
      <c r="AD305" s="131"/>
      <c r="AE305" s="131"/>
      <c r="AF305" s="131"/>
      <c r="AG305" s="131"/>
      <c r="AH305" s="131"/>
      <c r="AI305" s="132"/>
    </row>
    <row r="306" spans="1:35" s="16" customFormat="1" ht="15.75">
      <c r="A306" s="17"/>
      <c r="B306" s="6"/>
      <c r="C306" s="43"/>
      <c r="P306" s="199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  <c r="AA306" s="131"/>
      <c r="AB306" s="131"/>
      <c r="AC306" s="131"/>
      <c r="AD306" s="131"/>
      <c r="AE306" s="131"/>
      <c r="AF306" s="131"/>
      <c r="AG306" s="131"/>
      <c r="AH306" s="131"/>
      <c r="AI306" s="132"/>
    </row>
    <row r="307" spans="1:35" s="16" customFormat="1" ht="15.75">
      <c r="A307" s="17"/>
      <c r="B307" s="6"/>
      <c r="C307" s="43"/>
      <c r="P307" s="199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  <c r="AA307" s="131"/>
      <c r="AB307" s="131"/>
      <c r="AC307" s="131"/>
      <c r="AD307" s="131"/>
      <c r="AE307" s="131"/>
      <c r="AF307" s="131"/>
      <c r="AG307" s="131"/>
      <c r="AH307" s="131"/>
      <c r="AI307" s="132"/>
    </row>
    <row r="308" spans="1:35" s="16" customFormat="1" ht="15.75">
      <c r="A308" s="17"/>
      <c r="B308" s="6"/>
      <c r="C308" s="43"/>
      <c r="P308" s="199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  <c r="AA308" s="131"/>
      <c r="AB308" s="131"/>
      <c r="AC308" s="131"/>
      <c r="AD308" s="131"/>
      <c r="AE308" s="131"/>
      <c r="AF308" s="131"/>
      <c r="AG308" s="131"/>
      <c r="AH308" s="131"/>
      <c r="AI308" s="132"/>
    </row>
    <row r="309" spans="1:35" s="16" customFormat="1" ht="15.75">
      <c r="A309" s="17"/>
      <c r="B309" s="6"/>
      <c r="C309" s="43"/>
      <c r="P309" s="199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  <c r="AA309" s="131"/>
      <c r="AB309" s="131"/>
      <c r="AC309" s="131"/>
      <c r="AD309" s="131"/>
      <c r="AE309" s="131"/>
      <c r="AF309" s="131"/>
      <c r="AG309" s="131"/>
      <c r="AH309" s="131"/>
      <c r="AI309" s="132"/>
    </row>
    <row r="310" spans="1:35" s="16" customFormat="1" ht="15.75">
      <c r="A310" s="17"/>
      <c r="B310" s="6"/>
      <c r="C310" s="43"/>
      <c r="P310" s="199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  <c r="AA310" s="131"/>
      <c r="AB310" s="131"/>
      <c r="AC310" s="131"/>
      <c r="AD310" s="131"/>
      <c r="AE310" s="131"/>
      <c r="AF310" s="131"/>
      <c r="AG310" s="131"/>
      <c r="AH310" s="131"/>
      <c r="AI310" s="132"/>
    </row>
    <row r="311" spans="1:35" s="16" customFormat="1" ht="15.75">
      <c r="A311" s="17"/>
      <c r="B311" s="6"/>
      <c r="C311" s="43"/>
      <c r="P311" s="199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  <c r="AA311" s="131"/>
      <c r="AB311" s="131"/>
      <c r="AC311" s="131"/>
      <c r="AD311" s="131"/>
      <c r="AE311" s="131"/>
      <c r="AF311" s="131"/>
      <c r="AG311" s="131"/>
      <c r="AH311" s="131"/>
      <c r="AI311" s="132"/>
    </row>
    <row r="312" spans="1:35" s="16" customFormat="1" ht="15.75">
      <c r="A312" s="17"/>
      <c r="B312" s="6"/>
      <c r="C312" s="43"/>
      <c r="P312" s="199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  <c r="AA312" s="131"/>
      <c r="AB312" s="131"/>
      <c r="AC312" s="131"/>
      <c r="AD312" s="131"/>
      <c r="AE312" s="131"/>
      <c r="AF312" s="131"/>
      <c r="AG312" s="131"/>
      <c r="AH312" s="131"/>
      <c r="AI312" s="132"/>
    </row>
    <row r="313" spans="1:35" s="16" customFormat="1" ht="15.75">
      <c r="A313" s="17"/>
      <c r="B313" s="6"/>
      <c r="C313" s="43"/>
      <c r="P313" s="199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  <c r="AA313" s="131"/>
      <c r="AB313" s="131"/>
      <c r="AC313" s="131"/>
      <c r="AD313" s="131"/>
      <c r="AE313" s="131"/>
      <c r="AF313" s="131"/>
      <c r="AG313" s="131"/>
      <c r="AH313" s="131"/>
      <c r="AI313" s="132"/>
    </row>
    <row r="314" spans="1:35" s="16" customFormat="1" ht="15.75">
      <c r="A314" s="17"/>
      <c r="B314" s="6"/>
      <c r="C314" s="43"/>
      <c r="P314" s="199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  <c r="AA314" s="131"/>
      <c r="AB314" s="131"/>
      <c r="AC314" s="131"/>
      <c r="AD314" s="131"/>
      <c r="AE314" s="131"/>
      <c r="AF314" s="131"/>
      <c r="AG314" s="131"/>
      <c r="AH314" s="131"/>
      <c r="AI314" s="132"/>
    </row>
    <row r="315" spans="1:35" s="16" customFormat="1" ht="15.75">
      <c r="A315" s="17"/>
      <c r="B315" s="6"/>
      <c r="C315" s="43"/>
      <c r="P315" s="199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  <c r="AA315" s="131"/>
      <c r="AB315" s="131"/>
      <c r="AC315" s="131"/>
      <c r="AD315" s="131"/>
      <c r="AE315" s="131"/>
      <c r="AF315" s="131"/>
      <c r="AG315" s="131"/>
      <c r="AH315" s="131"/>
      <c r="AI315" s="132"/>
    </row>
    <row r="316" spans="1:35" s="16" customFormat="1" ht="15.75">
      <c r="A316" s="17"/>
      <c r="B316" s="6"/>
      <c r="C316" s="43"/>
      <c r="P316" s="199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  <c r="AA316" s="131"/>
      <c r="AB316" s="131"/>
      <c r="AC316" s="131"/>
      <c r="AD316" s="131"/>
      <c r="AE316" s="131"/>
      <c r="AF316" s="131"/>
      <c r="AG316" s="131"/>
      <c r="AH316" s="131"/>
      <c r="AI316" s="132"/>
    </row>
    <row r="317" spans="1:35" s="16" customFormat="1" ht="15.75">
      <c r="A317" s="17"/>
      <c r="B317" s="6"/>
      <c r="C317" s="43"/>
      <c r="P317" s="199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  <c r="AA317" s="131"/>
      <c r="AB317" s="131"/>
      <c r="AC317" s="131"/>
      <c r="AD317" s="131"/>
      <c r="AE317" s="131"/>
      <c r="AF317" s="131"/>
      <c r="AG317" s="131"/>
      <c r="AH317" s="131"/>
      <c r="AI317" s="132"/>
    </row>
    <row r="318" spans="1:35" s="16" customFormat="1" ht="15.75">
      <c r="A318" s="17"/>
      <c r="B318" s="6"/>
      <c r="C318" s="43"/>
      <c r="P318" s="199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  <c r="AA318" s="131"/>
      <c r="AB318" s="131"/>
      <c r="AC318" s="131"/>
      <c r="AD318" s="131"/>
      <c r="AE318" s="131"/>
      <c r="AF318" s="131"/>
      <c r="AG318" s="131"/>
      <c r="AH318" s="131"/>
      <c r="AI318" s="132"/>
    </row>
    <row r="319" spans="1:35" s="16" customFormat="1" ht="15.75">
      <c r="A319" s="17"/>
      <c r="B319" s="6"/>
      <c r="C319" s="43"/>
      <c r="P319" s="199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  <c r="AA319" s="131"/>
      <c r="AB319" s="131"/>
      <c r="AC319" s="131"/>
      <c r="AD319" s="131"/>
      <c r="AE319" s="131"/>
      <c r="AF319" s="131"/>
      <c r="AG319" s="131"/>
      <c r="AH319" s="131"/>
      <c r="AI319" s="132"/>
    </row>
    <row r="320" spans="1:35" s="16" customFormat="1" ht="15.75">
      <c r="A320" s="17"/>
      <c r="B320" s="6"/>
      <c r="C320" s="43"/>
      <c r="P320" s="199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132"/>
    </row>
    <row r="321" spans="1:35" s="16" customFormat="1" ht="15.75">
      <c r="A321" s="17"/>
      <c r="B321" s="6"/>
      <c r="C321" s="43"/>
      <c r="P321" s="199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132"/>
    </row>
    <row r="322" spans="1:35" s="16" customFormat="1" ht="15.75">
      <c r="A322" s="17"/>
      <c r="B322" s="6"/>
      <c r="C322" s="43"/>
      <c r="P322" s="199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  <c r="AA322" s="131"/>
      <c r="AB322" s="131"/>
      <c r="AC322" s="131"/>
      <c r="AD322" s="131"/>
      <c r="AE322" s="131"/>
      <c r="AF322" s="131"/>
      <c r="AG322" s="131"/>
      <c r="AH322" s="131"/>
      <c r="AI322" s="132"/>
    </row>
    <row r="323" spans="1:35" s="16" customFormat="1" ht="15.75">
      <c r="A323" s="17"/>
      <c r="B323" s="6"/>
      <c r="C323" s="43"/>
      <c r="P323" s="199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  <c r="AA323" s="131"/>
      <c r="AB323" s="131"/>
      <c r="AC323" s="131"/>
      <c r="AD323" s="131"/>
      <c r="AE323" s="131"/>
      <c r="AF323" s="131"/>
      <c r="AG323" s="131"/>
      <c r="AH323" s="131"/>
      <c r="AI323" s="132"/>
    </row>
    <row r="324" spans="1:35" s="16" customFormat="1" ht="15.75">
      <c r="A324" s="17"/>
      <c r="B324" s="6"/>
      <c r="C324" s="43"/>
      <c r="P324" s="199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  <c r="AA324" s="131"/>
      <c r="AB324" s="131"/>
      <c r="AC324" s="131"/>
      <c r="AD324" s="131"/>
      <c r="AE324" s="131"/>
      <c r="AF324" s="131"/>
      <c r="AG324" s="131"/>
      <c r="AH324" s="131"/>
      <c r="AI324" s="132"/>
    </row>
    <row r="325" spans="1:35" s="16" customFormat="1" ht="15.75">
      <c r="A325" s="17"/>
      <c r="B325" s="6"/>
      <c r="C325" s="43"/>
      <c r="P325" s="199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  <c r="AA325" s="131"/>
      <c r="AB325" s="131"/>
      <c r="AC325" s="131"/>
      <c r="AD325" s="131"/>
      <c r="AE325" s="131"/>
      <c r="AF325" s="131"/>
      <c r="AG325" s="131"/>
      <c r="AH325" s="131"/>
      <c r="AI325" s="132"/>
    </row>
    <row r="326" spans="1:35" s="16" customFormat="1" ht="15.75">
      <c r="A326" s="17"/>
      <c r="B326" s="6"/>
      <c r="C326" s="43"/>
      <c r="P326" s="199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  <c r="AA326" s="131"/>
      <c r="AB326" s="131"/>
      <c r="AC326" s="131"/>
      <c r="AD326" s="131"/>
      <c r="AE326" s="131"/>
      <c r="AF326" s="131"/>
      <c r="AG326" s="131"/>
      <c r="AH326" s="131"/>
      <c r="AI326" s="132"/>
    </row>
    <row r="327" spans="1:35" s="16" customFormat="1" ht="15.75">
      <c r="A327" s="17"/>
      <c r="B327" s="6"/>
      <c r="C327" s="43"/>
      <c r="P327" s="199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  <c r="AA327" s="131"/>
      <c r="AB327" s="131"/>
      <c r="AC327" s="131"/>
      <c r="AD327" s="131"/>
      <c r="AE327" s="131"/>
      <c r="AF327" s="131"/>
      <c r="AG327" s="131"/>
      <c r="AH327" s="131"/>
      <c r="AI327" s="132"/>
    </row>
    <row r="328" spans="1:35" s="16" customFormat="1" ht="15.75">
      <c r="A328" s="17"/>
      <c r="B328" s="6"/>
      <c r="C328" s="43"/>
      <c r="P328" s="199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  <c r="AA328" s="131"/>
      <c r="AB328" s="131"/>
      <c r="AC328" s="131"/>
      <c r="AD328" s="131"/>
      <c r="AE328" s="131"/>
      <c r="AF328" s="131"/>
      <c r="AG328" s="131"/>
      <c r="AH328" s="131"/>
      <c r="AI328" s="132"/>
    </row>
    <row r="329" spans="1:35" s="16" customFormat="1" ht="15.75">
      <c r="A329" s="17"/>
      <c r="B329" s="6"/>
      <c r="C329" s="43"/>
      <c r="P329" s="199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  <c r="AA329" s="131"/>
      <c r="AB329" s="131"/>
      <c r="AC329" s="131"/>
      <c r="AD329" s="131"/>
      <c r="AE329" s="131"/>
      <c r="AF329" s="131"/>
      <c r="AG329" s="131"/>
      <c r="AH329" s="131"/>
      <c r="AI329" s="132"/>
    </row>
    <row r="330" spans="1:35" s="16" customFormat="1" ht="15.75">
      <c r="A330" s="17"/>
      <c r="B330" s="6"/>
      <c r="C330" s="43"/>
      <c r="P330" s="199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  <c r="AA330" s="131"/>
      <c r="AB330" s="131"/>
      <c r="AC330" s="131"/>
      <c r="AD330" s="131"/>
      <c r="AE330" s="131"/>
      <c r="AF330" s="131"/>
      <c r="AG330" s="131"/>
      <c r="AH330" s="131"/>
      <c r="AI330" s="132"/>
    </row>
    <row r="331" spans="1:35" s="16" customFormat="1" ht="15.75">
      <c r="A331" s="17"/>
      <c r="B331" s="6"/>
      <c r="C331" s="43"/>
      <c r="P331" s="199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  <c r="AA331" s="131"/>
      <c r="AB331" s="131"/>
      <c r="AC331" s="131"/>
      <c r="AD331" s="131"/>
      <c r="AE331" s="131"/>
      <c r="AF331" s="131"/>
      <c r="AG331" s="131"/>
      <c r="AH331" s="131"/>
      <c r="AI331" s="132"/>
    </row>
    <row r="332" spans="1:35" s="16" customFormat="1" ht="15.75">
      <c r="A332" s="17"/>
      <c r="B332" s="6"/>
      <c r="C332" s="43"/>
      <c r="P332" s="199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  <c r="AA332" s="131"/>
      <c r="AB332" s="131"/>
      <c r="AC332" s="131"/>
      <c r="AD332" s="131"/>
      <c r="AE332" s="131"/>
      <c r="AF332" s="131"/>
      <c r="AG332" s="131"/>
      <c r="AH332" s="131"/>
      <c r="AI332" s="132"/>
    </row>
    <row r="333" spans="1:35" s="16" customFormat="1" ht="15.75">
      <c r="A333" s="17"/>
      <c r="B333" s="6"/>
      <c r="C333" s="43"/>
      <c r="P333" s="199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  <c r="AA333" s="131"/>
      <c r="AB333" s="131"/>
      <c r="AC333" s="131"/>
      <c r="AD333" s="131"/>
      <c r="AE333" s="131"/>
      <c r="AF333" s="131"/>
      <c r="AG333" s="131"/>
      <c r="AH333" s="131"/>
      <c r="AI333" s="132"/>
    </row>
    <row r="334" spans="1:35" s="16" customFormat="1" ht="15.75">
      <c r="A334" s="17"/>
      <c r="B334" s="6"/>
      <c r="C334" s="43"/>
      <c r="P334" s="199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  <c r="AA334" s="131"/>
      <c r="AB334" s="131"/>
      <c r="AC334" s="131"/>
      <c r="AD334" s="131"/>
      <c r="AE334" s="131"/>
      <c r="AF334" s="131"/>
      <c r="AG334" s="131"/>
      <c r="AH334" s="131"/>
      <c r="AI334" s="132"/>
    </row>
    <row r="335" spans="1:35" s="16" customFormat="1" ht="15.75">
      <c r="A335" s="17"/>
      <c r="B335" s="6"/>
      <c r="C335" s="43"/>
      <c r="P335" s="199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  <c r="AA335" s="131"/>
      <c r="AB335" s="131"/>
      <c r="AC335" s="131"/>
      <c r="AD335" s="131"/>
      <c r="AE335" s="131"/>
      <c r="AF335" s="131"/>
      <c r="AG335" s="131"/>
      <c r="AH335" s="131"/>
      <c r="AI335" s="132"/>
    </row>
    <row r="336" spans="1:35" s="16" customFormat="1" ht="15.75">
      <c r="A336" s="17"/>
      <c r="B336" s="6"/>
      <c r="C336" s="43"/>
      <c r="P336" s="199"/>
      <c r="Q336" s="131"/>
      <c r="R336" s="131"/>
      <c r="S336" s="131"/>
      <c r="T336" s="131"/>
      <c r="U336" s="131"/>
      <c r="V336" s="131"/>
      <c r="W336" s="131"/>
      <c r="X336" s="131"/>
      <c r="Y336" s="131"/>
      <c r="Z336" s="131"/>
      <c r="AA336" s="131"/>
      <c r="AB336" s="131"/>
      <c r="AC336" s="131"/>
      <c r="AD336" s="131"/>
      <c r="AE336" s="131"/>
      <c r="AF336" s="131"/>
      <c r="AG336" s="131"/>
      <c r="AH336" s="131"/>
      <c r="AI336" s="132"/>
    </row>
    <row r="337" spans="1:35" s="16" customFormat="1" ht="15.75">
      <c r="A337" s="17"/>
      <c r="B337" s="6"/>
      <c r="C337" s="43"/>
      <c r="P337" s="199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  <c r="AA337" s="131"/>
      <c r="AB337" s="131"/>
      <c r="AC337" s="131"/>
      <c r="AD337" s="131"/>
      <c r="AE337" s="131"/>
      <c r="AF337" s="131"/>
      <c r="AG337" s="131"/>
      <c r="AH337" s="131"/>
      <c r="AI337" s="132"/>
    </row>
    <row r="338" spans="1:35" s="16" customFormat="1" ht="15.75">
      <c r="A338" s="17"/>
      <c r="B338" s="6"/>
      <c r="C338" s="43"/>
      <c r="P338" s="199"/>
      <c r="Q338" s="131"/>
      <c r="R338" s="131"/>
      <c r="S338" s="131"/>
      <c r="T338" s="131"/>
      <c r="U338" s="131"/>
      <c r="V338" s="131"/>
      <c r="W338" s="131"/>
      <c r="X338" s="131"/>
      <c r="Y338" s="131"/>
      <c r="Z338" s="131"/>
      <c r="AA338" s="131"/>
      <c r="AB338" s="131"/>
      <c r="AC338" s="131"/>
      <c r="AD338" s="131"/>
      <c r="AE338" s="131"/>
      <c r="AF338" s="131"/>
      <c r="AG338" s="131"/>
      <c r="AH338" s="131"/>
      <c r="AI338" s="132"/>
    </row>
    <row r="339" spans="1:35" s="16" customFormat="1" ht="15.75">
      <c r="A339" s="17"/>
      <c r="B339" s="6"/>
      <c r="C339" s="43"/>
      <c r="P339" s="199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  <c r="AA339" s="131"/>
      <c r="AB339" s="131"/>
      <c r="AC339" s="131"/>
      <c r="AD339" s="131"/>
      <c r="AE339" s="131"/>
      <c r="AF339" s="131"/>
      <c r="AG339" s="131"/>
      <c r="AH339" s="131"/>
      <c r="AI339" s="132"/>
    </row>
    <row r="340" spans="1:35" s="16" customFormat="1" ht="15.75">
      <c r="A340" s="17"/>
      <c r="B340" s="6"/>
      <c r="C340" s="43"/>
      <c r="P340" s="199"/>
      <c r="Q340" s="131"/>
      <c r="R340" s="131"/>
      <c r="S340" s="131"/>
      <c r="T340" s="131"/>
      <c r="U340" s="131"/>
      <c r="V340" s="131"/>
      <c r="W340" s="131"/>
      <c r="X340" s="131"/>
      <c r="Y340" s="131"/>
      <c r="Z340" s="131"/>
      <c r="AA340" s="131"/>
      <c r="AB340" s="131"/>
      <c r="AC340" s="131"/>
      <c r="AD340" s="131"/>
      <c r="AE340" s="131"/>
      <c r="AF340" s="131"/>
      <c r="AG340" s="131"/>
      <c r="AH340" s="131"/>
      <c r="AI340" s="132"/>
    </row>
    <row r="341" spans="1:35" s="16" customFormat="1" ht="15.75">
      <c r="A341" s="17"/>
      <c r="B341" s="6"/>
      <c r="C341" s="43"/>
      <c r="P341" s="199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  <c r="AA341" s="131"/>
      <c r="AB341" s="131"/>
      <c r="AC341" s="131"/>
      <c r="AD341" s="131"/>
      <c r="AE341" s="131"/>
      <c r="AF341" s="131"/>
      <c r="AG341" s="131"/>
      <c r="AH341" s="131"/>
      <c r="AI341" s="132"/>
    </row>
    <row r="342" spans="1:35" s="16" customFormat="1" ht="15.75">
      <c r="A342" s="17"/>
      <c r="B342" s="6"/>
      <c r="C342" s="43"/>
      <c r="P342" s="199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  <c r="AA342" s="131"/>
      <c r="AB342" s="131"/>
      <c r="AC342" s="131"/>
      <c r="AD342" s="131"/>
      <c r="AE342" s="131"/>
      <c r="AF342" s="131"/>
      <c r="AG342" s="131"/>
      <c r="AH342" s="131"/>
      <c r="AI342" s="132"/>
    </row>
    <row r="343" spans="1:35" s="16" customFormat="1" ht="15.75">
      <c r="A343" s="17"/>
      <c r="B343" s="6"/>
      <c r="C343" s="43"/>
      <c r="P343" s="199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  <c r="AA343" s="131"/>
      <c r="AB343" s="131"/>
      <c r="AC343" s="131"/>
      <c r="AD343" s="131"/>
      <c r="AE343" s="131"/>
      <c r="AF343" s="131"/>
      <c r="AG343" s="131"/>
      <c r="AH343" s="131"/>
      <c r="AI343" s="132"/>
    </row>
    <row r="344" spans="1:35" s="16" customFormat="1" ht="15.75">
      <c r="A344" s="17"/>
      <c r="B344" s="6"/>
      <c r="C344" s="43"/>
      <c r="P344" s="199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  <c r="AA344" s="131"/>
      <c r="AB344" s="131"/>
      <c r="AC344" s="131"/>
      <c r="AD344" s="131"/>
      <c r="AE344" s="131"/>
      <c r="AF344" s="131"/>
      <c r="AG344" s="131"/>
      <c r="AH344" s="131"/>
      <c r="AI344" s="132"/>
    </row>
    <row r="345" spans="1:35" s="16" customFormat="1" ht="15.75">
      <c r="A345" s="17"/>
      <c r="B345" s="6"/>
      <c r="C345" s="43"/>
      <c r="P345" s="199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  <c r="AA345" s="131"/>
      <c r="AB345" s="131"/>
      <c r="AC345" s="131"/>
      <c r="AD345" s="131"/>
      <c r="AE345" s="131"/>
      <c r="AF345" s="131"/>
      <c r="AG345" s="131"/>
      <c r="AH345" s="131"/>
      <c r="AI345" s="132"/>
    </row>
    <row r="346" spans="1:35" s="16" customFormat="1" ht="15.75">
      <c r="A346" s="17"/>
      <c r="B346" s="6"/>
      <c r="C346" s="43"/>
      <c r="P346" s="199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  <c r="AA346" s="131"/>
      <c r="AB346" s="131"/>
      <c r="AC346" s="131"/>
      <c r="AD346" s="131"/>
      <c r="AE346" s="131"/>
      <c r="AF346" s="131"/>
      <c r="AG346" s="131"/>
      <c r="AH346" s="131"/>
      <c r="AI346" s="132"/>
    </row>
    <row r="347" spans="1:35" s="16" customFormat="1" ht="15.75">
      <c r="A347" s="17"/>
      <c r="B347" s="6"/>
      <c r="C347" s="43"/>
      <c r="P347" s="199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  <c r="AA347" s="131"/>
      <c r="AB347" s="131"/>
      <c r="AC347" s="131"/>
      <c r="AD347" s="131"/>
      <c r="AE347" s="131"/>
      <c r="AF347" s="131"/>
      <c r="AG347" s="131"/>
      <c r="AH347" s="131"/>
      <c r="AI347" s="132"/>
    </row>
    <row r="348" spans="1:35" s="16" customFormat="1" ht="15.75">
      <c r="A348" s="17"/>
      <c r="B348" s="6"/>
      <c r="C348" s="43"/>
      <c r="P348" s="199"/>
      <c r="Q348" s="131"/>
      <c r="R348" s="131"/>
      <c r="S348" s="131"/>
      <c r="T348" s="131"/>
      <c r="U348" s="131"/>
      <c r="V348" s="131"/>
      <c r="W348" s="131"/>
      <c r="X348" s="131"/>
      <c r="Y348" s="131"/>
      <c r="Z348" s="131"/>
      <c r="AA348" s="131"/>
      <c r="AB348" s="131"/>
      <c r="AC348" s="131"/>
      <c r="AD348" s="131"/>
      <c r="AE348" s="131"/>
      <c r="AF348" s="131"/>
      <c r="AG348" s="131"/>
      <c r="AH348" s="131"/>
      <c r="AI348" s="132"/>
    </row>
    <row r="349" spans="1:35" s="16" customFormat="1" ht="15.75">
      <c r="A349" s="17"/>
      <c r="B349" s="6"/>
      <c r="C349" s="43"/>
      <c r="P349" s="199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  <c r="AA349" s="131"/>
      <c r="AB349" s="131"/>
      <c r="AC349" s="131"/>
      <c r="AD349" s="131"/>
      <c r="AE349" s="131"/>
      <c r="AF349" s="131"/>
      <c r="AG349" s="131"/>
      <c r="AH349" s="131"/>
      <c r="AI349" s="132"/>
    </row>
    <row r="350" spans="1:35" s="16" customFormat="1" ht="15.75">
      <c r="A350" s="17"/>
      <c r="B350" s="6"/>
      <c r="C350" s="43"/>
      <c r="P350" s="199"/>
      <c r="Q350" s="131"/>
      <c r="R350" s="131"/>
      <c r="S350" s="131"/>
      <c r="T350" s="131"/>
      <c r="U350" s="131"/>
      <c r="V350" s="131"/>
      <c r="W350" s="131"/>
      <c r="X350" s="131"/>
      <c r="Y350" s="131"/>
      <c r="Z350" s="131"/>
      <c r="AA350" s="131"/>
      <c r="AB350" s="131"/>
      <c r="AC350" s="131"/>
      <c r="AD350" s="131"/>
      <c r="AE350" s="131"/>
      <c r="AF350" s="131"/>
      <c r="AG350" s="131"/>
      <c r="AH350" s="131"/>
      <c r="AI350" s="132"/>
    </row>
    <row r="351" spans="1:35" s="16" customFormat="1" ht="15.75">
      <c r="A351" s="17"/>
      <c r="B351" s="6"/>
      <c r="C351" s="43"/>
      <c r="P351" s="199"/>
      <c r="Q351" s="131"/>
      <c r="R351" s="131"/>
      <c r="S351" s="131"/>
      <c r="T351" s="131"/>
      <c r="U351" s="131"/>
      <c r="V351" s="131"/>
      <c r="W351" s="131"/>
      <c r="X351" s="131"/>
      <c r="Y351" s="131"/>
      <c r="Z351" s="131"/>
      <c r="AA351" s="131"/>
      <c r="AB351" s="131"/>
      <c r="AC351" s="131"/>
      <c r="AD351" s="131"/>
      <c r="AE351" s="131"/>
      <c r="AF351" s="131"/>
      <c r="AG351" s="131"/>
      <c r="AH351" s="131"/>
      <c r="AI351" s="132"/>
    </row>
    <row r="352" spans="1:35" s="16" customFormat="1" ht="15.75">
      <c r="A352" s="17"/>
      <c r="B352" s="6"/>
      <c r="C352" s="43"/>
      <c r="P352" s="199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  <c r="AA352" s="131"/>
      <c r="AB352" s="131"/>
      <c r="AC352" s="131"/>
      <c r="AD352" s="131"/>
      <c r="AE352" s="131"/>
      <c r="AF352" s="131"/>
      <c r="AG352" s="131"/>
      <c r="AH352" s="131"/>
      <c r="AI352" s="132"/>
    </row>
    <row r="353" spans="1:35" s="16" customFormat="1" ht="15.75">
      <c r="A353" s="17"/>
      <c r="B353" s="6"/>
      <c r="C353" s="43"/>
      <c r="P353" s="199"/>
      <c r="Q353" s="131"/>
      <c r="R353" s="131"/>
      <c r="S353" s="131"/>
      <c r="T353" s="131"/>
      <c r="U353" s="131"/>
      <c r="V353" s="131"/>
      <c r="W353" s="131"/>
      <c r="X353" s="131"/>
      <c r="Y353" s="131"/>
      <c r="Z353" s="131"/>
      <c r="AA353" s="131"/>
      <c r="AB353" s="131"/>
      <c r="AC353" s="131"/>
      <c r="AD353" s="131"/>
      <c r="AE353" s="131"/>
      <c r="AF353" s="131"/>
      <c r="AG353" s="131"/>
      <c r="AH353" s="131"/>
      <c r="AI353" s="132"/>
    </row>
    <row r="354" spans="1:35" s="16" customFormat="1" ht="15.75">
      <c r="A354" s="17"/>
      <c r="B354" s="6"/>
      <c r="C354" s="43"/>
      <c r="P354" s="199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  <c r="AA354" s="131"/>
      <c r="AB354" s="131"/>
      <c r="AC354" s="131"/>
      <c r="AD354" s="131"/>
      <c r="AE354" s="131"/>
      <c r="AF354" s="131"/>
      <c r="AG354" s="131"/>
      <c r="AH354" s="131"/>
      <c r="AI354" s="132"/>
    </row>
    <row r="355" spans="1:35" s="16" customFormat="1" ht="15.75">
      <c r="A355" s="17"/>
      <c r="B355" s="6"/>
      <c r="C355" s="43"/>
      <c r="P355" s="199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  <c r="AA355" s="131"/>
      <c r="AB355" s="131"/>
      <c r="AC355" s="131"/>
      <c r="AD355" s="131"/>
      <c r="AE355" s="131"/>
      <c r="AF355" s="131"/>
      <c r="AG355" s="131"/>
      <c r="AH355" s="131"/>
      <c r="AI355" s="132"/>
    </row>
    <row r="356" spans="1:35" s="16" customFormat="1" ht="15.75">
      <c r="A356" s="17"/>
      <c r="B356" s="6"/>
      <c r="C356" s="43"/>
      <c r="P356" s="199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  <c r="AA356" s="131"/>
      <c r="AB356" s="131"/>
      <c r="AC356" s="131"/>
      <c r="AD356" s="131"/>
      <c r="AE356" s="131"/>
      <c r="AF356" s="131"/>
      <c r="AG356" s="131"/>
      <c r="AH356" s="131"/>
      <c r="AI356" s="132"/>
    </row>
    <row r="357" spans="1:35" s="16" customFormat="1" ht="15.75">
      <c r="A357" s="17"/>
      <c r="B357" s="6"/>
      <c r="C357" s="43"/>
      <c r="P357" s="199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  <c r="AA357" s="131"/>
      <c r="AB357" s="131"/>
      <c r="AC357" s="131"/>
      <c r="AD357" s="131"/>
      <c r="AE357" s="131"/>
      <c r="AF357" s="131"/>
      <c r="AG357" s="131"/>
      <c r="AH357" s="131"/>
      <c r="AI357" s="132"/>
    </row>
    <row r="358" spans="1:35" s="16" customFormat="1" ht="15.75">
      <c r="A358" s="17"/>
      <c r="B358" s="6"/>
      <c r="C358" s="43"/>
      <c r="P358" s="199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  <c r="AA358" s="131"/>
      <c r="AB358" s="131"/>
      <c r="AC358" s="131"/>
      <c r="AD358" s="131"/>
      <c r="AE358" s="131"/>
      <c r="AF358" s="131"/>
      <c r="AG358" s="131"/>
      <c r="AH358" s="131"/>
      <c r="AI358" s="132"/>
    </row>
    <row r="359" spans="1:35" s="16" customFormat="1" ht="15.75">
      <c r="A359" s="17"/>
      <c r="B359" s="6"/>
      <c r="C359" s="43"/>
      <c r="P359" s="199"/>
      <c r="Q359" s="131"/>
      <c r="R359" s="131"/>
      <c r="S359" s="131"/>
      <c r="T359" s="131"/>
      <c r="U359" s="131"/>
      <c r="V359" s="131"/>
      <c r="W359" s="131"/>
      <c r="X359" s="131"/>
      <c r="Y359" s="131"/>
      <c r="Z359" s="131"/>
      <c r="AA359" s="131"/>
      <c r="AB359" s="131"/>
      <c r="AC359" s="131"/>
      <c r="AD359" s="131"/>
      <c r="AE359" s="131"/>
      <c r="AF359" s="131"/>
      <c r="AG359" s="131"/>
      <c r="AH359" s="131"/>
      <c r="AI359" s="132"/>
    </row>
    <row r="360" spans="1:35" s="16" customFormat="1" ht="15.75">
      <c r="A360" s="17"/>
      <c r="B360" s="6"/>
      <c r="C360" s="43"/>
      <c r="P360" s="199"/>
      <c r="Q360" s="131"/>
      <c r="R360" s="131"/>
      <c r="S360" s="131"/>
      <c r="T360" s="131"/>
      <c r="U360" s="131"/>
      <c r="V360" s="131"/>
      <c r="W360" s="131"/>
      <c r="X360" s="131"/>
      <c r="Y360" s="131"/>
      <c r="Z360" s="131"/>
      <c r="AA360" s="131"/>
      <c r="AB360" s="131"/>
      <c r="AC360" s="131"/>
      <c r="AD360" s="131"/>
      <c r="AE360" s="131"/>
      <c r="AF360" s="131"/>
      <c r="AG360" s="131"/>
      <c r="AH360" s="131"/>
      <c r="AI360" s="132"/>
    </row>
    <row r="361" spans="1:35" s="16" customFormat="1" ht="15.75">
      <c r="A361" s="17"/>
      <c r="B361" s="6"/>
      <c r="C361" s="43"/>
      <c r="P361" s="199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  <c r="AA361" s="131"/>
      <c r="AB361" s="131"/>
      <c r="AC361" s="131"/>
      <c r="AD361" s="131"/>
      <c r="AE361" s="131"/>
      <c r="AF361" s="131"/>
      <c r="AG361" s="131"/>
      <c r="AH361" s="131"/>
      <c r="AI361" s="132"/>
    </row>
    <row r="362" spans="1:35" s="16" customFormat="1" ht="15.75">
      <c r="A362" s="17"/>
      <c r="B362" s="6"/>
      <c r="C362" s="43"/>
      <c r="P362" s="199"/>
      <c r="Q362" s="131"/>
      <c r="R362" s="131"/>
      <c r="S362" s="131"/>
      <c r="T362" s="131"/>
      <c r="U362" s="131"/>
      <c r="V362" s="131"/>
      <c r="W362" s="131"/>
      <c r="X362" s="131"/>
      <c r="Y362" s="131"/>
      <c r="Z362" s="131"/>
      <c r="AA362" s="131"/>
      <c r="AB362" s="131"/>
      <c r="AC362" s="131"/>
      <c r="AD362" s="131"/>
      <c r="AE362" s="131"/>
      <c r="AF362" s="131"/>
      <c r="AG362" s="131"/>
      <c r="AH362" s="131"/>
      <c r="AI362" s="132"/>
    </row>
    <row r="363" spans="1:35" s="16" customFormat="1" ht="15.75">
      <c r="A363" s="17"/>
      <c r="B363" s="6"/>
      <c r="C363" s="43"/>
      <c r="P363" s="199"/>
      <c r="Q363" s="131"/>
      <c r="R363" s="131"/>
      <c r="S363" s="131"/>
      <c r="T363" s="131"/>
      <c r="U363" s="131"/>
      <c r="V363" s="131"/>
      <c r="W363" s="131"/>
      <c r="X363" s="131"/>
      <c r="Y363" s="131"/>
      <c r="Z363" s="131"/>
      <c r="AA363" s="131"/>
      <c r="AB363" s="131"/>
      <c r="AC363" s="131"/>
      <c r="AD363" s="131"/>
      <c r="AE363" s="131"/>
      <c r="AF363" s="131"/>
      <c r="AG363" s="131"/>
      <c r="AH363" s="131"/>
      <c r="AI363" s="132"/>
    </row>
    <row r="364" spans="1:35" s="16" customFormat="1" ht="15.75">
      <c r="A364" s="17"/>
      <c r="B364" s="6"/>
      <c r="C364" s="43"/>
      <c r="P364" s="199"/>
      <c r="Q364" s="131"/>
      <c r="R364" s="131"/>
      <c r="S364" s="131"/>
      <c r="T364" s="131"/>
      <c r="U364" s="131"/>
      <c r="V364" s="131"/>
      <c r="W364" s="131"/>
      <c r="X364" s="131"/>
      <c r="Y364" s="131"/>
      <c r="Z364" s="131"/>
      <c r="AA364" s="131"/>
      <c r="AB364" s="131"/>
      <c r="AC364" s="131"/>
      <c r="AD364" s="131"/>
      <c r="AE364" s="131"/>
      <c r="AF364" s="131"/>
      <c r="AG364" s="131"/>
      <c r="AH364" s="131"/>
      <c r="AI364" s="132"/>
    </row>
    <row r="365" spans="1:35" s="16" customFormat="1" ht="15.75">
      <c r="A365" s="17"/>
      <c r="B365" s="6"/>
      <c r="C365" s="43"/>
      <c r="P365" s="199"/>
      <c r="Q365" s="131"/>
      <c r="R365" s="131"/>
      <c r="S365" s="131"/>
      <c r="T365" s="131"/>
      <c r="U365" s="131"/>
      <c r="V365" s="131"/>
      <c r="W365" s="131"/>
      <c r="X365" s="131"/>
      <c r="Y365" s="131"/>
      <c r="Z365" s="131"/>
      <c r="AA365" s="131"/>
      <c r="AB365" s="131"/>
      <c r="AC365" s="131"/>
      <c r="AD365" s="131"/>
      <c r="AE365" s="131"/>
      <c r="AF365" s="131"/>
      <c r="AG365" s="131"/>
      <c r="AH365" s="131"/>
      <c r="AI365" s="132"/>
    </row>
    <row r="366" spans="1:35" s="16" customFormat="1" ht="15.75">
      <c r="A366" s="17"/>
      <c r="B366" s="6"/>
      <c r="C366" s="43"/>
      <c r="P366" s="199"/>
      <c r="Q366" s="131"/>
      <c r="R366" s="131"/>
      <c r="S366" s="131"/>
      <c r="T366" s="131"/>
      <c r="U366" s="131"/>
      <c r="V366" s="131"/>
      <c r="W366" s="131"/>
      <c r="X366" s="131"/>
      <c r="Y366" s="131"/>
      <c r="Z366" s="131"/>
      <c r="AA366" s="131"/>
      <c r="AB366" s="131"/>
      <c r="AC366" s="131"/>
      <c r="AD366" s="131"/>
      <c r="AE366" s="131"/>
      <c r="AF366" s="131"/>
      <c r="AG366" s="131"/>
      <c r="AH366" s="131"/>
      <c r="AI366" s="132"/>
    </row>
    <row r="367" spans="1:35" s="16" customFormat="1" ht="15.75">
      <c r="A367" s="17"/>
      <c r="B367" s="6"/>
      <c r="C367" s="43"/>
      <c r="P367" s="199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  <c r="AA367" s="131"/>
      <c r="AB367" s="131"/>
      <c r="AC367" s="131"/>
      <c r="AD367" s="131"/>
      <c r="AE367" s="131"/>
      <c r="AF367" s="131"/>
      <c r="AG367" s="131"/>
      <c r="AH367" s="131"/>
      <c r="AI367" s="132"/>
    </row>
    <row r="368" spans="1:35" s="16" customFormat="1" ht="15.75">
      <c r="A368" s="17"/>
      <c r="B368" s="6"/>
      <c r="C368" s="43"/>
      <c r="P368" s="199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  <c r="AA368" s="131"/>
      <c r="AB368" s="131"/>
      <c r="AC368" s="131"/>
      <c r="AD368" s="131"/>
      <c r="AE368" s="131"/>
      <c r="AF368" s="131"/>
      <c r="AG368" s="131"/>
      <c r="AH368" s="131"/>
      <c r="AI368" s="132"/>
    </row>
    <row r="369" spans="1:35" s="16" customFormat="1" ht="15.75">
      <c r="A369" s="17"/>
      <c r="B369" s="6"/>
      <c r="C369" s="43"/>
      <c r="P369" s="199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  <c r="AA369" s="131"/>
      <c r="AB369" s="131"/>
      <c r="AC369" s="131"/>
      <c r="AD369" s="131"/>
      <c r="AE369" s="131"/>
      <c r="AF369" s="131"/>
      <c r="AG369" s="131"/>
      <c r="AH369" s="131"/>
      <c r="AI369" s="132"/>
    </row>
    <row r="370" spans="1:35" s="16" customFormat="1" ht="15.75">
      <c r="A370" s="17"/>
      <c r="B370" s="6"/>
      <c r="C370" s="43"/>
      <c r="P370" s="199"/>
      <c r="Q370" s="131"/>
      <c r="R370" s="131"/>
      <c r="S370" s="131"/>
      <c r="T370" s="131"/>
      <c r="U370" s="131"/>
      <c r="V370" s="131"/>
      <c r="W370" s="131"/>
      <c r="X370" s="131"/>
      <c r="Y370" s="131"/>
      <c r="Z370" s="131"/>
      <c r="AA370" s="131"/>
      <c r="AB370" s="131"/>
      <c r="AC370" s="131"/>
      <c r="AD370" s="131"/>
      <c r="AE370" s="131"/>
      <c r="AF370" s="131"/>
      <c r="AG370" s="131"/>
      <c r="AH370" s="131"/>
      <c r="AI370" s="132"/>
    </row>
    <row r="371" spans="1:35" s="16" customFormat="1" ht="15.75">
      <c r="A371" s="17"/>
      <c r="B371" s="6"/>
      <c r="C371" s="43"/>
      <c r="P371" s="199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  <c r="AA371" s="131"/>
      <c r="AB371" s="131"/>
      <c r="AC371" s="131"/>
      <c r="AD371" s="131"/>
      <c r="AE371" s="131"/>
      <c r="AF371" s="131"/>
      <c r="AG371" s="131"/>
      <c r="AH371" s="131"/>
      <c r="AI371" s="132"/>
    </row>
    <row r="372" spans="1:35" s="16" customFormat="1" ht="15.75">
      <c r="A372" s="17"/>
      <c r="B372" s="6"/>
      <c r="C372" s="43"/>
      <c r="P372" s="199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  <c r="AA372" s="131"/>
      <c r="AB372" s="131"/>
      <c r="AC372" s="131"/>
      <c r="AD372" s="131"/>
      <c r="AE372" s="131"/>
      <c r="AF372" s="131"/>
      <c r="AG372" s="131"/>
      <c r="AH372" s="131"/>
      <c r="AI372" s="132"/>
    </row>
    <row r="373" spans="1:35" s="16" customFormat="1" ht="15.75">
      <c r="A373" s="17"/>
      <c r="B373" s="6"/>
      <c r="C373" s="43"/>
      <c r="P373" s="199"/>
      <c r="Q373" s="131"/>
      <c r="R373" s="131"/>
      <c r="S373" s="131"/>
      <c r="T373" s="131"/>
      <c r="U373" s="131"/>
      <c r="V373" s="131"/>
      <c r="W373" s="131"/>
      <c r="X373" s="131"/>
      <c r="Y373" s="131"/>
      <c r="Z373" s="131"/>
      <c r="AA373" s="131"/>
      <c r="AB373" s="131"/>
      <c r="AC373" s="131"/>
      <c r="AD373" s="131"/>
      <c r="AE373" s="131"/>
      <c r="AF373" s="131"/>
      <c r="AG373" s="131"/>
      <c r="AH373" s="131"/>
      <c r="AI373" s="132"/>
    </row>
    <row r="374" spans="1:35" s="16" customFormat="1" ht="15.75">
      <c r="A374" s="17"/>
      <c r="B374" s="6"/>
      <c r="C374" s="43"/>
      <c r="P374" s="199"/>
      <c r="Q374" s="131"/>
      <c r="R374" s="131"/>
      <c r="S374" s="131"/>
      <c r="T374" s="131"/>
      <c r="U374" s="131"/>
      <c r="V374" s="131"/>
      <c r="W374" s="131"/>
      <c r="X374" s="131"/>
      <c r="Y374" s="131"/>
      <c r="Z374" s="131"/>
      <c r="AA374" s="131"/>
      <c r="AB374" s="131"/>
      <c r="AC374" s="131"/>
      <c r="AD374" s="131"/>
      <c r="AE374" s="131"/>
      <c r="AF374" s="131"/>
      <c r="AG374" s="131"/>
      <c r="AH374" s="131"/>
      <c r="AI374" s="132"/>
    </row>
    <row r="375" spans="1:35" s="16" customFormat="1" ht="15.75">
      <c r="A375" s="17"/>
      <c r="B375" s="6"/>
      <c r="C375" s="43"/>
      <c r="P375" s="199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  <c r="AA375" s="131"/>
      <c r="AB375" s="131"/>
      <c r="AC375" s="131"/>
      <c r="AD375" s="131"/>
      <c r="AE375" s="131"/>
      <c r="AF375" s="131"/>
      <c r="AG375" s="131"/>
      <c r="AH375" s="131"/>
      <c r="AI375" s="132"/>
    </row>
    <row r="376" spans="1:35" s="16" customFormat="1" ht="15.75">
      <c r="A376" s="17"/>
      <c r="B376" s="6"/>
      <c r="C376" s="43"/>
      <c r="P376" s="199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  <c r="AA376" s="131"/>
      <c r="AB376" s="131"/>
      <c r="AC376" s="131"/>
      <c r="AD376" s="131"/>
      <c r="AE376" s="131"/>
      <c r="AF376" s="131"/>
      <c r="AG376" s="131"/>
      <c r="AH376" s="131"/>
      <c r="AI376" s="132"/>
    </row>
    <row r="377" spans="1:35" s="16" customFormat="1" ht="15.75">
      <c r="A377" s="17"/>
      <c r="B377" s="6"/>
      <c r="C377" s="43"/>
      <c r="P377" s="199"/>
      <c r="Q377" s="131"/>
      <c r="R377" s="131"/>
      <c r="S377" s="131"/>
      <c r="T377" s="131"/>
      <c r="U377" s="131"/>
      <c r="V377" s="131"/>
      <c r="W377" s="131"/>
      <c r="X377" s="131"/>
      <c r="Y377" s="131"/>
      <c r="Z377" s="131"/>
      <c r="AA377" s="131"/>
      <c r="AB377" s="131"/>
      <c r="AC377" s="131"/>
      <c r="AD377" s="131"/>
      <c r="AE377" s="131"/>
      <c r="AF377" s="131"/>
      <c r="AG377" s="131"/>
      <c r="AH377" s="131"/>
      <c r="AI377" s="132"/>
    </row>
    <row r="378" spans="1:35" s="16" customFormat="1" ht="15.75">
      <c r="A378" s="17"/>
      <c r="B378" s="6"/>
      <c r="C378" s="43"/>
      <c r="P378" s="199"/>
      <c r="Q378" s="131"/>
      <c r="R378" s="131"/>
      <c r="S378" s="131"/>
      <c r="T378" s="131"/>
      <c r="U378" s="131"/>
      <c r="V378" s="131"/>
      <c r="W378" s="131"/>
      <c r="X378" s="131"/>
      <c r="Y378" s="131"/>
      <c r="Z378" s="131"/>
      <c r="AA378" s="131"/>
      <c r="AB378" s="131"/>
      <c r="AC378" s="131"/>
      <c r="AD378" s="131"/>
      <c r="AE378" s="131"/>
      <c r="AF378" s="131"/>
      <c r="AG378" s="131"/>
      <c r="AH378" s="131"/>
      <c r="AI378" s="132"/>
    </row>
    <row r="379" spans="1:35" s="16" customFormat="1" ht="15.75">
      <c r="A379" s="17"/>
      <c r="B379" s="6"/>
      <c r="C379" s="43"/>
      <c r="P379" s="199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  <c r="AA379" s="131"/>
      <c r="AB379" s="131"/>
      <c r="AC379" s="131"/>
      <c r="AD379" s="131"/>
      <c r="AE379" s="131"/>
      <c r="AF379" s="131"/>
      <c r="AG379" s="131"/>
      <c r="AH379" s="131"/>
      <c r="AI379" s="132"/>
    </row>
    <row r="380" spans="1:35" s="16" customFormat="1" ht="15.75">
      <c r="A380" s="17"/>
      <c r="B380" s="6"/>
      <c r="C380" s="43"/>
      <c r="P380" s="199"/>
      <c r="Q380" s="131"/>
      <c r="R380" s="131"/>
      <c r="S380" s="131"/>
      <c r="T380" s="131"/>
      <c r="U380" s="131"/>
      <c r="V380" s="131"/>
      <c r="W380" s="131"/>
      <c r="X380" s="131"/>
      <c r="Y380" s="131"/>
      <c r="Z380" s="131"/>
      <c r="AA380" s="131"/>
      <c r="AB380" s="131"/>
      <c r="AC380" s="131"/>
      <c r="AD380" s="131"/>
      <c r="AE380" s="131"/>
      <c r="AF380" s="131"/>
      <c r="AG380" s="131"/>
      <c r="AH380" s="131"/>
      <c r="AI380" s="132"/>
    </row>
    <row r="381" spans="1:35" s="16" customFormat="1" ht="15.75">
      <c r="A381" s="17"/>
      <c r="B381" s="6"/>
      <c r="C381" s="43"/>
      <c r="P381" s="199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  <c r="AA381" s="131"/>
      <c r="AB381" s="131"/>
      <c r="AC381" s="131"/>
      <c r="AD381" s="131"/>
      <c r="AE381" s="131"/>
      <c r="AF381" s="131"/>
      <c r="AG381" s="131"/>
      <c r="AH381" s="131"/>
      <c r="AI381" s="132"/>
    </row>
    <row r="382" spans="1:35" s="16" customFormat="1" ht="15.75">
      <c r="A382" s="17"/>
      <c r="B382" s="6"/>
      <c r="C382" s="43"/>
      <c r="P382" s="199"/>
      <c r="Q382" s="131"/>
      <c r="R382" s="131"/>
      <c r="S382" s="131"/>
      <c r="T382" s="131"/>
      <c r="U382" s="131"/>
      <c r="V382" s="131"/>
      <c r="W382" s="131"/>
      <c r="X382" s="131"/>
      <c r="Y382" s="131"/>
      <c r="Z382" s="131"/>
      <c r="AA382" s="131"/>
      <c r="AB382" s="131"/>
      <c r="AC382" s="131"/>
      <c r="AD382" s="131"/>
      <c r="AE382" s="131"/>
      <c r="AF382" s="131"/>
      <c r="AG382" s="131"/>
      <c r="AH382" s="131"/>
      <c r="AI382" s="132"/>
    </row>
    <row r="383" spans="1:35" s="16" customFormat="1" ht="15.75">
      <c r="A383" s="17"/>
      <c r="B383" s="6"/>
      <c r="C383" s="43"/>
      <c r="P383" s="199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  <c r="AA383" s="131"/>
      <c r="AB383" s="131"/>
      <c r="AC383" s="131"/>
      <c r="AD383" s="131"/>
      <c r="AE383" s="131"/>
      <c r="AF383" s="131"/>
      <c r="AG383" s="131"/>
      <c r="AH383" s="131"/>
      <c r="AI383" s="132"/>
    </row>
    <row r="384" spans="1:35" s="16" customFormat="1" ht="15.75">
      <c r="A384" s="17"/>
      <c r="B384" s="6"/>
      <c r="C384" s="43"/>
      <c r="P384" s="199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  <c r="AA384" s="131"/>
      <c r="AB384" s="131"/>
      <c r="AC384" s="131"/>
      <c r="AD384" s="131"/>
      <c r="AE384" s="131"/>
      <c r="AF384" s="131"/>
      <c r="AG384" s="131"/>
      <c r="AH384" s="131"/>
      <c r="AI384" s="132"/>
    </row>
    <row r="385" spans="1:35" s="16" customFormat="1" ht="15.75">
      <c r="A385" s="17"/>
      <c r="B385" s="6"/>
      <c r="C385" s="43"/>
      <c r="P385" s="199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  <c r="AA385" s="131"/>
      <c r="AB385" s="131"/>
      <c r="AC385" s="131"/>
      <c r="AD385" s="131"/>
      <c r="AE385" s="131"/>
      <c r="AF385" s="131"/>
      <c r="AG385" s="131"/>
      <c r="AH385" s="131"/>
      <c r="AI385" s="132"/>
    </row>
    <row r="386" spans="1:35" s="16" customFormat="1" ht="15.75">
      <c r="A386" s="17"/>
      <c r="B386" s="6"/>
      <c r="C386" s="43"/>
      <c r="P386" s="199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  <c r="AA386" s="131"/>
      <c r="AB386" s="131"/>
      <c r="AC386" s="131"/>
      <c r="AD386" s="131"/>
      <c r="AE386" s="131"/>
      <c r="AF386" s="131"/>
      <c r="AG386" s="131"/>
      <c r="AH386" s="131"/>
      <c r="AI386" s="132"/>
    </row>
    <row r="387" spans="1:35" s="16" customFormat="1" ht="15.75">
      <c r="A387" s="17"/>
      <c r="B387" s="6"/>
      <c r="C387" s="43"/>
      <c r="P387" s="199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  <c r="AA387" s="131"/>
      <c r="AB387" s="131"/>
      <c r="AC387" s="131"/>
      <c r="AD387" s="131"/>
      <c r="AE387" s="131"/>
      <c r="AF387" s="131"/>
      <c r="AG387" s="131"/>
      <c r="AH387" s="131"/>
      <c r="AI387" s="132"/>
    </row>
    <row r="388" spans="1:35" s="16" customFormat="1" ht="15.75">
      <c r="A388" s="17"/>
      <c r="B388" s="6"/>
      <c r="C388" s="43"/>
      <c r="P388" s="199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  <c r="AA388" s="131"/>
      <c r="AB388" s="131"/>
      <c r="AC388" s="131"/>
      <c r="AD388" s="131"/>
      <c r="AE388" s="131"/>
      <c r="AF388" s="131"/>
      <c r="AG388" s="131"/>
      <c r="AH388" s="131"/>
      <c r="AI388" s="132"/>
    </row>
    <row r="389" spans="1:35" s="16" customFormat="1" ht="15.75">
      <c r="A389" s="17"/>
      <c r="B389" s="6"/>
      <c r="C389" s="43"/>
      <c r="P389" s="199"/>
      <c r="Q389" s="131"/>
      <c r="R389" s="131"/>
      <c r="S389" s="131"/>
      <c r="T389" s="131"/>
      <c r="U389" s="131"/>
      <c r="V389" s="131"/>
      <c r="W389" s="131"/>
      <c r="X389" s="131"/>
      <c r="Y389" s="131"/>
      <c r="Z389" s="131"/>
      <c r="AA389" s="131"/>
      <c r="AB389" s="131"/>
      <c r="AC389" s="131"/>
      <c r="AD389" s="131"/>
      <c r="AE389" s="131"/>
      <c r="AF389" s="131"/>
      <c r="AG389" s="131"/>
      <c r="AH389" s="131"/>
      <c r="AI389" s="132"/>
    </row>
    <row r="390" spans="1:35" s="16" customFormat="1" ht="15.75">
      <c r="A390" s="17"/>
      <c r="B390" s="6"/>
      <c r="C390" s="43"/>
      <c r="P390" s="199"/>
      <c r="Q390" s="131"/>
      <c r="R390" s="131"/>
      <c r="S390" s="131"/>
      <c r="T390" s="131"/>
      <c r="U390" s="131"/>
      <c r="V390" s="131"/>
      <c r="W390" s="131"/>
      <c r="X390" s="131"/>
      <c r="Y390" s="131"/>
      <c r="Z390" s="131"/>
      <c r="AA390" s="131"/>
      <c r="AB390" s="131"/>
      <c r="AC390" s="131"/>
      <c r="AD390" s="131"/>
      <c r="AE390" s="131"/>
      <c r="AF390" s="131"/>
      <c r="AG390" s="131"/>
      <c r="AH390" s="131"/>
      <c r="AI390" s="132"/>
    </row>
    <row r="391" spans="1:35" s="16" customFormat="1" ht="15.75">
      <c r="A391" s="17"/>
      <c r="B391" s="6"/>
      <c r="C391" s="43"/>
      <c r="P391" s="199"/>
      <c r="Q391" s="131"/>
      <c r="R391" s="131"/>
      <c r="S391" s="131"/>
      <c r="T391" s="131"/>
      <c r="U391" s="131"/>
      <c r="V391" s="131"/>
      <c r="W391" s="131"/>
      <c r="X391" s="131"/>
      <c r="Y391" s="131"/>
      <c r="Z391" s="131"/>
      <c r="AA391" s="131"/>
      <c r="AB391" s="131"/>
      <c r="AC391" s="131"/>
      <c r="AD391" s="131"/>
      <c r="AE391" s="131"/>
      <c r="AF391" s="131"/>
      <c r="AG391" s="131"/>
      <c r="AH391" s="131"/>
      <c r="AI391" s="132"/>
    </row>
    <row r="392" spans="1:35" s="16" customFormat="1" ht="15.75">
      <c r="A392" s="17"/>
      <c r="B392" s="6"/>
      <c r="C392" s="43"/>
      <c r="P392" s="199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  <c r="AA392" s="131"/>
      <c r="AB392" s="131"/>
      <c r="AC392" s="131"/>
      <c r="AD392" s="131"/>
      <c r="AE392" s="131"/>
      <c r="AF392" s="131"/>
      <c r="AG392" s="131"/>
      <c r="AH392" s="131"/>
      <c r="AI392" s="132"/>
    </row>
    <row r="393" spans="1:35" s="16" customFormat="1" ht="15.75">
      <c r="A393" s="17"/>
      <c r="B393" s="6"/>
      <c r="C393" s="43"/>
      <c r="P393" s="199"/>
      <c r="Q393" s="131"/>
      <c r="R393" s="131"/>
      <c r="S393" s="131"/>
      <c r="T393" s="131"/>
      <c r="U393" s="131"/>
      <c r="V393" s="131"/>
      <c r="W393" s="131"/>
      <c r="X393" s="131"/>
      <c r="Y393" s="131"/>
      <c r="Z393" s="131"/>
      <c r="AA393" s="131"/>
      <c r="AB393" s="131"/>
      <c r="AC393" s="131"/>
      <c r="AD393" s="131"/>
      <c r="AE393" s="131"/>
      <c r="AF393" s="131"/>
      <c r="AG393" s="131"/>
      <c r="AH393" s="131"/>
      <c r="AI393" s="132"/>
    </row>
    <row r="394" spans="1:35" s="16" customFormat="1" ht="15.75">
      <c r="A394" s="17"/>
      <c r="B394" s="6"/>
      <c r="C394" s="43"/>
      <c r="P394" s="199"/>
      <c r="Q394" s="131"/>
      <c r="R394" s="131"/>
      <c r="S394" s="131"/>
      <c r="T394" s="131"/>
      <c r="U394" s="131"/>
      <c r="V394" s="131"/>
      <c r="W394" s="131"/>
      <c r="X394" s="131"/>
      <c r="Y394" s="131"/>
      <c r="Z394" s="131"/>
      <c r="AA394" s="131"/>
      <c r="AB394" s="131"/>
      <c r="AC394" s="131"/>
      <c r="AD394" s="131"/>
      <c r="AE394" s="131"/>
      <c r="AF394" s="131"/>
      <c r="AG394" s="131"/>
      <c r="AH394" s="131"/>
      <c r="AI394" s="132"/>
    </row>
    <row r="395" spans="1:35" s="16" customFormat="1" ht="15.75">
      <c r="A395" s="17"/>
      <c r="B395" s="6"/>
      <c r="C395" s="43"/>
      <c r="P395" s="199"/>
      <c r="Q395" s="131"/>
      <c r="R395" s="131"/>
      <c r="S395" s="131"/>
      <c r="T395" s="131"/>
      <c r="U395" s="131"/>
      <c r="V395" s="131"/>
      <c r="W395" s="131"/>
      <c r="X395" s="131"/>
      <c r="Y395" s="131"/>
      <c r="Z395" s="131"/>
      <c r="AA395" s="131"/>
      <c r="AB395" s="131"/>
      <c r="AC395" s="131"/>
      <c r="AD395" s="131"/>
      <c r="AE395" s="131"/>
      <c r="AF395" s="131"/>
      <c r="AG395" s="131"/>
      <c r="AH395" s="131"/>
      <c r="AI395" s="132"/>
    </row>
    <row r="396" spans="1:35" s="16" customFormat="1" ht="15.75">
      <c r="A396" s="17"/>
      <c r="B396" s="6"/>
      <c r="C396" s="43"/>
      <c r="P396" s="199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  <c r="AA396" s="131"/>
      <c r="AB396" s="131"/>
      <c r="AC396" s="131"/>
      <c r="AD396" s="131"/>
      <c r="AE396" s="131"/>
      <c r="AF396" s="131"/>
      <c r="AG396" s="131"/>
      <c r="AH396" s="131"/>
      <c r="AI396" s="132"/>
    </row>
    <row r="397" spans="1:35" s="16" customFormat="1" ht="15.75">
      <c r="A397" s="17"/>
      <c r="B397" s="6"/>
      <c r="C397" s="43"/>
      <c r="P397" s="199"/>
      <c r="Q397" s="131"/>
      <c r="R397" s="131"/>
      <c r="S397" s="131"/>
      <c r="T397" s="131"/>
      <c r="U397" s="131"/>
      <c r="V397" s="131"/>
      <c r="W397" s="131"/>
      <c r="X397" s="131"/>
      <c r="Y397" s="131"/>
      <c r="Z397" s="131"/>
      <c r="AA397" s="131"/>
      <c r="AB397" s="131"/>
      <c r="AC397" s="131"/>
      <c r="AD397" s="131"/>
      <c r="AE397" s="131"/>
      <c r="AF397" s="131"/>
      <c r="AG397" s="131"/>
      <c r="AH397" s="131"/>
      <c r="AI397" s="132"/>
    </row>
    <row r="398" spans="1:35" s="16" customFormat="1" ht="15.75">
      <c r="A398" s="17"/>
      <c r="B398" s="6"/>
      <c r="C398" s="43"/>
      <c r="P398" s="199"/>
      <c r="Q398" s="131"/>
      <c r="R398" s="131"/>
      <c r="S398" s="131"/>
      <c r="T398" s="131"/>
      <c r="U398" s="131"/>
      <c r="V398" s="131"/>
      <c r="W398" s="131"/>
      <c r="X398" s="131"/>
      <c r="Y398" s="131"/>
      <c r="Z398" s="131"/>
      <c r="AA398" s="131"/>
      <c r="AB398" s="131"/>
      <c r="AC398" s="131"/>
      <c r="AD398" s="131"/>
      <c r="AE398" s="131"/>
      <c r="AF398" s="131"/>
      <c r="AG398" s="131"/>
      <c r="AH398" s="131"/>
      <c r="AI398" s="132"/>
    </row>
    <row r="399" spans="1:35" s="16" customFormat="1" ht="15.75">
      <c r="A399" s="17"/>
      <c r="B399" s="6"/>
      <c r="C399" s="43"/>
      <c r="P399" s="199"/>
      <c r="Q399" s="131"/>
      <c r="R399" s="131"/>
      <c r="S399" s="131"/>
      <c r="T399" s="131"/>
      <c r="U399" s="131"/>
      <c r="V399" s="131"/>
      <c r="W399" s="131"/>
      <c r="X399" s="131"/>
      <c r="Y399" s="131"/>
      <c r="Z399" s="131"/>
      <c r="AA399" s="131"/>
      <c r="AB399" s="131"/>
      <c r="AC399" s="131"/>
      <c r="AD399" s="131"/>
      <c r="AE399" s="131"/>
      <c r="AF399" s="131"/>
      <c r="AG399" s="131"/>
      <c r="AH399" s="131"/>
      <c r="AI399" s="132"/>
    </row>
    <row r="400" spans="1:35" s="16" customFormat="1" ht="15.75">
      <c r="A400" s="17"/>
      <c r="B400" s="6"/>
      <c r="C400" s="43"/>
      <c r="P400" s="199"/>
      <c r="Q400" s="131"/>
      <c r="R400" s="131"/>
      <c r="S400" s="131"/>
      <c r="T400" s="131"/>
      <c r="U400" s="131"/>
      <c r="V400" s="131"/>
      <c r="W400" s="131"/>
      <c r="X400" s="131"/>
      <c r="Y400" s="131"/>
      <c r="Z400" s="131"/>
      <c r="AA400" s="131"/>
      <c r="AB400" s="131"/>
      <c r="AC400" s="131"/>
      <c r="AD400" s="131"/>
      <c r="AE400" s="131"/>
      <c r="AF400" s="131"/>
      <c r="AG400" s="131"/>
      <c r="AH400" s="131"/>
      <c r="AI400" s="132"/>
    </row>
    <row r="401" spans="1:35" s="16" customFormat="1" ht="15.75">
      <c r="A401" s="17"/>
      <c r="B401" s="6"/>
      <c r="C401" s="43"/>
      <c r="P401" s="199"/>
      <c r="Q401" s="131"/>
      <c r="R401" s="131"/>
      <c r="S401" s="131"/>
      <c r="T401" s="131"/>
      <c r="U401" s="131"/>
      <c r="V401" s="131"/>
      <c r="W401" s="131"/>
      <c r="X401" s="131"/>
      <c r="Y401" s="131"/>
      <c r="Z401" s="131"/>
      <c r="AA401" s="131"/>
      <c r="AB401" s="131"/>
      <c r="AC401" s="131"/>
      <c r="AD401" s="131"/>
      <c r="AE401" s="131"/>
      <c r="AF401" s="131"/>
      <c r="AG401" s="131"/>
      <c r="AH401" s="131"/>
      <c r="AI401" s="132"/>
    </row>
    <row r="402" spans="1:35" s="16" customFormat="1" ht="15.75">
      <c r="A402" s="17"/>
      <c r="B402" s="6"/>
      <c r="C402" s="43"/>
      <c r="P402" s="199"/>
      <c r="Q402" s="131"/>
      <c r="R402" s="131"/>
      <c r="S402" s="131"/>
      <c r="T402" s="131"/>
      <c r="U402" s="131"/>
      <c r="V402" s="131"/>
      <c r="W402" s="131"/>
      <c r="X402" s="131"/>
      <c r="Y402" s="131"/>
      <c r="Z402" s="131"/>
      <c r="AA402" s="131"/>
      <c r="AB402" s="131"/>
      <c r="AC402" s="131"/>
      <c r="AD402" s="131"/>
      <c r="AE402" s="131"/>
      <c r="AF402" s="131"/>
      <c r="AG402" s="131"/>
      <c r="AH402" s="131"/>
      <c r="AI402" s="132"/>
    </row>
    <row r="403" spans="1:35" s="16" customFormat="1" ht="15.75">
      <c r="A403" s="17"/>
      <c r="B403" s="6"/>
      <c r="C403" s="43"/>
      <c r="P403" s="199"/>
      <c r="Q403" s="131"/>
      <c r="R403" s="131"/>
      <c r="S403" s="131"/>
      <c r="T403" s="131"/>
      <c r="U403" s="131"/>
      <c r="V403" s="131"/>
      <c r="W403" s="131"/>
      <c r="X403" s="131"/>
      <c r="Y403" s="131"/>
      <c r="Z403" s="131"/>
      <c r="AA403" s="131"/>
      <c r="AB403" s="131"/>
      <c r="AC403" s="131"/>
      <c r="AD403" s="131"/>
      <c r="AE403" s="131"/>
      <c r="AF403" s="131"/>
      <c r="AG403" s="131"/>
      <c r="AH403" s="131"/>
      <c r="AI403" s="132"/>
    </row>
    <row r="404" spans="1:35" s="16" customFormat="1" ht="15.75">
      <c r="A404" s="17"/>
      <c r="B404" s="6"/>
      <c r="C404" s="43"/>
      <c r="P404" s="199"/>
      <c r="Q404" s="131"/>
      <c r="R404" s="131"/>
      <c r="S404" s="131"/>
      <c r="T404" s="131"/>
      <c r="U404" s="131"/>
      <c r="V404" s="131"/>
      <c r="W404" s="131"/>
      <c r="X404" s="131"/>
      <c r="Y404" s="131"/>
      <c r="Z404" s="131"/>
      <c r="AA404" s="131"/>
      <c r="AB404" s="131"/>
      <c r="AC404" s="131"/>
      <c r="AD404" s="131"/>
      <c r="AE404" s="131"/>
      <c r="AF404" s="131"/>
      <c r="AG404" s="131"/>
      <c r="AH404" s="131"/>
      <c r="AI404" s="132"/>
    </row>
    <row r="405" spans="1:35" s="16" customFormat="1" ht="15.75">
      <c r="A405" s="17"/>
      <c r="B405" s="6"/>
      <c r="C405" s="43"/>
      <c r="P405" s="199"/>
      <c r="Q405" s="131"/>
      <c r="R405" s="131"/>
      <c r="S405" s="131"/>
      <c r="T405" s="131"/>
      <c r="U405" s="131"/>
      <c r="V405" s="131"/>
      <c r="W405" s="131"/>
      <c r="X405" s="131"/>
      <c r="Y405" s="131"/>
      <c r="Z405" s="131"/>
      <c r="AA405" s="131"/>
      <c r="AB405" s="131"/>
      <c r="AC405" s="131"/>
      <c r="AD405" s="131"/>
      <c r="AE405" s="131"/>
      <c r="AF405" s="131"/>
      <c r="AG405" s="131"/>
      <c r="AH405" s="131"/>
      <c r="AI405" s="132"/>
    </row>
    <row r="406" spans="1:35" s="16" customFormat="1" ht="15.75">
      <c r="A406" s="17"/>
      <c r="B406" s="6"/>
      <c r="C406" s="43"/>
      <c r="P406" s="199"/>
      <c r="Q406" s="131"/>
      <c r="R406" s="131"/>
      <c r="S406" s="131"/>
      <c r="T406" s="131"/>
      <c r="U406" s="131"/>
      <c r="V406" s="131"/>
      <c r="W406" s="131"/>
      <c r="X406" s="131"/>
      <c r="Y406" s="131"/>
      <c r="Z406" s="131"/>
      <c r="AA406" s="131"/>
      <c r="AB406" s="131"/>
      <c r="AC406" s="131"/>
      <c r="AD406" s="131"/>
      <c r="AE406" s="131"/>
      <c r="AF406" s="131"/>
      <c r="AG406" s="131"/>
      <c r="AH406" s="131"/>
      <c r="AI406" s="132"/>
    </row>
    <row r="407" spans="1:35" s="16" customFormat="1" ht="15.75">
      <c r="A407" s="17"/>
      <c r="B407" s="6"/>
      <c r="C407" s="43"/>
      <c r="P407" s="199"/>
      <c r="Q407" s="131"/>
      <c r="R407" s="131"/>
      <c r="S407" s="131"/>
      <c r="T407" s="131"/>
      <c r="U407" s="131"/>
      <c r="V407" s="131"/>
      <c r="W407" s="131"/>
      <c r="X407" s="131"/>
      <c r="Y407" s="131"/>
      <c r="Z407" s="131"/>
      <c r="AA407" s="131"/>
      <c r="AB407" s="131"/>
      <c r="AC407" s="131"/>
      <c r="AD407" s="131"/>
      <c r="AE407" s="131"/>
      <c r="AF407" s="131"/>
      <c r="AG407" s="131"/>
      <c r="AH407" s="131"/>
      <c r="AI407" s="132"/>
    </row>
    <row r="408" spans="1:35" s="16" customFormat="1" ht="15.75">
      <c r="A408" s="17"/>
      <c r="B408" s="6"/>
      <c r="C408" s="43"/>
      <c r="P408" s="199"/>
      <c r="Q408" s="131"/>
      <c r="R408" s="131"/>
      <c r="S408" s="131"/>
      <c r="T408" s="131"/>
      <c r="U408" s="131"/>
      <c r="V408" s="131"/>
      <c r="W408" s="131"/>
      <c r="X408" s="131"/>
      <c r="Y408" s="131"/>
      <c r="Z408" s="131"/>
      <c r="AA408" s="131"/>
      <c r="AB408" s="131"/>
      <c r="AC408" s="131"/>
      <c r="AD408" s="131"/>
      <c r="AE408" s="131"/>
      <c r="AF408" s="131"/>
      <c r="AG408" s="131"/>
      <c r="AH408" s="131"/>
      <c r="AI408" s="132"/>
    </row>
    <row r="409" spans="1:35" s="16" customFormat="1" ht="15.75">
      <c r="A409" s="17"/>
      <c r="B409" s="6"/>
      <c r="C409" s="43"/>
      <c r="P409" s="199"/>
      <c r="Q409" s="131"/>
      <c r="R409" s="131"/>
      <c r="S409" s="131"/>
      <c r="T409" s="131"/>
      <c r="U409" s="131"/>
      <c r="V409" s="131"/>
      <c r="W409" s="131"/>
      <c r="X409" s="131"/>
      <c r="Y409" s="131"/>
      <c r="Z409" s="131"/>
      <c r="AA409" s="131"/>
      <c r="AB409" s="131"/>
      <c r="AC409" s="131"/>
      <c r="AD409" s="131"/>
      <c r="AE409" s="131"/>
      <c r="AF409" s="131"/>
      <c r="AG409" s="131"/>
      <c r="AH409" s="131"/>
      <c r="AI409" s="132"/>
    </row>
    <row r="410" spans="1:35" s="16" customFormat="1" ht="15.75">
      <c r="A410" s="17"/>
      <c r="B410" s="6"/>
      <c r="C410" s="43"/>
      <c r="P410" s="199"/>
      <c r="Q410" s="131"/>
      <c r="R410" s="131"/>
      <c r="S410" s="131"/>
      <c r="T410" s="131"/>
      <c r="U410" s="131"/>
      <c r="V410" s="131"/>
      <c r="W410" s="131"/>
      <c r="X410" s="131"/>
      <c r="Y410" s="131"/>
      <c r="Z410" s="131"/>
      <c r="AA410" s="131"/>
      <c r="AB410" s="131"/>
      <c r="AC410" s="131"/>
      <c r="AD410" s="131"/>
      <c r="AE410" s="131"/>
      <c r="AF410" s="131"/>
      <c r="AG410" s="131"/>
      <c r="AH410" s="131"/>
      <c r="AI410" s="132"/>
    </row>
    <row r="411" spans="1:35" s="16" customFormat="1" ht="15.75">
      <c r="A411" s="17"/>
      <c r="B411" s="6"/>
      <c r="C411" s="43"/>
      <c r="P411" s="199"/>
      <c r="Q411" s="131"/>
      <c r="R411" s="131"/>
      <c r="S411" s="131"/>
      <c r="T411" s="131"/>
      <c r="U411" s="131"/>
      <c r="V411" s="131"/>
      <c r="W411" s="131"/>
      <c r="X411" s="131"/>
      <c r="Y411" s="131"/>
      <c r="Z411" s="131"/>
      <c r="AA411" s="131"/>
      <c r="AB411" s="131"/>
      <c r="AC411" s="131"/>
      <c r="AD411" s="131"/>
      <c r="AE411" s="131"/>
      <c r="AF411" s="131"/>
      <c r="AG411" s="131"/>
      <c r="AH411" s="131"/>
      <c r="AI411" s="132"/>
    </row>
    <row r="412" spans="1:35" s="16" customFormat="1" ht="15.75">
      <c r="A412" s="17"/>
      <c r="B412" s="6"/>
      <c r="C412" s="43"/>
      <c r="P412" s="199"/>
      <c r="Q412" s="131"/>
      <c r="R412" s="131"/>
      <c r="S412" s="131"/>
      <c r="T412" s="131"/>
      <c r="U412" s="131"/>
      <c r="V412" s="131"/>
      <c r="W412" s="131"/>
      <c r="X412" s="131"/>
      <c r="Y412" s="131"/>
      <c r="Z412" s="131"/>
      <c r="AA412" s="131"/>
      <c r="AB412" s="131"/>
      <c r="AC412" s="131"/>
      <c r="AD412" s="131"/>
      <c r="AE412" s="131"/>
      <c r="AF412" s="131"/>
      <c r="AG412" s="131"/>
      <c r="AH412" s="131"/>
      <c r="AI412" s="132"/>
    </row>
    <row r="413" spans="1:35" s="16" customFormat="1" ht="15.75">
      <c r="A413" s="17"/>
      <c r="B413" s="6"/>
      <c r="C413" s="43"/>
      <c r="P413" s="199"/>
      <c r="Q413" s="131"/>
      <c r="R413" s="131"/>
      <c r="S413" s="131"/>
      <c r="T413" s="131"/>
      <c r="U413" s="131"/>
      <c r="V413" s="131"/>
      <c r="W413" s="131"/>
      <c r="X413" s="131"/>
      <c r="Y413" s="131"/>
      <c r="Z413" s="131"/>
      <c r="AA413" s="131"/>
      <c r="AB413" s="131"/>
      <c r="AC413" s="131"/>
      <c r="AD413" s="131"/>
      <c r="AE413" s="131"/>
      <c r="AF413" s="131"/>
      <c r="AG413" s="131"/>
      <c r="AH413" s="131"/>
      <c r="AI413" s="132"/>
    </row>
    <row r="414" spans="1:35" s="16" customFormat="1" ht="15.75">
      <c r="A414" s="17"/>
      <c r="B414" s="6"/>
      <c r="C414" s="43"/>
      <c r="P414" s="199"/>
      <c r="Q414" s="131"/>
      <c r="R414" s="131"/>
      <c r="S414" s="131"/>
      <c r="T414" s="131"/>
      <c r="U414" s="131"/>
      <c r="V414" s="131"/>
      <c r="W414" s="131"/>
      <c r="X414" s="131"/>
      <c r="Y414" s="131"/>
      <c r="Z414" s="131"/>
      <c r="AA414" s="131"/>
      <c r="AB414" s="131"/>
      <c r="AC414" s="131"/>
      <c r="AD414" s="131"/>
      <c r="AE414" s="131"/>
      <c r="AF414" s="131"/>
      <c r="AG414" s="131"/>
      <c r="AH414" s="131"/>
      <c r="AI414" s="132"/>
    </row>
    <row r="415" spans="1:35" s="16" customFormat="1" ht="15.75">
      <c r="A415" s="17"/>
      <c r="B415" s="6"/>
      <c r="C415" s="43"/>
      <c r="P415" s="199"/>
      <c r="Q415" s="131"/>
      <c r="R415" s="131"/>
      <c r="S415" s="131"/>
      <c r="T415" s="131"/>
      <c r="U415" s="131"/>
      <c r="V415" s="131"/>
      <c r="W415" s="131"/>
      <c r="X415" s="131"/>
      <c r="Y415" s="131"/>
      <c r="Z415" s="131"/>
      <c r="AA415" s="131"/>
      <c r="AB415" s="131"/>
      <c r="AC415" s="131"/>
      <c r="AD415" s="131"/>
      <c r="AE415" s="131"/>
      <c r="AF415" s="131"/>
      <c r="AG415" s="131"/>
      <c r="AH415" s="131"/>
      <c r="AI415" s="132"/>
    </row>
    <row r="416" spans="1:35" s="16" customFormat="1" ht="15.75">
      <c r="A416" s="17"/>
      <c r="B416" s="6"/>
      <c r="C416" s="43"/>
      <c r="P416" s="199"/>
      <c r="Q416" s="131"/>
      <c r="R416" s="131"/>
      <c r="S416" s="131"/>
      <c r="T416" s="131"/>
      <c r="U416" s="131"/>
      <c r="V416" s="131"/>
      <c r="W416" s="131"/>
      <c r="X416" s="131"/>
      <c r="Y416" s="131"/>
      <c r="Z416" s="131"/>
      <c r="AA416" s="131"/>
      <c r="AB416" s="131"/>
      <c r="AC416" s="131"/>
      <c r="AD416" s="131"/>
      <c r="AE416" s="131"/>
      <c r="AF416" s="131"/>
      <c r="AG416" s="131"/>
      <c r="AH416" s="131"/>
      <c r="AI416" s="132"/>
    </row>
    <row r="417" spans="1:35" s="16" customFormat="1" ht="15.75">
      <c r="A417" s="17"/>
      <c r="B417" s="6"/>
      <c r="C417" s="43"/>
      <c r="P417" s="199"/>
      <c r="Q417" s="131"/>
      <c r="R417" s="131"/>
      <c r="S417" s="131"/>
      <c r="T417" s="131"/>
      <c r="U417" s="131"/>
      <c r="V417" s="131"/>
      <c r="W417" s="131"/>
      <c r="X417" s="131"/>
      <c r="Y417" s="131"/>
      <c r="Z417" s="131"/>
      <c r="AA417" s="131"/>
      <c r="AB417" s="131"/>
      <c r="AC417" s="131"/>
      <c r="AD417" s="131"/>
      <c r="AE417" s="131"/>
      <c r="AF417" s="131"/>
      <c r="AG417" s="131"/>
      <c r="AH417" s="131"/>
      <c r="AI417" s="132"/>
    </row>
    <row r="418" spans="1:35" s="16" customFormat="1" ht="15.75">
      <c r="A418" s="17"/>
      <c r="B418" s="6"/>
      <c r="C418" s="43"/>
      <c r="P418" s="199"/>
      <c r="Q418" s="131"/>
      <c r="R418" s="131"/>
      <c r="S418" s="131"/>
      <c r="T418" s="131"/>
      <c r="U418" s="131"/>
      <c r="V418" s="131"/>
      <c r="W418" s="131"/>
      <c r="X418" s="131"/>
      <c r="Y418" s="131"/>
      <c r="Z418" s="131"/>
      <c r="AA418" s="131"/>
      <c r="AB418" s="131"/>
      <c r="AC418" s="131"/>
      <c r="AD418" s="131"/>
      <c r="AE418" s="131"/>
      <c r="AF418" s="131"/>
      <c r="AG418" s="131"/>
      <c r="AH418" s="131"/>
      <c r="AI418" s="132"/>
    </row>
    <row r="419" spans="1:35" s="16" customFormat="1" ht="15.75">
      <c r="A419" s="17"/>
      <c r="B419" s="6"/>
      <c r="C419" s="43"/>
      <c r="P419" s="199"/>
      <c r="Q419" s="131"/>
      <c r="R419" s="131"/>
      <c r="S419" s="131"/>
      <c r="T419" s="131"/>
      <c r="U419" s="131"/>
      <c r="V419" s="131"/>
      <c r="W419" s="131"/>
      <c r="X419" s="131"/>
      <c r="Y419" s="131"/>
      <c r="Z419" s="131"/>
      <c r="AA419" s="131"/>
      <c r="AB419" s="131"/>
      <c r="AC419" s="131"/>
      <c r="AD419" s="131"/>
      <c r="AE419" s="131"/>
      <c r="AF419" s="131"/>
      <c r="AG419" s="131"/>
      <c r="AH419" s="131"/>
      <c r="AI419" s="132"/>
    </row>
    <row r="420" spans="1:35" s="16" customFormat="1" ht="15.75">
      <c r="A420" s="17"/>
      <c r="B420" s="6"/>
      <c r="C420" s="43"/>
      <c r="P420" s="199"/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  <c r="AA420" s="131"/>
      <c r="AB420" s="131"/>
      <c r="AC420" s="131"/>
      <c r="AD420" s="131"/>
      <c r="AE420" s="131"/>
      <c r="AF420" s="131"/>
      <c r="AG420" s="131"/>
      <c r="AH420" s="131"/>
      <c r="AI420" s="132"/>
    </row>
    <row r="421" spans="1:35" s="16" customFormat="1" ht="15.75">
      <c r="A421" s="17"/>
      <c r="B421" s="6"/>
      <c r="C421" s="43"/>
      <c r="P421" s="199"/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  <c r="AA421" s="131"/>
      <c r="AB421" s="131"/>
      <c r="AC421" s="131"/>
      <c r="AD421" s="131"/>
      <c r="AE421" s="131"/>
      <c r="AF421" s="131"/>
      <c r="AG421" s="131"/>
      <c r="AH421" s="131"/>
      <c r="AI421" s="132"/>
    </row>
    <row r="422" spans="1:35" s="16" customFormat="1" ht="15.75">
      <c r="A422" s="17"/>
      <c r="B422" s="6"/>
      <c r="C422" s="43"/>
      <c r="P422" s="199"/>
      <c r="Q422" s="131"/>
      <c r="R422" s="131"/>
      <c r="S422" s="131"/>
      <c r="T422" s="131"/>
      <c r="U422" s="131"/>
      <c r="V422" s="131"/>
      <c r="W422" s="131"/>
      <c r="X422" s="131"/>
      <c r="Y422" s="131"/>
      <c r="Z422" s="131"/>
      <c r="AA422" s="131"/>
      <c r="AB422" s="131"/>
      <c r="AC422" s="131"/>
      <c r="AD422" s="131"/>
      <c r="AE422" s="131"/>
      <c r="AF422" s="131"/>
      <c r="AG422" s="131"/>
      <c r="AH422" s="131"/>
      <c r="AI422" s="132"/>
    </row>
    <row r="423" spans="1:35" s="16" customFormat="1" ht="15.75">
      <c r="A423" s="17"/>
      <c r="B423" s="6"/>
      <c r="C423" s="43"/>
      <c r="P423" s="199"/>
      <c r="Q423" s="131"/>
      <c r="R423" s="131"/>
      <c r="S423" s="131"/>
      <c r="T423" s="131"/>
      <c r="U423" s="131"/>
      <c r="V423" s="131"/>
      <c r="W423" s="131"/>
      <c r="X423" s="131"/>
      <c r="Y423" s="131"/>
      <c r="Z423" s="131"/>
      <c r="AA423" s="131"/>
      <c r="AB423" s="131"/>
      <c r="AC423" s="131"/>
      <c r="AD423" s="131"/>
      <c r="AE423" s="131"/>
      <c r="AF423" s="131"/>
      <c r="AG423" s="131"/>
      <c r="AH423" s="131"/>
      <c r="AI423" s="132"/>
    </row>
    <row r="424" spans="1:35" s="16" customFormat="1" ht="15.75">
      <c r="A424" s="17"/>
      <c r="B424" s="6"/>
      <c r="C424" s="43"/>
      <c r="P424" s="199"/>
      <c r="Q424" s="131"/>
      <c r="R424" s="131"/>
      <c r="S424" s="131"/>
      <c r="T424" s="131"/>
      <c r="U424" s="131"/>
      <c r="V424" s="131"/>
      <c r="W424" s="131"/>
      <c r="X424" s="131"/>
      <c r="Y424" s="131"/>
      <c r="Z424" s="131"/>
      <c r="AA424" s="131"/>
      <c r="AB424" s="131"/>
      <c r="AC424" s="131"/>
      <c r="AD424" s="131"/>
      <c r="AE424" s="131"/>
      <c r="AF424" s="131"/>
      <c r="AG424" s="131"/>
      <c r="AH424" s="131"/>
      <c r="AI424" s="132"/>
    </row>
    <row r="425" spans="1:35" s="16" customFormat="1" ht="15.75">
      <c r="A425" s="17"/>
      <c r="B425" s="6"/>
      <c r="C425" s="43"/>
      <c r="P425" s="199"/>
      <c r="Q425" s="131"/>
      <c r="R425" s="131"/>
      <c r="S425" s="131"/>
      <c r="T425" s="131"/>
      <c r="U425" s="131"/>
      <c r="V425" s="131"/>
      <c r="W425" s="131"/>
      <c r="X425" s="131"/>
      <c r="Y425" s="131"/>
      <c r="Z425" s="131"/>
      <c r="AA425" s="131"/>
      <c r="AB425" s="131"/>
      <c r="AC425" s="131"/>
      <c r="AD425" s="131"/>
      <c r="AE425" s="131"/>
      <c r="AF425" s="131"/>
      <c r="AG425" s="131"/>
      <c r="AH425" s="131"/>
      <c r="AI425" s="132"/>
    </row>
    <row r="426" spans="1:35" s="16" customFormat="1" ht="15.75">
      <c r="A426" s="17"/>
      <c r="B426" s="6"/>
      <c r="C426" s="43"/>
      <c r="P426" s="199"/>
      <c r="Q426" s="131"/>
      <c r="R426" s="131"/>
      <c r="S426" s="131"/>
      <c r="T426" s="131"/>
      <c r="U426" s="131"/>
      <c r="V426" s="131"/>
      <c r="W426" s="131"/>
      <c r="X426" s="131"/>
      <c r="Y426" s="131"/>
      <c r="Z426" s="131"/>
      <c r="AA426" s="131"/>
      <c r="AB426" s="131"/>
      <c r="AC426" s="131"/>
      <c r="AD426" s="131"/>
      <c r="AE426" s="131"/>
      <c r="AF426" s="131"/>
      <c r="AG426" s="131"/>
      <c r="AH426" s="131"/>
      <c r="AI426" s="132"/>
    </row>
    <row r="427" spans="1:35" s="16" customFormat="1" ht="15.75">
      <c r="A427" s="17"/>
      <c r="B427" s="6"/>
      <c r="C427" s="43"/>
      <c r="P427" s="199"/>
      <c r="Q427" s="131"/>
      <c r="R427" s="131"/>
      <c r="S427" s="131"/>
      <c r="T427" s="131"/>
      <c r="U427" s="131"/>
      <c r="V427" s="131"/>
      <c r="W427" s="131"/>
      <c r="X427" s="131"/>
      <c r="Y427" s="131"/>
      <c r="Z427" s="131"/>
      <c r="AA427" s="131"/>
      <c r="AB427" s="131"/>
      <c r="AC427" s="131"/>
      <c r="AD427" s="131"/>
      <c r="AE427" s="131"/>
      <c r="AF427" s="131"/>
      <c r="AG427" s="131"/>
      <c r="AH427" s="131"/>
      <c r="AI427" s="132"/>
    </row>
    <row r="428" spans="1:35" s="16" customFormat="1" ht="15.75">
      <c r="A428" s="17"/>
      <c r="B428" s="6"/>
      <c r="C428" s="43"/>
      <c r="P428" s="199"/>
      <c r="Q428" s="131"/>
      <c r="R428" s="131"/>
      <c r="S428" s="131"/>
      <c r="T428" s="131"/>
      <c r="U428" s="131"/>
      <c r="V428" s="131"/>
      <c r="W428" s="131"/>
      <c r="X428" s="131"/>
      <c r="Y428" s="131"/>
      <c r="Z428" s="131"/>
      <c r="AA428" s="131"/>
      <c r="AB428" s="131"/>
      <c r="AC428" s="131"/>
      <c r="AD428" s="131"/>
      <c r="AE428" s="131"/>
      <c r="AF428" s="131"/>
      <c r="AG428" s="131"/>
      <c r="AH428" s="131"/>
      <c r="AI428" s="132"/>
    </row>
    <row r="429" spans="1:35" s="16" customFormat="1" ht="15.75">
      <c r="A429" s="17"/>
      <c r="B429" s="6"/>
      <c r="C429" s="43"/>
      <c r="P429" s="199"/>
      <c r="Q429" s="131"/>
      <c r="R429" s="131"/>
      <c r="S429" s="131"/>
      <c r="T429" s="131"/>
      <c r="U429" s="131"/>
      <c r="V429" s="131"/>
      <c r="W429" s="131"/>
      <c r="X429" s="131"/>
      <c r="Y429" s="131"/>
      <c r="Z429" s="131"/>
      <c r="AA429" s="131"/>
      <c r="AB429" s="131"/>
      <c r="AC429" s="131"/>
      <c r="AD429" s="131"/>
      <c r="AE429" s="131"/>
      <c r="AF429" s="131"/>
      <c r="AG429" s="131"/>
      <c r="AH429" s="131"/>
      <c r="AI429" s="132"/>
    </row>
    <row r="430" spans="1:35" s="16" customFormat="1" ht="15.75">
      <c r="A430" s="17"/>
      <c r="B430" s="6"/>
      <c r="C430" s="43"/>
      <c r="P430" s="199"/>
      <c r="Q430" s="131"/>
      <c r="R430" s="131"/>
      <c r="S430" s="131"/>
      <c r="T430" s="131"/>
      <c r="U430" s="131"/>
      <c r="V430" s="131"/>
      <c r="W430" s="131"/>
      <c r="X430" s="131"/>
      <c r="Y430" s="131"/>
      <c r="Z430" s="131"/>
      <c r="AA430" s="131"/>
      <c r="AB430" s="131"/>
      <c r="AC430" s="131"/>
      <c r="AD430" s="131"/>
      <c r="AE430" s="131"/>
      <c r="AF430" s="131"/>
      <c r="AG430" s="131"/>
      <c r="AH430" s="131"/>
      <c r="AI430" s="132"/>
    </row>
    <row r="431" spans="1:35" s="16" customFormat="1" ht="15.75">
      <c r="A431" s="17"/>
      <c r="B431" s="6"/>
      <c r="C431" s="43"/>
      <c r="P431" s="199"/>
      <c r="Q431" s="131"/>
      <c r="R431" s="131"/>
      <c r="S431" s="131"/>
      <c r="T431" s="131"/>
      <c r="U431" s="131"/>
      <c r="V431" s="131"/>
      <c r="W431" s="131"/>
      <c r="X431" s="131"/>
      <c r="Y431" s="131"/>
      <c r="Z431" s="131"/>
      <c r="AA431" s="131"/>
      <c r="AB431" s="131"/>
      <c r="AC431" s="131"/>
      <c r="AD431" s="131"/>
      <c r="AE431" s="131"/>
      <c r="AF431" s="131"/>
      <c r="AG431" s="131"/>
      <c r="AH431" s="131"/>
      <c r="AI431" s="132"/>
    </row>
    <row r="432" spans="1:35" s="16" customFormat="1" ht="15.75">
      <c r="A432" s="17"/>
      <c r="B432" s="6"/>
      <c r="C432" s="43"/>
      <c r="P432" s="199"/>
      <c r="Q432" s="131"/>
      <c r="R432" s="131"/>
      <c r="S432" s="131"/>
      <c r="T432" s="131"/>
      <c r="U432" s="131"/>
      <c r="V432" s="131"/>
      <c r="W432" s="131"/>
      <c r="X432" s="131"/>
      <c r="Y432" s="131"/>
      <c r="Z432" s="131"/>
      <c r="AA432" s="131"/>
      <c r="AB432" s="131"/>
      <c r="AC432" s="131"/>
      <c r="AD432" s="131"/>
      <c r="AE432" s="131"/>
      <c r="AF432" s="131"/>
      <c r="AG432" s="131"/>
      <c r="AH432" s="131"/>
      <c r="AI432" s="132"/>
    </row>
    <row r="433" spans="1:35" s="16" customFormat="1" ht="15.75">
      <c r="A433" s="17"/>
      <c r="B433" s="6"/>
      <c r="C433" s="43"/>
      <c r="P433" s="199"/>
      <c r="Q433" s="131"/>
      <c r="R433" s="131"/>
      <c r="S433" s="131"/>
      <c r="T433" s="131"/>
      <c r="U433" s="131"/>
      <c r="V433" s="131"/>
      <c r="W433" s="131"/>
      <c r="X433" s="131"/>
      <c r="Y433" s="131"/>
      <c r="Z433" s="131"/>
      <c r="AA433" s="131"/>
      <c r="AB433" s="131"/>
      <c r="AC433" s="131"/>
      <c r="AD433" s="131"/>
      <c r="AE433" s="131"/>
      <c r="AF433" s="131"/>
      <c r="AG433" s="131"/>
      <c r="AH433" s="131"/>
      <c r="AI433" s="132"/>
    </row>
    <row r="434" spans="1:35" s="16" customFormat="1" ht="15.75">
      <c r="A434" s="17"/>
      <c r="B434" s="6"/>
      <c r="C434" s="43"/>
      <c r="P434" s="199"/>
      <c r="Q434" s="131"/>
      <c r="R434" s="131"/>
      <c r="S434" s="131"/>
      <c r="T434" s="131"/>
      <c r="U434" s="131"/>
      <c r="V434" s="131"/>
      <c r="W434" s="131"/>
      <c r="X434" s="131"/>
      <c r="Y434" s="131"/>
      <c r="Z434" s="131"/>
      <c r="AA434" s="131"/>
      <c r="AB434" s="131"/>
      <c r="AC434" s="131"/>
      <c r="AD434" s="131"/>
      <c r="AE434" s="131"/>
      <c r="AF434" s="131"/>
      <c r="AG434" s="131"/>
      <c r="AH434" s="131"/>
      <c r="AI434" s="132"/>
    </row>
    <row r="435" spans="1:35" s="16" customFormat="1" ht="15.75">
      <c r="A435" s="17"/>
      <c r="B435" s="6"/>
      <c r="C435" s="43"/>
      <c r="P435" s="199"/>
      <c r="Q435" s="131"/>
      <c r="R435" s="131"/>
      <c r="S435" s="131"/>
      <c r="T435" s="131"/>
      <c r="U435" s="131"/>
      <c r="V435" s="131"/>
      <c r="W435" s="131"/>
      <c r="X435" s="131"/>
      <c r="Y435" s="131"/>
      <c r="Z435" s="131"/>
      <c r="AA435" s="131"/>
      <c r="AB435" s="131"/>
      <c r="AC435" s="131"/>
      <c r="AD435" s="131"/>
      <c r="AE435" s="131"/>
      <c r="AF435" s="131"/>
      <c r="AG435" s="131"/>
      <c r="AH435" s="131"/>
      <c r="AI435" s="132"/>
    </row>
    <row r="436" spans="1:35" s="16" customFormat="1" ht="15.75">
      <c r="A436" s="17"/>
      <c r="B436" s="6"/>
      <c r="C436" s="43"/>
      <c r="P436" s="199"/>
      <c r="Q436" s="131"/>
      <c r="R436" s="131"/>
      <c r="S436" s="131"/>
      <c r="T436" s="131"/>
      <c r="U436" s="131"/>
      <c r="V436" s="131"/>
      <c r="W436" s="131"/>
      <c r="X436" s="131"/>
      <c r="Y436" s="131"/>
      <c r="Z436" s="131"/>
      <c r="AA436" s="131"/>
      <c r="AB436" s="131"/>
      <c r="AC436" s="131"/>
      <c r="AD436" s="131"/>
      <c r="AE436" s="131"/>
      <c r="AF436" s="131"/>
      <c r="AG436" s="131"/>
      <c r="AH436" s="131"/>
      <c r="AI436" s="132"/>
    </row>
    <row r="437" spans="1:35" s="16" customFormat="1" ht="15.75">
      <c r="A437" s="17"/>
      <c r="B437" s="6"/>
      <c r="C437" s="43"/>
      <c r="P437" s="199"/>
      <c r="Q437" s="131"/>
      <c r="R437" s="131"/>
      <c r="S437" s="131"/>
      <c r="T437" s="131"/>
      <c r="U437" s="131"/>
      <c r="V437" s="131"/>
      <c r="W437" s="131"/>
      <c r="X437" s="131"/>
      <c r="Y437" s="131"/>
      <c r="Z437" s="131"/>
      <c r="AA437" s="131"/>
      <c r="AB437" s="131"/>
      <c r="AC437" s="131"/>
      <c r="AD437" s="131"/>
      <c r="AE437" s="131"/>
      <c r="AF437" s="131"/>
      <c r="AG437" s="131"/>
      <c r="AH437" s="131"/>
      <c r="AI437" s="132"/>
    </row>
    <row r="438" spans="1:35" s="16" customFormat="1" ht="15.75">
      <c r="A438" s="17"/>
      <c r="B438" s="6"/>
      <c r="C438" s="43"/>
      <c r="P438" s="199"/>
      <c r="Q438" s="131"/>
      <c r="R438" s="131"/>
      <c r="S438" s="131"/>
      <c r="T438" s="131"/>
      <c r="U438" s="131"/>
      <c r="V438" s="131"/>
      <c r="W438" s="131"/>
      <c r="X438" s="131"/>
      <c r="Y438" s="131"/>
      <c r="Z438" s="131"/>
      <c r="AA438" s="131"/>
      <c r="AB438" s="131"/>
      <c r="AC438" s="131"/>
      <c r="AD438" s="131"/>
      <c r="AE438" s="131"/>
      <c r="AF438" s="131"/>
      <c r="AG438" s="131"/>
      <c r="AH438" s="131"/>
      <c r="AI438" s="132"/>
    </row>
    <row r="439" spans="1:35" s="16" customFormat="1" ht="15.75">
      <c r="A439" s="17"/>
      <c r="B439" s="6"/>
      <c r="C439" s="43"/>
      <c r="P439" s="199"/>
      <c r="Q439" s="131"/>
      <c r="R439" s="131"/>
      <c r="S439" s="131"/>
      <c r="T439" s="131"/>
      <c r="U439" s="131"/>
      <c r="V439" s="131"/>
      <c r="W439" s="131"/>
      <c r="X439" s="131"/>
      <c r="Y439" s="131"/>
      <c r="Z439" s="131"/>
      <c r="AA439" s="131"/>
      <c r="AB439" s="131"/>
      <c r="AC439" s="131"/>
      <c r="AD439" s="131"/>
      <c r="AE439" s="131"/>
      <c r="AF439" s="131"/>
      <c r="AG439" s="131"/>
      <c r="AH439" s="131"/>
      <c r="AI439" s="132"/>
    </row>
    <row r="440" spans="1:35" s="16" customFormat="1" ht="15.75">
      <c r="A440" s="17"/>
      <c r="B440" s="6"/>
      <c r="C440" s="43"/>
      <c r="P440" s="199"/>
      <c r="Q440" s="131"/>
      <c r="R440" s="131"/>
      <c r="S440" s="131"/>
      <c r="T440" s="131"/>
      <c r="U440" s="131"/>
      <c r="V440" s="131"/>
      <c r="W440" s="131"/>
      <c r="X440" s="131"/>
      <c r="Y440" s="131"/>
      <c r="Z440" s="131"/>
      <c r="AA440" s="131"/>
      <c r="AB440" s="131"/>
      <c r="AC440" s="131"/>
      <c r="AD440" s="131"/>
      <c r="AE440" s="131"/>
      <c r="AF440" s="131"/>
      <c r="AG440" s="131"/>
      <c r="AH440" s="131"/>
      <c r="AI440" s="132"/>
    </row>
    <row r="441" spans="1:35" s="16" customFormat="1" ht="15.75">
      <c r="A441" s="17"/>
      <c r="B441" s="6"/>
      <c r="C441" s="43"/>
      <c r="P441" s="199"/>
      <c r="Q441" s="131"/>
      <c r="R441" s="131"/>
      <c r="S441" s="131"/>
      <c r="T441" s="131"/>
      <c r="U441" s="131"/>
      <c r="V441" s="131"/>
      <c r="W441" s="131"/>
      <c r="X441" s="131"/>
      <c r="Y441" s="131"/>
      <c r="Z441" s="131"/>
      <c r="AA441" s="131"/>
      <c r="AB441" s="131"/>
      <c r="AC441" s="131"/>
      <c r="AD441" s="131"/>
      <c r="AE441" s="131"/>
      <c r="AF441" s="131"/>
      <c r="AG441" s="131"/>
      <c r="AH441" s="131"/>
      <c r="AI441" s="132"/>
    </row>
    <row r="442" spans="1:35" s="16" customFormat="1" ht="15.75">
      <c r="A442" s="17"/>
      <c r="B442" s="6"/>
      <c r="C442" s="43"/>
      <c r="P442" s="199"/>
      <c r="Q442" s="131"/>
      <c r="R442" s="131"/>
      <c r="S442" s="131"/>
      <c r="T442" s="131"/>
      <c r="U442" s="131"/>
      <c r="V442" s="131"/>
      <c r="W442" s="131"/>
      <c r="X442" s="131"/>
      <c r="Y442" s="131"/>
      <c r="Z442" s="131"/>
      <c r="AA442" s="131"/>
      <c r="AB442" s="131"/>
      <c r="AC442" s="131"/>
      <c r="AD442" s="131"/>
      <c r="AE442" s="131"/>
      <c r="AF442" s="131"/>
      <c r="AG442" s="131"/>
      <c r="AH442" s="131"/>
      <c r="AI442" s="132"/>
    </row>
    <row r="443" spans="1:35" s="16" customFormat="1" ht="15.75">
      <c r="A443" s="17"/>
      <c r="B443" s="6"/>
      <c r="C443" s="43"/>
      <c r="P443" s="199"/>
      <c r="Q443" s="131"/>
      <c r="R443" s="131"/>
      <c r="S443" s="131"/>
      <c r="T443" s="131"/>
      <c r="U443" s="131"/>
      <c r="V443" s="131"/>
      <c r="W443" s="131"/>
      <c r="X443" s="131"/>
      <c r="Y443" s="131"/>
      <c r="Z443" s="131"/>
      <c r="AA443" s="131"/>
      <c r="AB443" s="131"/>
      <c r="AC443" s="131"/>
      <c r="AD443" s="131"/>
      <c r="AE443" s="131"/>
      <c r="AF443" s="131"/>
      <c r="AG443" s="131"/>
      <c r="AH443" s="131"/>
      <c r="AI443" s="132"/>
    </row>
    <row r="444" spans="1:35" s="16" customFormat="1" ht="15.75">
      <c r="A444" s="17"/>
      <c r="B444" s="6"/>
      <c r="C444" s="43"/>
      <c r="P444" s="199"/>
      <c r="Q444" s="131"/>
      <c r="R444" s="131"/>
      <c r="S444" s="131"/>
      <c r="T444" s="131"/>
      <c r="U444" s="131"/>
      <c r="V444" s="131"/>
      <c r="W444" s="131"/>
      <c r="X444" s="131"/>
      <c r="Y444" s="131"/>
      <c r="Z444" s="131"/>
      <c r="AA444" s="131"/>
      <c r="AB444" s="131"/>
      <c r="AC444" s="131"/>
      <c r="AD444" s="131"/>
      <c r="AE444" s="131"/>
      <c r="AF444" s="131"/>
      <c r="AG444" s="131"/>
      <c r="AH444" s="131"/>
      <c r="AI444" s="132"/>
    </row>
    <row r="445" spans="1:35" s="16" customFormat="1" ht="15.75">
      <c r="A445" s="17"/>
      <c r="B445" s="6"/>
      <c r="C445" s="43"/>
      <c r="P445" s="199"/>
      <c r="Q445" s="131"/>
      <c r="R445" s="131"/>
      <c r="S445" s="131"/>
      <c r="T445" s="131"/>
      <c r="U445" s="131"/>
      <c r="V445" s="131"/>
      <c r="W445" s="131"/>
      <c r="X445" s="131"/>
      <c r="Y445" s="131"/>
      <c r="Z445" s="131"/>
      <c r="AA445" s="131"/>
      <c r="AB445" s="131"/>
      <c r="AC445" s="131"/>
      <c r="AD445" s="131"/>
      <c r="AE445" s="131"/>
      <c r="AF445" s="131"/>
      <c r="AG445" s="131"/>
      <c r="AH445" s="131"/>
      <c r="AI445" s="132"/>
    </row>
    <row r="446" spans="1:35" s="16" customFormat="1" ht="15.75">
      <c r="A446" s="17"/>
      <c r="B446" s="6"/>
      <c r="C446" s="43"/>
      <c r="P446" s="199"/>
      <c r="Q446" s="131"/>
      <c r="R446" s="131"/>
      <c r="S446" s="131"/>
      <c r="T446" s="131"/>
      <c r="U446" s="131"/>
      <c r="V446" s="131"/>
      <c r="W446" s="131"/>
      <c r="X446" s="131"/>
      <c r="Y446" s="131"/>
      <c r="Z446" s="131"/>
      <c r="AA446" s="131"/>
      <c r="AB446" s="131"/>
      <c r="AC446" s="131"/>
      <c r="AD446" s="131"/>
      <c r="AE446" s="131"/>
      <c r="AF446" s="131"/>
      <c r="AG446" s="131"/>
      <c r="AH446" s="131"/>
      <c r="AI446" s="132"/>
    </row>
    <row r="447" spans="1:35" s="16" customFormat="1" ht="15.75">
      <c r="A447" s="17"/>
      <c r="B447" s="6"/>
      <c r="C447" s="43"/>
      <c r="P447" s="199"/>
      <c r="Q447" s="131"/>
      <c r="R447" s="131"/>
      <c r="S447" s="131"/>
      <c r="T447" s="131"/>
      <c r="U447" s="131"/>
      <c r="V447" s="131"/>
      <c r="W447" s="131"/>
      <c r="X447" s="131"/>
      <c r="Y447" s="131"/>
      <c r="Z447" s="131"/>
      <c r="AA447" s="131"/>
      <c r="AB447" s="131"/>
      <c r="AC447" s="131"/>
      <c r="AD447" s="131"/>
      <c r="AE447" s="131"/>
      <c r="AF447" s="131"/>
      <c r="AG447" s="131"/>
      <c r="AH447" s="131"/>
      <c r="AI447" s="132"/>
    </row>
    <row r="448" spans="1:35" s="16" customFormat="1" ht="15.75">
      <c r="A448" s="17"/>
      <c r="B448" s="6"/>
      <c r="C448" s="43"/>
      <c r="P448" s="199"/>
      <c r="Q448" s="131"/>
      <c r="R448" s="131"/>
      <c r="S448" s="131"/>
      <c r="T448" s="131"/>
      <c r="U448" s="131"/>
      <c r="V448" s="131"/>
      <c r="W448" s="131"/>
      <c r="X448" s="131"/>
      <c r="Y448" s="131"/>
      <c r="Z448" s="131"/>
      <c r="AA448" s="131"/>
      <c r="AB448" s="131"/>
      <c r="AC448" s="131"/>
      <c r="AD448" s="131"/>
      <c r="AE448" s="131"/>
      <c r="AF448" s="131"/>
      <c r="AG448" s="131"/>
      <c r="AH448" s="131"/>
      <c r="AI448" s="132"/>
    </row>
    <row r="449" spans="1:35" s="16" customFormat="1" ht="15.75">
      <c r="A449" s="17"/>
      <c r="B449" s="6"/>
      <c r="C449" s="43"/>
      <c r="P449" s="199"/>
      <c r="Q449" s="131"/>
      <c r="R449" s="131"/>
      <c r="S449" s="131"/>
      <c r="T449" s="131"/>
      <c r="U449" s="131"/>
      <c r="V449" s="131"/>
      <c r="W449" s="131"/>
      <c r="X449" s="131"/>
      <c r="Y449" s="131"/>
      <c r="Z449" s="131"/>
      <c r="AA449" s="131"/>
      <c r="AB449" s="131"/>
      <c r="AC449" s="131"/>
      <c r="AD449" s="131"/>
      <c r="AE449" s="131"/>
      <c r="AF449" s="131"/>
      <c r="AG449" s="131"/>
      <c r="AH449" s="131"/>
      <c r="AI449" s="132"/>
    </row>
    <row r="450" spans="1:35" s="16" customFormat="1" ht="15.75">
      <c r="A450" s="17"/>
      <c r="B450" s="6"/>
      <c r="C450" s="43"/>
      <c r="P450" s="199"/>
      <c r="Q450" s="131"/>
      <c r="R450" s="131"/>
      <c r="S450" s="131"/>
      <c r="T450" s="131"/>
      <c r="U450" s="131"/>
      <c r="V450" s="131"/>
      <c r="W450" s="131"/>
      <c r="X450" s="131"/>
      <c r="Y450" s="131"/>
      <c r="Z450" s="131"/>
      <c r="AA450" s="131"/>
      <c r="AB450" s="131"/>
      <c r="AC450" s="131"/>
      <c r="AD450" s="131"/>
      <c r="AE450" s="131"/>
      <c r="AF450" s="131"/>
      <c r="AG450" s="131"/>
      <c r="AH450" s="131"/>
      <c r="AI450" s="132"/>
    </row>
    <row r="451" spans="1:35" s="16" customFormat="1" ht="15.75">
      <c r="A451" s="17"/>
      <c r="B451" s="6"/>
      <c r="C451" s="43"/>
      <c r="P451" s="199"/>
      <c r="Q451" s="131"/>
      <c r="R451" s="131"/>
      <c r="S451" s="131"/>
      <c r="T451" s="131"/>
      <c r="U451" s="131"/>
      <c r="V451" s="131"/>
      <c r="W451" s="131"/>
      <c r="X451" s="131"/>
      <c r="Y451" s="131"/>
      <c r="Z451" s="131"/>
      <c r="AA451" s="131"/>
      <c r="AB451" s="131"/>
      <c r="AC451" s="131"/>
      <c r="AD451" s="131"/>
      <c r="AE451" s="131"/>
      <c r="AF451" s="131"/>
      <c r="AG451" s="131"/>
      <c r="AH451" s="131"/>
      <c r="AI451" s="132"/>
    </row>
    <row r="452" spans="1:35" s="16" customFormat="1" ht="15.75">
      <c r="A452" s="17"/>
      <c r="B452" s="6"/>
      <c r="C452" s="43"/>
      <c r="P452" s="199"/>
      <c r="Q452" s="131"/>
      <c r="R452" s="131"/>
      <c r="S452" s="131"/>
      <c r="T452" s="131"/>
      <c r="U452" s="131"/>
      <c r="V452" s="131"/>
      <c r="W452" s="131"/>
      <c r="X452" s="131"/>
      <c r="Y452" s="131"/>
      <c r="Z452" s="131"/>
      <c r="AA452" s="131"/>
      <c r="AB452" s="131"/>
      <c r="AC452" s="131"/>
      <c r="AD452" s="131"/>
      <c r="AE452" s="131"/>
      <c r="AF452" s="131"/>
      <c r="AG452" s="131"/>
      <c r="AH452" s="131"/>
      <c r="AI452" s="132"/>
    </row>
    <row r="453" spans="1:35" s="16" customFormat="1" ht="15.75">
      <c r="A453" s="17"/>
      <c r="B453" s="6"/>
      <c r="C453" s="43"/>
      <c r="P453" s="199"/>
      <c r="Q453" s="131"/>
      <c r="R453" s="131"/>
      <c r="S453" s="131"/>
      <c r="T453" s="131"/>
      <c r="U453" s="131"/>
      <c r="V453" s="131"/>
      <c r="W453" s="131"/>
      <c r="X453" s="131"/>
      <c r="Y453" s="131"/>
      <c r="Z453" s="131"/>
      <c r="AA453" s="131"/>
      <c r="AB453" s="131"/>
      <c r="AC453" s="131"/>
      <c r="AD453" s="131"/>
      <c r="AE453" s="131"/>
      <c r="AF453" s="131"/>
      <c r="AG453" s="131"/>
      <c r="AH453" s="131"/>
      <c r="AI453" s="132"/>
    </row>
    <row r="454" spans="1:35" s="16" customFormat="1" ht="15.75">
      <c r="A454" s="17"/>
      <c r="B454" s="6"/>
      <c r="C454" s="43"/>
      <c r="P454" s="199"/>
      <c r="Q454" s="131"/>
      <c r="R454" s="131"/>
      <c r="S454" s="131"/>
      <c r="T454" s="131"/>
      <c r="U454" s="131"/>
      <c r="V454" s="131"/>
      <c r="W454" s="131"/>
      <c r="X454" s="131"/>
      <c r="Y454" s="131"/>
      <c r="Z454" s="131"/>
      <c r="AA454" s="131"/>
      <c r="AB454" s="131"/>
      <c r="AC454" s="131"/>
      <c r="AD454" s="131"/>
      <c r="AE454" s="131"/>
      <c r="AF454" s="131"/>
      <c r="AG454" s="131"/>
      <c r="AH454" s="131"/>
      <c r="AI454" s="132"/>
    </row>
    <row r="455" spans="1:35" s="16" customFormat="1" ht="15.75">
      <c r="A455" s="17"/>
      <c r="B455" s="6"/>
      <c r="C455" s="43"/>
      <c r="P455" s="199"/>
      <c r="Q455" s="131"/>
      <c r="R455" s="131"/>
      <c r="S455" s="131"/>
      <c r="T455" s="131"/>
      <c r="U455" s="131"/>
      <c r="V455" s="131"/>
      <c r="W455" s="131"/>
      <c r="X455" s="131"/>
      <c r="Y455" s="131"/>
      <c r="Z455" s="131"/>
      <c r="AA455" s="131"/>
      <c r="AB455" s="131"/>
      <c r="AC455" s="131"/>
      <c r="AD455" s="131"/>
      <c r="AE455" s="131"/>
      <c r="AF455" s="131"/>
      <c r="AG455" s="131"/>
      <c r="AH455" s="131"/>
      <c r="AI455" s="132"/>
    </row>
    <row r="456" spans="1:35" s="16" customFormat="1" ht="15.75">
      <c r="A456" s="17"/>
      <c r="B456" s="6"/>
      <c r="C456" s="43"/>
      <c r="P456" s="199"/>
      <c r="Q456" s="131"/>
      <c r="R456" s="131"/>
      <c r="S456" s="131"/>
      <c r="T456" s="131"/>
      <c r="U456" s="131"/>
      <c r="V456" s="131"/>
      <c r="W456" s="131"/>
      <c r="X456" s="131"/>
      <c r="Y456" s="131"/>
      <c r="Z456" s="131"/>
      <c r="AA456" s="131"/>
      <c r="AB456" s="131"/>
      <c r="AC456" s="131"/>
      <c r="AD456" s="131"/>
      <c r="AE456" s="131"/>
      <c r="AF456" s="131"/>
      <c r="AG456" s="131"/>
      <c r="AH456" s="131"/>
      <c r="AI456" s="132"/>
    </row>
    <row r="457" spans="1:35" s="16" customFormat="1" ht="15.75">
      <c r="A457" s="17"/>
      <c r="B457" s="6"/>
      <c r="C457" s="43"/>
      <c r="P457" s="199"/>
      <c r="Q457" s="131"/>
      <c r="R457" s="131"/>
      <c r="S457" s="131"/>
      <c r="T457" s="131"/>
      <c r="U457" s="131"/>
      <c r="V457" s="131"/>
      <c r="W457" s="131"/>
      <c r="X457" s="131"/>
      <c r="Y457" s="131"/>
      <c r="Z457" s="131"/>
      <c r="AA457" s="131"/>
      <c r="AB457" s="131"/>
      <c r="AC457" s="131"/>
      <c r="AD457" s="131"/>
      <c r="AE457" s="131"/>
      <c r="AF457" s="131"/>
      <c r="AG457" s="131"/>
      <c r="AH457" s="131"/>
      <c r="AI457" s="132"/>
    </row>
    <row r="458" spans="1:35" s="16" customFormat="1" ht="15.75">
      <c r="A458" s="17"/>
      <c r="B458" s="6"/>
      <c r="C458" s="43"/>
      <c r="P458" s="199"/>
      <c r="Q458" s="131"/>
      <c r="R458" s="131"/>
      <c r="S458" s="131"/>
      <c r="T458" s="131"/>
      <c r="U458" s="131"/>
      <c r="V458" s="131"/>
      <c r="W458" s="131"/>
      <c r="X458" s="131"/>
      <c r="Y458" s="131"/>
      <c r="Z458" s="131"/>
      <c r="AA458" s="131"/>
      <c r="AB458" s="131"/>
      <c r="AC458" s="131"/>
      <c r="AD458" s="131"/>
      <c r="AE458" s="131"/>
      <c r="AF458" s="131"/>
      <c r="AG458" s="131"/>
      <c r="AH458" s="131"/>
      <c r="AI458" s="132"/>
    </row>
    <row r="459" spans="1:35" s="16" customFormat="1" ht="15.75">
      <c r="A459" s="17"/>
      <c r="B459" s="6"/>
      <c r="C459" s="43"/>
      <c r="P459" s="199"/>
      <c r="Q459" s="131"/>
      <c r="R459" s="131"/>
      <c r="S459" s="131"/>
      <c r="T459" s="131"/>
      <c r="U459" s="131"/>
      <c r="V459" s="131"/>
      <c r="W459" s="131"/>
      <c r="X459" s="131"/>
      <c r="Y459" s="131"/>
      <c r="Z459" s="131"/>
      <c r="AA459" s="131"/>
      <c r="AB459" s="131"/>
      <c r="AC459" s="131"/>
      <c r="AD459" s="131"/>
      <c r="AE459" s="131"/>
      <c r="AF459" s="131"/>
      <c r="AG459" s="131"/>
      <c r="AH459" s="131"/>
      <c r="AI459" s="132"/>
    </row>
    <row r="460" spans="1:35" s="16" customFormat="1" ht="15.75">
      <c r="A460" s="17"/>
      <c r="B460" s="6"/>
      <c r="C460" s="43"/>
      <c r="P460" s="199"/>
      <c r="Q460" s="131"/>
      <c r="R460" s="131"/>
      <c r="S460" s="131"/>
      <c r="T460" s="131"/>
      <c r="U460" s="131"/>
      <c r="V460" s="131"/>
      <c r="W460" s="131"/>
      <c r="X460" s="131"/>
      <c r="Y460" s="131"/>
      <c r="Z460" s="131"/>
      <c r="AA460" s="131"/>
      <c r="AB460" s="131"/>
      <c r="AC460" s="131"/>
      <c r="AD460" s="131"/>
      <c r="AE460" s="131"/>
      <c r="AF460" s="131"/>
      <c r="AG460" s="131"/>
      <c r="AH460" s="131"/>
      <c r="AI460" s="132"/>
    </row>
    <row r="461" spans="1:35" s="16" customFormat="1" ht="15.75">
      <c r="A461" s="17"/>
      <c r="B461" s="6"/>
      <c r="C461" s="43"/>
      <c r="P461" s="199"/>
      <c r="Q461" s="131"/>
      <c r="R461" s="131"/>
      <c r="S461" s="131"/>
      <c r="T461" s="131"/>
      <c r="U461" s="131"/>
      <c r="V461" s="131"/>
      <c r="W461" s="131"/>
      <c r="X461" s="131"/>
      <c r="Y461" s="131"/>
      <c r="Z461" s="131"/>
      <c r="AA461" s="131"/>
      <c r="AB461" s="131"/>
      <c r="AC461" s="131"/>
      <c r="AD461" s="131"/>
      <c r="AE461" s="131"/>
      <c r="AF461" s="131"/>
      <c r="AG461" s="131"/>
      <c r="AH461" s="131"/>
      <c r="AI461" s="132"/>
    </row>
    <row r="462" spans="1:35" s="16" customFormat="1" ht="15.75">
      <c r="A462" s="17"/>
      <c r="B462" s="6"/>
      <c r="C462" s="43"/>
      <c r="P462" s="199"/>
      <c r="Q462" s="131"/>
      <c r="R462" s="131"/>
      <c r="S462" s="131"/>
      <c r="T462" s="131"/>
      <c r="U462" s="131"/>
      <c r="V462" s="131"/>
      <c r="W462" s="131"/>
      <c r="X462" s="131"/>
      <c r="Y462" s="131"/>
      <c r="Z462" s="131"/>
      <c r="AA462" s="131"/>
      <c r="AB462" s="131"/>
      <c r="AC462" s="131"/>
      <c r="AD462" s="131"/>
      <c r="AE462" s="131"/>
      <c r="AF462" s="131"/>
      <c r="AG462" s="131"/>
      <c r="AH462" s="131"/>
      <c r="AI462" s="132"/>
    </row>
    <row r="463" spans="1:35" s="16" customFormat="1" ht="15.75">
      <c r="A463" s="17"/>
      <c r="B463" s="6"/>
      <c r="C463" s="43"/>
      <c r="P463" s="199"/>
      <c r="Q463" s="131"/>
      <c r="R463" s="131"/>
      <c r="S463" s="131"/>
      <c r="T463" s="131"/>
      <c r="U463" s="131"/>
      <c r="V463" s="131"/>
      <c r="W463" s="131"/>
      <c r="X463" s="131"/>
      <c r="Y463" s="131"/>
      <c r="Z463" s="131"/>
      <c r="AA463" s="131"/>
      <c r="AB463" s="131"/>
      <c r="AC463" s="131"/>
      <c r="AD463" s="131"/>
      <c r="AE463" s="131"/>
      <c r="AF463" s="131"/>
      <c r="AG463" s="131"/>
      <c r="AH463" s="131"/>
      <c r="AI463" s="132"/>
    </row>
    <row r="464" spans="1:35" s="16" customFormat="1" ht="15.75">
      <c r="A464" s="17"/>
      <c r="B464" s="6"/>
      <c r="C464" s="43"/>
      <c r="P464" s="199"/>
      <c r="Q464" s="131"/>
      <c r="R464" s="131"/>
      <c r="S464" s="131"/>
      <c r="T464" s="131"/>
      <c r="U464" s="131"/>
      <c r="V464" s="131"/>
      <c r="W464" s="131"/>
      <c r="X464" s="131"/>
      <c r="Y464" s="131"/>
      <c r="Z464" s="131"/>
      <c r="AA464" s="131"/>
      <c r="AB464" s="131"/>
      <c r="AC464" s="131"/>
      <c r="AD464" s="131"/>
      <c r="AE464" s="131"/>
      <c r="AF464" s="131"/>
      <c r="AG464" s="131"/>
      <c r="AH464" s="131"/>
      <c r="AI464" s="132"/>
    </row>
    <row r="465" spans="1:35" s="16" customFormat="1" ht="15.75">
      <c r="A465" s="17"/>
      <c r="B465" s="6"/>
      <c r="C465" s="43"/>
      <c r="P465" s="199"/>
      <c r="Q465" s="131"/>
      <c r="R465" s="131"/>
      <c r="S465" s="131"/>
      <c r="T465" s="131"/>
      <c r="U465" s="131"/>
      <c r="V465" s="131"/>
      <c r="W465" s="131"/>
      <c r="X465" s="131"/>
      <c r="Y465" s="131"/>
      <c r="Z465" s="131"/>
      <c r="AA465" s="131"/>
      <c r="AB465" s="131"/>
      <c r="AC465" s="131"/>
      <c r="AD465" s="131"/>
      <c r="AE465" s="131"/>
      <c r="AF465" s="131"/>
      <c r="AG465" s="131"/>
      <c r="AH465" s="131"/>
      <c r="AI465" s="132"/>
    </row>
    <row r="466" spans="1:35" s="16" customFormat="1" ht="15.75">
      <c r="A466" s="17"/>
      <c r="B466" s="6"/>
      <c r="C466" s="43"/>
      <c r="P466" s="199"/>
      <c r="Q466" s="131"/>
      <c r="R466" s="131"/>
      <c r="S466" s="131"/>
      <c r="T466" s="131"/>
      <c r="U466" s="131"/>
      <c r="V466" s="131"/>
      <c r="W466" s="131"/>
      <c r="X466" s="131"/>
      <c r="Y466" s="131"/>
      <c r="Z466" s="131"/>
      <c r="AA466" s="131"/>
      <c r="AB466" s="131"/>
      <c r="AC466" s="131"/>
      <c r="AD466" s="131"/>
      <c r="AE466" s="131"/>
      <c r="AF466" s="131"/>
      <c r="AG466" s="131"/>
      <c r="AH466" s="131"/>
      <c r="AI466" s="132"/>
    </row>
    <row r="467" spans="1:35" s="16" customFormat="1" ht="15.75">
      <c r="A467" s="17"/>
      <c r="B467" s="6"/>
      <c r="C467" s="43"/>
      <c r="P467" s="199"/>
      <c r="Q467" s="131"/>
      <c r="R467" s="131"/>
      <c r="S467" s="131"/>
      <c r="T467" s="131"/>
      <c r="U467" s="131"/>
      <c r="V467" s="131"/>
      <c r="W467" s="131"/>
      <c r="X467" s="131"/>
      <c r="Y467" s="131"/>
      <c r="Z467" s="131"/>
      <c r="AA467" s="131"/>
      <c r="AB467" s="131"/>
      <c r="AC467" s="131"/>
      <c r="AD467" s="131"/>
      <c r="AE467" s="131"/>
      <c r="AF467" s="131"/>
      <c r="AG467" s="131"/>
      <c r="AH467" s="131"/>
      <c r="AI467" s="132"/>
    </row>
    <row r="468" spans="1:35" s="16" customFormat="1" ht="15.75">
      <c r="A468" s="17"/>
      <c r="B468" s="6"/>
      <c r="C468" s="43"/>
      <c r="P468" s="199"/>
      <c r="Q468" s="131"/>
      <c r="R468" s="131"/>
      <c r="S468" s="131"/>
      <c r="T468" s="131"/>
      <c r="U468" s="131"/>
      <c r="V468" s="131"/>
      <c r="W468" s="131"/>
      <c r="X468" s="131"/>
      <c r="Y468" s="131"/>
      <c r="Z468" s="131"/>
      <c r="AA468" s="131"/>
      <c r="AB468" s="131"/>
      <c r="AC468" s="131"/>
      <c r="AD468" s="131"/>
      <c r="AE468" s="131"/>
      <c r="AF468" s="131"/>
      <c r="AG468" s="131"/>
      <c r="AH468" s="131"/>
      <c r="AI468" s="132"/>
    </row>
    <row r="469" spans="1:35" s="16" customFormat="1" ht="15.75">
      <c r="A469" s="17"/>
      <c r="B469" s="6"/>
      <c r="C469" s="43"/>
      <c r="P469" s="199"/>
      <c r="Q469" s="131"/>
      <c r="R469" s="131"/>
      <c r="S469" s="131"/>
      <c r="T469" s="131"/>
      <c r="U469" s="131"/>
      <c r="V469" s="131"/>
      <c r="W469" s="131"/>
      <c r="X469" s="131"/>
      <c r="Y469" s="131"/>
      <c r="Z469" s="131"/>
      <c r="AA469" s="131"/>
      <c r="AB469" s="131"/>
      <c r="AC469" s="131"/>
      <c r="AD469" s="131"/>
      <c r="AE469" s="131"/>
      <c r="AF469" s="131"/>
      <c r="AG469" s="131"/>
      <c r="AH469" s="131"/>
      <c r="AI469" s="132"/>
    </row>
    <row r="470" spans="1:35" s="16" customFormat="1" ht="15.75">
      <c r="A470" s="17"/>
      <c r="B470" s="6"/>
      <c r="C470" s="43"/>
      <c r="P470" s="199"/>
      <c r="Q470" s="131"/>
      <c r="R470" s="131"/>
      <c r="S470" s="131"/>
      <c r="T470" s="131"/>
      <c r="U470" s="131"/>
      <c r="V470" s="131"/>
      <c r="W470" s="131"/>
      <c r="X470" s="131"/>
      <c r="Y470" s="131"/>
      <c r="Z470" s="131"/>
      <c r="AA470" s="131"/>
      <c r="AB470" s="131"/>
      <c r="AC470" s="131"/>
      <c r="AD470" s="131"/>
      <c r="AE470" s="131"/>
      <c r="AF470" s="131"/>
      <c r="AG470" s="131"/>
      <c r="AH470" s="131"/>
      <c r="AI470" s="132"/>
    </row>
    <row r="471" spans="1:35" s="16" customFormat="1" ht="15.75">
      <c r="A471" s="17"/>
      <c r="B471" s="6"/>
      <c r="C471" s="43"/>
      <c r="P471" s="199"/>
      <c r="Q471" s="131"/>
      <c r="R471" s="131"/>
      <c r="S471" s="131"/>
      <c r="T471" s="131"/>
      <c r="U471" s="131"/>
      <c r="V471" s="131"/>
      <c r="W471" s="131"/>
      <c r="X471" s="131"/>
      <c r="Y471" s="131"/>
      <c r="Z471" s="131"/>
      <c r="AA471" s="131"/>
      <c r="AB471" s="131"/>
      <c r="AC471" s="131"/>
      <c r="AD471" s="131"/>
      <c r="AE471" s="131"/>
      <c r="AF471" s="131"/>
      <c r="AG471" s="131"/>
      <c r="AH471" s="131"/>
      <c r="AI471" s="132"/>
    </row>
    <row r="472" spans="1:35" s="16" customFormat="1" ht="15.75">
      <c r="A472" s="17"/>
      <c r="B472" s="6"/>
      <c r="C472" s="43"/>
      <c r="P472" s="199"/>
      <c r="Q472" s="131"/>
      <c r="R472" s="131"/>
      <c r="S472" s="131"/>
      <c r="T472" s="131"/>
      <c r="U472" s="131"/>
      <c r="V472" s="131"/>
      <c r="W472" s="131"/>
      <c r="X472" s="131"/>
      <c r="Y472" s="131"/>
      <c r="Z472" s="131"/>
      <c r="AA472" s="131"/>
      <c r="AB472" s="131"/>
      <c r="AC472" s="131"/>
      <c r="AD472" s="131"/>
      <c r="AE472" s="131"/>
      <c r="AF472" s="131"/>
      <c r="AG472" s="131"/>
      <c r="AH472" s="131"/>
      <c r="AI472" s="132"/>
    </row>
    <row r="473" spans="1:35" s="16" customFormat="1" ht="15.75">
      <c r="A473" s="17"/>
      <c r="B473" s="6"/>
      <c r="C473" s="43"/>
      <c r="P473" s="199"/>
      <c r="Q473" s="131"/>
      <c r="R473" s="131"/>
      <c r="S473" s="131"/>
      <c r="T473" s="131"/>
      <c r="U473" s="131"/>
      <c r="V473" s="131"/>
      <c r="W473" s="131"/>
      <c r="X473" s="131"/>
      <c r="Y473" s="131"/>
      <c r="Z473" s="131"/>
      <c r="AA473" s="131"/>
      <c r="AB473" s="131"/>
      <c r="AC473" s="131"/>
      <c r="AD473" s="131"/>
      <c r="AE473" s="131"/>
      <c r="AF473" s="131"/>
      <c r="AG473" s="131"/>
      <c r="AH473" s="131"/>
      <c r="AI473" s="132"/>
    </row>
    <row r="474" spans="1:35" s="16" customFormat="1" ht="15.75">
      <c r="A474" s="17"/>
      <c r="B474" s="6"/>
      <c r="C474" s="43"/>
      <c r="P474" s="199"/>
      <c r="Q474" s="131"/>
      <c r="R474" s="131"/>
      <c r="S474" s="131"/>
      <c r="T474" s="131"/>
      <c r="U474" s="131"/>
      <c r="V474" s="131"/>
      <c r="W474" s="131"/>
      <c r="X474" s="131"/>
      <c r="Y474" s="131"/>
      <c r="Z474" s="131"/>
      <c r="AA474" s="131"/>
      <c r="AB474" s="131"/>
      <c r="AC474" s="131"/>
      <c r="AD474" s="131"/>
      <c r="AE474" s="131"/>
      <c r="AF474" s="131"/>
      <c r="AG474" s="131"/>
      <c r="AH474" s="131"/>
      <c r="AI474" s="132"/>
    </row>
    <row r="475" spans="1:35" s="16" customFormat="1" ht="15.75">
      <c r="A475" s="17"/>
      <c r="B475" s="6"/>
      <c r="C475" s="43"/>
      <c r="P475" s="199"/>
      <c r="Q475" s="131"/>
      <c r="R475" s="131"/>
      <c r="S475" s="131"/>
      <c r="T475" s="131"/>
      <c r="U475" s="131"/>
      <c r="V475" s="131"/>
      <c r="W475" s="131"/>
      <c r="X475" s="131"/>
      <c r="Y475" s="131"/>
      <c r="Z475" s="131"/>
      <c r="AA475" s="131"/>
      <c r="AB475" s="131"/>
      <c r="AC475" s="131"/>
      <c r="AD475" s="131"/>
      <c r="AE475" s="131"/>
      <c r="AF475" s="131"/>
      <c r="AG475" s="131"/>
      <c r="AH475" s="131"/>
      <c r="AI475" s="132"/>
    </row>
    <row r="476" spans="1:35" s="16" customFormat="1" ht="15.75">
      <c r="A476" s="17"/>
      <c r="B476" s="6"/>
      <c r="C476" s="43"/>
      <c r="P476" s="199"/>
      <c r="Q476" s="131"/>
      <c r="R476" s="131"/>
      <c r="S476" s="131"/>
      <c r="T476" s="131"/>
      <c r="U476" s="131"/>
      <c r="V476" s="131"/>
      <c r="W476" s="131"/>
      <c r="X476" s="131"/>
      <c r="Y476" s="131"/>
      <c r="Z476" s="131"/>
      <c r="AA476" s="131"/>
      <c r="AB476" s="131"/>
      <c r="AC476" s="131"/>
      <c r="AD476" s="131"/>
      <c r="AE476" s="131"/>
      <c r="AF476" s="131"/>
      <c r="AG476" s="131"/>
      <c r="AH476" s="131"/>
      <c r="AI476" s="132"/>
    </row>
    <row r="477" spans="1:35" s="16" customFormat="1" ht="15.75">
      <c r="A477" s="17"/>
      <c r="B477" s="6"/>
      <c r="C477" s="43"/>
      <c r="P477" s="199"/>
      <c r="Q477" s="131"/>
      <c r="R477" s="131"/>
      <c r="S477" s="131"/>
      <c r="T477" s="131"/>
      <c r="U477" s="131"/>
      <c r="V477" s="131"/>
      <c r="W477" s="131"/>
      <c r="X477" s="131"/>
      <c r="Y477" s="131"/>
      <c r="Z477" s="131"/>
      <c r="AA477" s="131"/>
      <c r="AB477" s="131"/>
      <c r="AC477" s="131"/>
      <c r="AD477" s="131"/>
      <c r="AE477" s="131"/>
      <c r="AF477" s="131"/>
      <c r="AG477" s="131"/>
      <c r="AH477" s="131"/>
      <c r="AI477" s="132"/>
    </row>
    <row r="478" spans="1:35" s="16" customFormat="1" ht="15.75">
      <c r="A478" s="17"/>
      <c r="B478" s="6"/>
      <c r="C478" s="43"/>
      <c r="P478" s="199"/>
      <c r="Q478" s="131"/>
      <c r="R478" s="131"/>
      <c r="S478" s="131"/>
      <c r="T478" s="131"/>
      <c r="U478" s="131"/>
      <c r="V478" s="131"/>
      <c r="W478" s="131"/>
      <c r="X478" s="131"/>
      <c r="Y478" s="131"/>
      <c r="Z478" s="131"/>
      <c r="AA478" s="131"/>
      <c r="AB478" s="131"/>
      <c r="AC478" s="131"/>
      <c r="AD478" s="131"/>
      <c r="AE478" s="131"/>
      <c r="AF478" s="131"/>
      <c r="AG478" s="131"/>
      <c r="AH478" s="131"/>
      <c r="AI478" s="132"/>
    </row>
    <row r="479" spans="1:35" s="16" customFormat="1" ht="15.75">
      <c r="A479" s="17"/>
      <c r="B479" s="6"/>
      <c r="C479" s="43"/>
      <c r="P479" s="199"/>
      <c r="Q479" s="131"/>
      <c r="R479" s="131"/>
      <c r="S479" s="131"/>
      <c r="T479" s="131"/>
      <c r="U479" s="131"/>
      <c r="V479" s="131"/>
      <c r="W479" s="131"/>
      <c r="X479" s="131"/>
      <c r="Y479" s="131"/>
      <c r="Z479" s="131"/>
      <c r="AA479" s="131"/>
      <c r="AB479" s="131"/>
      <c r="AC479" s="131"/>
      <c r="AD479" s="131"/>
      <c r="AE479" s="131"/>
      <c r="AF479" s="131"/>
      <c r="AG479" s="131"/>
      <c r="AH479" s="131"/>
      <c r="AI479" s="132"/>
    </row>
    <row r="480" spans="1:35" s="16" customFormat="1" ht="15.75">
      <c r="A480" s="17"/>
      <c r="B480" s="6"/>
      <c r="C480" s="43"/>
      <c r="P480" s="199"/>
      <c r="Q480" s="131"/>
      <c r="R480" s="131"/>
      <c r="S480" s="131"/>
      <c r="T480" s="131"/>
      <c r="U480" s="131"/>
      <c r="V480" s="131"/>
      <c r="W480" s="131"/>
      <c r="X480" s="131"/>
      <c r="Y480" s="131"/>
      <c r="Z480" s="131"/>
      <c r="AA480" s="131"/>
      <c r="AB480" s="131"/>
      <c r="AC480" s="131"/>
      <c r="AD480" s="131"/>
      <c r="AE480" s="131"/>
      <c r="AF480" s="131"/>
      <c r="AG480" s="131"/>
      <c r="AH480" s="131"/>
      <c r="AI480" s="132"/>
    </row>
    <row r="481" spans="1:35" s="16" customFormat="1" ht="15.75">
      <c r="A481" s="17"/>
      <c r="B481" s="6"/>
      <c r="C481" s="43"/>
      <c r="P481" s="199"/>
      <c r="Q481" s="131"/>
      <c r="R481" s="131"/>
      <c r="S481" s="131"/>
      <c r="T481" s="131"/>
      <c r="U481" s="131"/>
      <c r="V481" s="131"/>
      <c r="W481" s="131"/>
      <c r="X481" s="131"/>
      <c r="Y481" s="131"/>
      <c r="Z481" s="131"/>
      <c r="AA481" s="131"/>
      <c r="AB481" s="131"/>
      <c r="AC481" s="131"/>
      <c r="AD481" s="131"/>
      <c r="AE481" s="131"/>
      <c r="AF481" s="131"/>
      <c r="AG481" s="131"/>
      <c r="AH481" s="131"/>
      <c r="AI481" s="132"/>
    </row>
    <row r="482" spans="1:35" s="16" customFormat="1" ht="15.75">
      <c r="A482" s="17"/>
      <c r="B482" s="6"/>
      <c r="C482" s="43"/>
      <c r="P482" s="199"/>
      <c r="Q482" s="131"/>
      <c r="R482" s="131"/>
      <c r="S482" s="131"/>
      <c r="T482" s="131"/>
      <c r="U482" s="131"/>
      <c r="V482" s="131"/>
      <c r="W482" s="131"/>
      <c r="X482" s="131"/>
      <c r="Y482" s="131"/>
      <c r="Z482" s="131"/>
      <c r="AA482" s="131"/>
      <c r="AB482" s="131"/>
      <c r="AC482" s="131"/>
      <c r="AD482" s="131"/>
      <c r="AE482" s="131"/>
      <c r="AF482" s="131"/>
      <c r="AG482" s="131"/>
      <c r="AH482" s="131"/>
      <c r="AI482" s="132"/>
    </row>
    <row r="483" spans="1:35" s="16" customFormat="1" ht="15.75">
      <c r="A483" s="17"/>
      <c r="B483" s="6"/>
      <c r="C483" s="43"/>
      <c r="P483" s="199"/>
      <c r="Q483" s="131"/>
      <c r="R483" s="131"/>
      <c r="S483" s="131"/>
      <c r="T483" s="131"/>
      <c r="U483" s="131"/>
      <c r="V483" s="131"/>
      <c r="W483" s="131"/>
      <c r="X483" s="131"/>
      <c r="Y483" s="131"/>
      <c r="Z483" s="131"/>
      <c r="AA483" s="131"/>
      <c r="AB483" s="131"/>
      <c r="AC483" s="131"/>
      <c r="AD483" s="131"/>
      <c r="AE483" s="131"/>
      <c r="AF483" s="131"/>
      <c r="AG483" s="131"/>
      <c r="AH483" s="131"/>
      <c r="AI483" s="132"/>
    </row>
    <row r="484" spans="1:35" s="16" customFormat="1" ht="15.75">
      <c r="A484" s="17"/>
      <c r="B484" s="6"/>
      <c r="C484" s="43"/>
      <c r="P484" s="199"/>
      <c r="Q484" s="131"/>
      <c r="R484" s="131"/>
      <c r="S484" s="131"/>
      <c r="T484" s="131"/>
      <c r="U484" s="131"/>
      <c r="V484" s="131"/>
      <c r="W484" s="131"/>
      <c r="X484" s="131"/>
      <c r="Y484" s="131"/>
      <c r="Z484" s="131"/>
      <c r="AA484" s="131"/>
      <c r="AB484" s="131"/>
      <c r="AC484" s="131"/>
      <c r="AD484" s="131"/>
      <c r="AE484" s="131"/>
      <c r="AF484" s="131"/>
      <c r="AG484" s="131"/>
      <c r="AH484" s="131"/>
      <c r="AI484" s="132"/>
    </row>
    <row r="485" spans="1:35" s="16" customFormat="1" ht="15.75">
      <c r="A485" s="17"/>
      <c r="B485" s="6"/>
      <c r="C485" s="43"/>
      <c r="P485" s="199"/>
      <c r="Q485" s="131"/>
      <c r="R485" s="131"/>
      <c r="S485" s="131"/>
      <c r="T485" s="131"/>
      <c r="U485" s="131"/>
      <c r="V485" s="131"/>
      <c r="W485" s="131"/>
      <c r="X485" s="131"/>
      <c r="Y485" s="131"/>
      <c r="Z485" s="131"/>
      <c r="AA485" s="131"/>
      <c r="AB485" s="131"/>
      <c r="AC485" s="131"/>
      <c r="AD485" s="131"/>
      <c r="AE485" s="131"/>
      <c r="AF485" s="131"/>
      <c r="AG485" s="131"/>
      <c r="AH485" s="131"/>
      <c r="AI485" s="132"/>
    </row>
    <row r="486" spans="1:35" s="16" customFormat="1" ht="15.75">
      <c r="A486" s="17"/>
      <c r="B486" s="6"/>
      <c r="C486" s="43"/>
      <c r="P486" s="199"/>
      <c r="Q486" s="131"/>
      <c r="R486" s="131"/>
      <c r="S486" s="131"/>
      <c r="T486" s="131"/>
      <c r="U486" s="131"/>
      <c r="V486" s="131"/>
      <c r="W486" s="131"/>
      <c r="X486" s="131"/>
      <c r="Y486" s="131"/>
      <c r="Z486" s="131"/>
      <c r="AA486" s="131"/>
      <c r="AB486" s="131"/>
      <c r="AC486" s="131"/>
      <c r="AD486" s="131"/>
      <c r="AE486" s="131"/>
      <c r="AF486" s="131"/>
      <c r="AG486" s="131"/>
      <c r="AH486" s="131"/>
      <c r="AI486" s="132"/>
    </row>
    <row r="487" spans="1:35" s="16" customFormat="1" ht="15.75">
      <c r="A487" s="17"/>
      <c r="B487" s="6"/>
      <c r="C487" s="43"/>
      <c r="P487" s="199"/>
      <c r="Q487" s="131"/>
      <c r="R487" s="131"/>
      <c r="S487" s="131"/>
      <c r="T487" s="131"/>
      <c r="U487" s="131"/>
      <c r="V487" s="131"/>
      <c r="W487" s="131"/>
      <c r="X487" s="131"/>
      <c r="Y487" s="131"/>
      <c r="Z487" s="131"/>
      <c r="AA487" s="131"/>
      <c r="AB487" s="131"/>
      <c r="AC487" s="131"/>
      <c r="AD487" s="131"/>
      <c r="AE487" s="131"/>
      <c r="AF487" s="131"/>
      <c r="AG487" s="131"/>
      <c r="AH487" s="131"/>
      <c r="AI487" s="132"/>
    </row>
    <row r="488" spans="1:35" s="16" customFormat="1" ht="15.75">
      <c r="A488" s="17"/>
      <c r="B488" s="6"/>
      <c r="C488" s="43"/>
      <c r="P488" s="199"/>
      <c r="Q488" s="131"/>
      <c r="R488" s="131"/>
      <c r="S488" s="131"/>
      <c r="T488" s="131"/>
      <c r="U488" s="131"/>
      <c r="V488" s="131"/>
      <c r="W488" s="131"/>
      <c r="X488" s="131"/>
      <c r="Y488" s="131"/>
      <c r="Z488" s="131"/>
      <c r="AA488" s="131"/>
      <c r="AB488" s="131"/>
      <c r="AC488" s="131"/>
      <c r="AD488" s="131"/>
      <c r="AE488" s="131"/>
      <c r="AF488" s="131"/>
      <c r="AG488" s="131"/>
      <c r="AH488" s="131"/>
      <c r="AI488" s="132"/>
    </row>
    <row r="489" spans="1:35" s="16" customFormat="1" ht="15.75">
      <c r="A489" s="17"/>
      <c r="B489" s="6"/>
      <c r="C489" s="43"/>
      <c r="P489" s="199"/>
      <c r="Q489" s="131"/>
      <c r="R489" s="131"/>
      <c r="S489" s="131"/>
      <c r="T489" s="131"/>
      <c r="U489" s="131"/>
      <c r="V489" s="131"/>
      <c r="W489" s="131"/>
      <c r="X489" s="131"/>
      <c r="Y489" s="131"/>
      <c r="Z489" s="131"/>
      <c r="AA489" s="131"/>
      <c r="AB489" s="131"/>
      <c r="AC489" s="131"/>
      <c r="AD489" s="131"/>
      <c r="AE489" s="131"/>
      <c r="AF489" s="131"/>
      <c r="AG489" s="131"/>
      <c r="AH489" s="131"/>
      <c r="AI489" s="132"/>
    </row>
    <row r="490" spans="1:35" s="16" customFormat="1" ht="15.75">
      <c r="A490" s="17"/>
      <c r="B490" s="6"/>
      <c r="C490" s="43"/>
      <c r="P490" s="199"/>
      <c r="Q490" s="131"/>
      <c r="R490" s="131"/>
      <c r="S490" s="131"/>
      <c r="T490" s="131"/>
      <c r="U490" s="131"/>
      <c r="V490" s="131"/>
      <c r="W490" s="131"/>
      <c r="X490" s="131"/>
      <c r="Y490" s="131"/>
      <c r="Z490" s="131"/>
      <c r="AA490" s="131"/>
      <c r="AB490" s="131"/>
      <c r="AC490" s="131"/>
      <c r="AD490" s="131"/>
      <c r="AE490" s="131"/>
      <c r="AF490" s="131"/>
      <c r="AG490" s="131"/>
      <c r="AH490" s="131"/>
      <c r="AI490" s="132"/>
    </row>
    <row r="491" spans="1:35" s="16" customFormat="1" ht="15.75">
      <c r="A491" s="17"/>
      <c r="B491" s="6"/>
      <c r="C491" s="43"/>
      <c r="P491" s="199"/>
      <c r="Q491" s="131"/>
      <c r="R491" s="131"/>
      <c r="S491" s="131"/>
      <c r="T491" s="131"/>
      <c r="U491" s="131"/>
      <c r="V491" s="131"/>
      <c r="W491" s="131"/>
      <c r="X491" s="131"/>
      <c r="Y491" s="131"/>
      <c r="Z491" s="131"/>
      <c r="AA491" s="131"/>
      <c r="AB491" s="131"/>
      <c r="AC491" s="131"/>
      <c r="AD491" s="131"/>
      <c r="AE491" s="131"/>
      <c r="AF491" s="131"/>
      <c r="AG491" s="131"/>
      <c r="AH491" s="131"/>
      <c r="AI491" s="132"/>
    </row>
    <row r="492" spans="1:35" s="16" customFormat="1" ht="15.75">
      <c r="A492" s="17"/>
      <c r="B492" s="6"/>
      <c r="C492" s="43"/>
      <c r="P492" s="199"/>
      <c r="Q492" s="131"/>
      <c r="R492" s="131"/>
      <c r="S492" s="131"/>
      <c r="T492" s="131"/>
      <c r="U492" s="131"/>
      <c r="V492" s="131"/>
      <c r="W492" s="131"/>
      <c r="X492" s="131"/>
      <c r="Y492" s="131"/>
      <c r="Z492" s="131"/>
      <c r="AA492" s="131"/>
      <c r="AB492" s="131"/>
      <c r="AC492" s="131"/>
      <c r="AD492" s="131"/>
      <c r="AE492" s="131"/>
      <c r="AF492" s="131"/>
      <c r="AG492" s="131"/>
      <c r="AH492" s="131"/>
      <c r="AI492" s="132"/>
    </row>
    <row r="493" spans="1:35" s="16" customFormat="1" ht="15.75">
      <c r="A493" s="17"/>
      <c r="B493" s="6"/>
      <c r="C493" s="43"/>
      <c r="P493" s="199"/>
      <c r="Q493" s="131"/>
      <c r="R493" s="131"/>
      <c r="S493" s="131"/>
      <c r="T493" s="131"/>
      <c r="U493" s="131"/>
      <c r="V493" s="131"/>
      <c r="W493" s="131"/>
      <c r="X493" s="131"/>
      <c r="Y493" s="131"/>
      <c r="Z493" s="131"/>
      <c r="AA493" s="131"/>
      <c r="AB493" s="131"/>
      <c r="AC493" s="131"/>
      <c r="AD493" s="131"/>
      <c r="AE493" s="131"/>
      <c r="AF493" s="131"/>
      <c r="AG493" s="131"/>
      <c r="AH493" s="131"/>
      <c r="AI493" s="132"/>
    </row>
    <row r="494" spans="1:35" s="16" customFormat="1" ht="15.75">
      <c r="A494" s="17"/>
      <c r="B494" s="6"/>
      <c r="C494" s="43"/>
      <c r="P494" s="199"/>
      <c r="Q494" s="131"/>
      <c r="R494" s="131"/>
      <c r="S494" s="131"/>
      <c r="T494" s="131"/>
      <c r="U494" s="131"/>
      <c r="V494" s="131"/>
      <c r="W494" s="131"/>
      <c r="X494" s="131"/>
      <c r="Y494" s="131"/>
      <c r="Z494" s="131"/>
      <c r="AA494" s="131"/>
      <c r="AB494" s="131"/>
      <c r="AC494" s="131"/>
      <c r="AD494" s="131"/>
      <c r="AE494" s="131"/>
      <c r="AF494" s="131"/>
      <c r="AG494" s="131"/>
      <c r="AH494" s="131"/>
      <c r="AI494" s="132"/>
    </row>
    <row r="495" spans="1:35" s="16" customFormat="1" ht="15.75">
      <c r="A495" s="17"/>
      <c r="B495" s="6"/>
      <c r="C495" s="43"/>
      <c r="P495" s="199"/>
      <c r="Q495" s="131"/>
      <c r="R495" s="131"/>
      <c r="S495" s="131"/>
      <c r="T495" s="131"/>
      <c r="U495" s="131"/>
      <c r="V495" s="131"/>
      <c r="W495" s="131"/>
      <c r="X495" s="131"/>
      <c r="Y495" s="131"/>
      <c r="Z495" s="131"/>
      <c r="AA495" s="131"/>
      <c r="AB495" s="131"/>
      <c r="AC495" s="131"/>
      <c r="AD495" s="131"/>
      <c r="AE495" s="131"/>
      <c r="AF495" s="131"/>
      <c r="AG495" s="131"/>
      <c r="AH495" s="131"/>
      <c r="AI495" s="132"/>
    </row>
    <row r="496" spans="1:35" s="16" customFormat="1" ht="15.75">
      <c r="A496" s="17"/>
      <c r="B496" s="6"/>
      <c r="C496" s="43"/>
      <c r="P496" s="199"/>
      <c r="Q496" s="131"/>
      <c r="R496" s="131"/>
      <c r="S496" s="131"/>
      <c r="T496" s="131"/>
      <c r="U496" s="131"/>
      <c r="V496" s="131"/>
      <c r="W496" s="131"/>
      <c r="X496" s="131"/>
      <c r="Y496" s="131"/>
      <c r="Z496" s="131"/>
      <c r="AA496" s="131"/>
      <c r="AB496" s="131"/>
      <c r="AC496" s="131"/>
      <c r="AD496" s="131"/>
      <c r="AE496" s="131"/>
      <c r="AF496" s="131"/>
      <c r="AG496" s="131"/>
      <c r="AH496" s="131"/>
      <c r="AI496" s="132"/>
    </row>
    <row r="497" spans="1:35" s="16" customFormat="1" ht="15.75">
      <c r="A497" s="17"/>
      <c r="B497" s="6"/>
      <c r="C497" s="43"/>
      <c r="P497" s="199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  <c r="AA497" s="131"/>
      <c r="AB497" s="131"/>
      <c r="AC497" s="131"/>
      <c r="AD497" s="131"/>
      <c r="AE497" s="131"/>
      <c r="AF497" s="131"/>
      <c r="AG497" s="131"/>
      <c r="AH497" s="131"/>
      <c r="AI497" s="132"/>
    </row>
    <row r="498" spans="1:35" s="16" customFormat="1" ht="15.75">
      <c r="A498" s="17"/>
      <c r="B498" s="6"/>
      <c r="C498" s="43"/>
      <c r="P498" s="199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  <c r="AA498" s="131"/>
      <c r="AB498" s="131"/>
      <c r="AC498" s="131"/>
      <c r="AD498" s="131"/>
      <c r="AE498" s="131"/>
      <c r="AF498" s="131"/>
      <c r="AG498" s="131"/>
      <c r="AH498" s="131"/>
      <c r="AI498" s="132"/>
    </row>
    <row r="499" spans="1:35" s="16" customFormat="1" ht="15.75">
      <c r="A499" s="17"/>
      <c r="B499" s="6"/>
      <c r="C499" s="43"/>
      <c r="P499" s="199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  <c r="AA499" s="131"/>
      <c r="AB499" s="131"/>
      <c r="AC499" s="131"/>
      <c r="AD499" s="131"/>
      <c r="AE499" s="131"/>
      <c r="AF499" s="131"/>
      <c r="AG499" s="131"/>
      <c r="AH499" s="131"/>
      <c r="AI499" s="132"/>
    </row>
    <row r="500" spans="1:35" s="16" customFormat="1" ht="15.75">
      <c r="A500" s="17"/>
      <c r="B500" s="6"/>
      <c r="C500" s="43"/>
      <c r="P500" s="199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  <c r="AA500" s="131"/>
      <c r="AB500" s="131"/>
      <c r="AC500" s="131"/>
      <c r="AD500" s="131"/>
      <c r="AE500" s="131"/>
      <c r="AF500" s="131"/>
      <c r="AG500" s="131"/>
      <c r="AH500" s="131"/>
      <c r="AI500" s="132"/>
    </row>
    <row r="501" spans="1:35" s="16" customFormat="1" ht="15.75">
      <c r="A501" s="17"/>
      <c r="B501" s="6"/>
      <c r="C501" s="43"/>
      <c r="P501" s="199"/>
      <c r="Q501" s="131"/>
      <c r="R501" s="131"/>
      <c r="S501" s="131"/>
      <c r="T501" s="131"/>
      <c r="U501" s="131"/>
      <c r="V501" s="131"/>
      <c r="W501" s="131"/>
      <c r="X501" s="131"/>
      <c r="Y501" s="131"/>
      <c r="Z501" s="131"/>
      <c r="AA501" s="131"/>
      <c r="AB501" s="131"/>
      <c r="AC501" s="131"/>
      <c r="AD501" s="131"/>
      <c r="AE501" s="131"/>
      <c r="AF501" s="131"/>
      <c r="AG501" s="131"/>
      <c r="AH501" s="131"/>
      <c r="AI501" s="132"/>
    </row>
    <row r="502" spans="1:35" s="16" customFormat="1" ht="15.75">
      <c r="A502" s="17"/>
      <c r="B502" s="6"/>
      <c r="C502" s="43"/>
      <c r="P502" s="199"/>
      <c r="Q502" s="131"/>
      <c r="R502" s="131"/>
      <c r="S502" s="131"/>
      <c r="T502" s="131"/>
      <c r="U502" s="131"/>
      <c r="V502" s="131"/>
      <c r="W502" s="131"/>
      <c r="X502" s="131"/>
      <c r="Y502" s="131"/>
      <c r="Z502" s="131"/>
      <c r="AA502" s="131"/>
      <c r="AB502" s="131"/>
      <c r="AC502" s="131"/>
      <c r="AD502" s="131"/>
      <c r="AE502" s="131"/>
      <c r="AF502" s="131"/>
      <c r="AG502" s="131"/>
      <c r="AH502" s="131"/>
      <c r="AI502" s="132"/>
    </row>
    <row r="503" spans="1:35" s="16" customFormat="1" ht="15.75">
      <c r="A503" s="17"/>
      <c r="B503" s="6"/>
      <c r="C503" s="43"/>
      <c r="P503" s="199"/>
      <c r="Q503" s="131"/>
      <c r="R503" s="131"/>
      <c r="S503" s="131"/>
      <c r="T503" s="131"/>
      <c r="U503" s="131"/>
      <c r="V503" s="131"/>
      <c r="W503" s="131"/>
      <c r="X503" s="131"/>
      <c r="Y503" s="131"/>
      <c r="Z503" s="131"/>
      <c r="AA503" s="131"/>
      <c r="AB503" s="131"/>
      <c r="AC503" s="131"/>
      <c r="AD503" s="131"/>
      <c r="AE503" s="131"/>
      <c r="AF503" s="131"/>
      <c r="AG503" s="131"/>
      <c r="AH503" s="131"/>
      <c r="AI503" s="132"/>
    </row>
    <row r="504" spans="1:35" s="16" customFormat="1" ht="15.75">
      <c r="A504" s="17"/>
      <c r="B504" s="6"/>
      <c r="C504" s="43"/>
      <c r="P504" s="199"/>
      <c r="Q504" s="131"/>
      <c r="R504" s="131"/>
      <c r="S504" s="131"/>
      <c r="T504" s="131"/>
      <c r="U504" s="131"/>
      <c r="V504" s="131"/>
      <c r="W504" s="131"/>
      <c r="X504" s="131"/>
      <c r="Y504" s="131"/>
      <c r="Z504" s="131"/>
      <c r="AA504" s="131"/>
      <c r="AB504" s="131"/>
      <c r="AC504" s="131"/>
      <c r="AD504" s="131"/>
      <c r="AE504" s="131"/>
      <c r="AF504" s="131"/>
      <c r="AG504" s="131"/>
      <c r="AH504" s="131"/>
      <c r="AI504" s="132"/>
    </row>
    <row r="505" spans="1:35" s="16" customFormat="1" ht="15.75">
      <c r="A505" s="17"/>
      <c r="B505" s="6"/>
      <c r="C505" s="43"/>
      <c r="P505" s="199"/>
      <c r="Q505" s="131"/>
      <c r="R505" s="131"/>
      <c r="S505" s="131"/>
      <c r="T505" s="131"/>
      <c r="U505" s="131"/>
      <c r="V505" s="131"/>
      <c r="W505" s="131"/>
      <c r="X505" s="131"/>
      <c r="Y505" s="131"/>
      <c r="Z505" s="131"/>
      <c r="AA505" s="131"/>
      <c r="AB505" s="131"/>
      <c r="AC505" s="131"/>
      <c r="AD505" s="131"/>
      <c r="AE505" s="131"/>
      <c r="AF505" s="131"/>
      <c r="AG505" s="131"/>
      <c r="AH505" s="131"/>
      <c r="AI505" s="132"/>
    </row>
    <row r="506" spans="1:35" s="16" customFormat="1" ht="15.75">
      <c r="A506" s="17"/>
      <c r="B506" s="6"/>
      <c r="C506" s="43"/>
      <c r="P506" s="199"/>
      <c r="Q506" s="131"/>
      <c r="R506" s="131"/>
      <c r="S506" s="131"/>
      <c r="T506" s="131"/>
      <c r="U506" s="131"/>
      <c r="V506" s="131"/>
      <c r="W506" s="131"/>
      <c r="X506" s="131"/>
      <c r="Y506" s="131"/>
      <c r="Z506" s="131"/>
      <c r="AA506" s="131"/>
      <c r="AB506" s="131"/>
      <c r="AC506" s="131"/>
      <c r="AD506" s="131"/>
      <c r="AE506" s="131"/>
      <c r="AF506" s="131"/>
      <c r="AG506" s="131"/>
      <c r="AH506" s="131"/>
      <c r="AI506" s="132"/>
    </row>
    <row r="507" spans="1:35" s="16" customFormat="1" ht="15.75">
      <c r="A507" s="17"/>
      <c r="B507" s="6"/>
      <c r="C507" s="43"/>
      <c r="P507" s="199"/>
      <c r="Q507" s="131"/>
      <c r="R507" s="131"/>
      <c r="S507" s="131"/>
      <c r="T507" s="131"/>
      <c r="U507" s="131"/>
      <c r="V507" s="131"/>
      <c r="W507" s="131"/>
      <c r="X507" s="131"/>
      <c r="Y507" s="131"/>
      <c r="Z507" s="131"/>
      <c r="AA507" s="131"/>
      <c r="AB507" s="131"/>
      <c r="AC507" s="131"/>
      <c r="AD507" s="131"/>
      <c r="AE507" s="131"/>
      <c r="AF507" s="131"/>
      <c r="AG507" s="131"/>
      <c r="AH507" s="131"/>
      <c r="AI507" s="132"/>
    </row>
    <row r="508" spans="1:35" s="16" customFormat="1" ht="15.75">
      <c r="A508" s="17"/>
      <c r="B508" s="6"/>
      <c r="C508" s="43"/>
      <c r="P508" s="199"/>
      <c r="Q508" s="131"/>
      <c r="R508" s="131"/>
      <c r="S508" s="131"/>
      <c r="T508" s="131"/>
      <c r="U508" s="131"/>
      <c r="V508" s="131"/>
      <c r="W508" s="131"/>
      <c r="X508" s="131"/>
      <c r="Y508" s="131"/>
      <c r="Z508" s="131"/>
      <c r="AA508" s="131"/>
      <c r="AB508" s="131"/>
      <c r="AC508" s="131"/>
      <c r="AD508" s="131"/>
      <c r="AE508" s="131"/>
      <c r="AF508" s="131"/>
      <c r="AG508" s="131"/>
      <c r="AH508" s="131"/>
      <c r="AI508" s="132"/>
    </row>
    <row r="509" spans="1:35" s="16" customFormat="1" ht="15.75">
      <c r="A509" s="17"/>
      <c r="B509" s="6"/>
      <c r="C509" s="43"/>
      <c r="P509" s="199"/>
      <c r="Q509" s="131"/>
      <c r="R509" s="131"/>
      <c r="S509" s="131"/>
      <c r="T509" s="131"/>
      <c r="U509" s="131"/>
      <c r="V509" s="131"/>
      <c r="W509" s="131"/>
      <c r="X509" s="131"/>
      <c r="Y509" s="131"/>
      <c r="Z509" s="131"/>
      <c r="AA509" s="131"/>
      <c r="AB509" s="131"/>
      <c r="AC509" s="131"/>
      <c r="AD509" s="131"/>
      <c r="AE509" s="131"/>
      <c r="AF509" s="131"/>
      <c r="AG509" s="131"/>
      <c r="AH509" s="131"/>
      <c r="AI509" s="132"/>
    </row>
    <row r="510" spans="1:35" s="16" customFormat="1" ht="15.75">
      <c r="A510" s="17"/>
      <c r="B510" s="6"/>
      <c r="C510" s="43"/>
      <c r="P510" s="199"/>
      <c r="Q510" s="131"/>
      <c r="R510" s="131"/>
      <c r="S510" s="131"/>
      <c r="T510" s="131"/>
      <c r="U510" s="131"/>
      <c r="V510" s="131"/>
      <c r="W510" s="131"/>
      <c r="X510" s="131"/>
      <c r="Y510" s="131"/>
      <c r="Z510" s="131"/>
      <c r="AA510" s="131"/>
      <c r="AB510" s="131"/>
      <c r="AC510" s="131"/>
      <c r="AD510" s="131"/>
      <c r="AE510" s="131"/>
      <c r="AF510" s="131"/>
      <c r="AG510" s="131"/>
      <c r="AH510" s="131"/>
      <c r="AI510" s="132"/>
    </row>
    <row r="511" spans="1:35" s="16" customFormat="1" ht="15.75">
      <c r="A511" s="17"/>
      <c r="B511" s="6"/>
      <c r="C511" s="43"/>
      <c r="P511" s="199"/>
      <c r="Q511" s="131"/>
      <c r="R511" s="131"/>
      <c r="S511" s="131"/>
      <c r="T511" s="131"/>
      <c r="U511" s="131"/>
      <c r="V511" s="131"/>
      <c r="W511" s="131"/>
      <c r="X511" s="131"/>
      <c r="Y511" s="131"/>
      <c r="Z511" s="131"/>
      <c r="AA511" s="131"/>
      <c r="AB511" s="131"/>
      <c r="AC511" s="131"/>
      <c r="AD511" s="131"/>
      <c r="AE511" s="131"/>
      <c r="AF511" s="131"/>
      <c r="AG511" s="131"/>
      <c r="AH511" s="131"/>
      <c r="AI511" s="132"/>
    </row>
    <row r="512" spans="1:35" s="16" customFormat="1" ht="15.75">
      <c r="A512" s="17"/>
      <c r="B512" s="6"/>
      <c r="C512" s="43"/>
      <c r="P512" s="199"/>
      <c r="Q512" s="131"/>
      <c r="R512" s="131"/>
      <c r="S512" s="131"/>
      <c r="T512" s="131"/>
      <c r="U512" s="131"/>
      <c r="V512" s="131"/>
      <c r="W512" s="131"/>
      <c r="X512" s="131"/>
      <c r="Y512" s="131"/>
      <c r="Z512" s="131"/>
      <c r="AA512" s="131"/>
      <c r="AB512" s="131"/>
      <c r="AC512" s="131"/>
      <c r="AD512" s="131"/>
      <c r="AE512" s="131"/>
      <c r="AF512" s="131"/>
      <c r="AG512" s="131"/>
      <c r="AH512" s="131"/>
      <c r="AI512" s="132"/>
    </row>
    <row r="513" spans="1:35" s="16" customFormat="1" ht="15.75">
      <c r="A513" s="17"/>
      <c r="B513" s="6"/>
      <c r="C513" s="43"/>
      <c r="P513" s="199"/>
      <c r="Q513" s="131"/>
      <c r="R513" s="131"/>
      <c r="S513" s="131"/>
      <c r="T513" s="131"/>
      <c r="U513" s="131"/>
      <c r="V513" s="131"/>
      <c r="W513" s="131"/>
      <c r="X513" s="131"/>
      <c r="Y513" s="131"/>
      <c r="Z513" s="131"/>
      <c r="AA513" s="131"/>
      <c r="AB513" s="131"/>
      <c r="AC513" s="131"/>
      <c r="AD513" s="131"/>
      <c r="AE513" s="131"/>
      <c r="AF513" s="131"/>
      <c r="AG513" s="131"/>
      <c r="AH513" s="131"/>
      <c r="AI513" s="132"/>
    </row>
    <row r="514" spans="1:35" s="16" customFormat="1" ht="15.75">
      <c r="A514" s="17"/>
      <c r="B514" s="6"/>
      <c r="C514" s="43"/>
      <c r="P514" s="199"/>
      <c r="Q514" s="131"/>
      <c r="R514" s="131"/>
      <c r="S514" s="131"/>
      <c r="T514" s="131"/>
      <c r="U514" s="131"/>
      <c r="V514" s="131"/>
      <c r="W514" s="131"/>
      <c r="X514" s="131"/>
      <c r="Y514" s="131"/>
      <c r="Z514" s="131"/>
      <c r="AA514" s="131"/>
      <c r="AB514" s="131"/>
      <c r="AC514" s="131"/>
      <c r="AD514" s="131"/>
      <c r="AE514" s="131"/>
      <c r="AF514" s="131"/>
      <c r="AG514" s="131"/>
      <c r="AH514" s="131"/>
      <c r="AI514" s="132"/>
    </row>
    <row r="515" spans="1:35" s="16" customFormat="1" ht="15.75">
      <c r="A515" s="17"/>
      <c r="B515" s="6"/>
      <c r="C515" s="43"/>
      <c r="P515" s="199"/>
      <c r="Q515" s="131"/>
      <c r="R515" s="131"/>
      <c r="S515" s="131"/>
      <c r="T515" s="131"/>
      <c r="U515" s="131"/>
      <c r="V515" s="131"/>
      <c r="W515" s="131"/>
      <c r="X515" s="131"/>
      <c r="Y515" s="131"/>
      <c r="Z515" s="131"/>
      <c r="AA515" s="131"/>
      <c r="AB515" s="131"/>
      <c r="AC515" s="131"/>
      <c r="AD515" s="131"/>
      <c r="AE515" s="131"/>
      <c r="AF515" s="131"/>
      <c r="AG515" s="131"/>
      <c r="AH515" s="131"/>
      <c r="AI515" s="132"/>
    </row>
    <row r="516" spans="1:35" s="16" customFormat="1" ht="15.75">
      <c r="A516" s="17"/>
      <c r="B516" s="6"/>
      <c r="C516" s="43"/>
      <c r="P516" s="199"/>
      <c r="Q516" s="131"/>
      <c r="R516" s="131"/>
      <c r="S516" s="131"/>
      <c r="T516" s="131"/>
      <c r="U516" s="131"/>
      <c r="V516" s="131"/>
      <c r="W516" s="131"/>
      <c r="X516" s="131"/>
      <c r="Y516" s="131"/>
      <c r="Z516" s="131"/>
      <c r="AA516" s="131"/>
      <c r="AB516" s="131"/>
      <c r="AC516" s="131"/>
      <c r="AD516" s="131"/>
      <c r="AE516" s="131"/>
      <c r="AF516" s="131"/>
      <c r="AG516" s="131"/>
      <c r="AH516" s="131"/>
      <c r="AI516" s="132"/>
    </row>
    <row r="517" spans="1:35" s="16" customFormat="1" ht="15.75">
      <c r="A517" s="17"/>
      <c r="B517" s="6"/>
      <c r="C517" s="43"/>
      <c r="P517" s="199"/>
      <c r="Q517" s="131"/>
      <c r="R517" s="131"/>
      <c r="S517" s="131"/>
      <c r="T517" s="131"/>
      <c r="U517" s="131"/>
      <c r="V517" s="131"/>
      <c r="W517" s="131"/>
      <c r="X517" s="131"/>
      <c r="Y517" s="131"/>
      <c r="Z517" s="131"/>
      <c r="AA517" s="131"/>
      <c r="AB517" s="131"/>
      <c r="AC517" s="131"/>
      <c r="AD517" s="131"/>
      <c r="AE517" s="131"/>
      <c r="AF517" s="131"/>
      <c r="AG517" s="131"/>
      <c r="AH517" s="131"/>
      <c r="AI517" s="132"/>
    </row>
    <row r="518" spans="1:35" s="16" customFormat="1" ht="15.75">
      <c r="A518" s="17"/>
      <c r="B518" s="6"/>
      <c r="C518" s="43"/>
      <c r="P518" s="199"/>
      <c r="Q518" s="131"/>
      <c r="R518" s="131"/>
      <c r="S518" s="131"/>
      <c r="T518" s="131"/>
      <c r="U518" s="131"/>
      <c r="V518" s="131"/>
      <c r="W518" s="131"/>
      <c r="X518" s="131"/>
      <c r="Y518" s="131"/>
      <c r="Z518" s="131"/>
      <c r="AA518" s="131"/>
      <c r="AB518" s="131"/>
      <c r="AC518" s="131"/>
      <c r="AD518" s="131"/>
      <c r="AE518" s="131"/>
      <c r="AF518" s="131"/>
      <c r="AG518" s="131"/>
      <c r="AH518" s="131"/>
      <c r="AI518" s="132"/>
    </row>
    <row r="519" spans="1:35" s="16" customFormat="1" ht="15.75">
      <c r="A519" s="17"/>
      <c r="B519" s="6"/>
      <c r="C519" s="43"/>
      <c r="P519" s="199"/>
      <c r="Q519" s="131"/>
      <c r="R519" s="131"/>
      <c r="S519" s="131"/>
      <c r="T519" s="131"/>
      <c r="U519" s="131"/>
      <c r="V519" s="131"/>
      <c r="W519" s="131"/>
      <c r="X519" s="131"/>
      <c r="Y519" s="131"/>
      <c r="Z519" s="131"/>
      <c r="AA519" s="131"/>
      <c r="AB519" s="131"/>
      <c r="AC519" s="131"/>
      <c r="AD519" s="131"/>
      <c r="AE519" s="131"/>
      <c r="AF519" s="131"/>
      <c r="AG519" s="131"/>
      <c r="AH519" s="131"/>
      <c r="AI519" s="132"/>
    </row>
    <row r="520" spans="1:35" s="16" customFormat="1" ht="15.75">
      <c r="A520" s="17"/>
      <c r="B520" s="6"/>
      <c r="C520" s="43"/>
      <c r="P520" s="199"/>
      <c r="Q520" s="131"/>
      <c r="R520" s="131"/>
      <c r="S520" s="131"/>
      <c r="T520" s="131"/>
      <c r="U520" s="131"/>
      <c r="V520" s="131"/>
      <c r="W520" s="131"/>
      <c r="X520" s="131"/>
      <c r="Y520" s="131"/>
      <c r="Z520" s="131"/>
      <c r="AA520" s="131"/>
      <c r="AB520" s="131"/>
      <c r="AC520" s="131"/>
      <c r="AD520" s="131"/>
      <c r="AE520" s="131"/>
      <c r="AF520" s="131"/>
      <c r="AG520" s="131"/>
      <c r="AH520" s="131"/>
      <c r="AI520" s="132"/>
    </row>
    <row r="521" spans="1:35" s="16" customFormat="1" ht="15.75">
      <c r="A521" s="17"/>
      <c r="B521" s="6"/>
      <c r="C521" s="43"/>
      <c r="P521" s="199"/>
      <c r="Q521" s="131"/>
      <c r="R521" s="131"/>
      <c r="S521" s="131"/>
      <c r="T521" s="131"/>
      <c r="U521" s="131"/>
      <c r="V521" s="131"/>
      <c r="W521" s="131"/>
      <c r="X521" s="131"/>
      <c r="Y521" s="131"/>
      <c r="Z521" s="131"/>
      <c r="AA521" s="131"/>
      <c r="AB521" s="131"/>
      <c r="AC521" s="131"/>
      <c r="AD521" s="131"/>
      <c r="AE521" s="131"/>
      <c r="AF521" s="131"/>
      <c r="AG521" s="131"/>
      <c r="AH521" s="131"/>
      <c r="AI521" s="132"/>
    </row>
    <row r="522" spans="1:35" s="16" customFormat="1" ht="15.75">
      <c r="A522" s="17"/>
      <c r="B522" s="6"/>
      <c r="C522" s="43"/>
      <c r="P522" s="199"/>
      <c r="Q522" s="131"/>
      <c r="R522" s="131"/>
      <c r="S522" s="131"/>
      <c r="T522" s="131"/>
      <c r="U522" s="131"/>
      <c r="V522" s="131"/>
      <c r="W522" s="131"/>
      <c r="X522" s="131"/>
      <c r="Y522" s="131"/>
      <c r="Z522" s="131"/>
      <c r="AA522" s="131"/>
      <c r="AB522" s="131"/>
      <c r="AC522" s="131"/>
      <c r="AD522" s="131"/>
      <c r="AE522" s="131"/>
      <c r="AF522" s="131"/>
      <c r="AG522" s="131"/>
      <c r="AH522" s="131"/>
      <c r="AI522" s="132"/>
    </row>
    <row r="523" spans="1:35" s="16" customFormat="1" ht="15.75">
      <c r="A523" s="17"/>
      <c r="B523" s="6"/>
      <c r="C523" s="43"/>
      <c r="P523" s="199"/>
      <c r="Q523" s="131"/>
      <c r="R523" s="131"/>
      <c r="S523" s="131"/>
      <c r="T523" s="131"/>
      <c r="U523" s="131"/>
      <c r="V523" s="131"/>
      <c r="W523" s="131"/>
      <c r="X523" s="131"/>
      <c r="Y523" s="131"/>
      <c r="Z523" s="131"/>
      <c r="AA523" s="131"/>
      <c r="AB523" s="131"/>
      <c r="AC523" s="131"/>
      <c r="AD523" s="131"/>
      <c r="AE523" s="131"/>
      <c r="AF523" s="131"/>
      <c r="AG523" s="131"/>
      <c r="AH523" s="131"/>
      <c r="AI523" s="132"/>
    </row>
    <row r="524" spans="1:35" s="16" customFormat="1" ht="15.75">
      <c r="A524" s="17"/>
      <c r="B524" s="6"/>
      <c r="C524" s="43"/>
      <c r="P524" s="199"/>
      <c r="Q524" s="131"/>
      <c r="R524" s="131"/>
      <c r="S524" s="131"/>
      <c r="T524" s="131"/>
      <c r="U524" s="131"/>
      <c r="V524" s="131"/>
      <c r="W524" s="131"/>
      <c r="X524" s="131"/>
      <c r="Y524" s="131"/>
      <c r="Z524" s="131"/>
      <c r="AA524" s="131"/>
      <c r="AB524" s="131"/>
      <c r="AC524" s="131"/>
      <c r="AD524" s="131"/>
      <c r="AE524" s="131"/>
      <c r="AF524" s="131"/>
      <c r="AG524" s="131"/>
      <c r="AH524" s="131"/>
      <c r="AI524" s="132"/>
    </row>
    <row r="525" spans="1:35" s="16" customFormat="1" ht="15.75">
      <c r="A525" s="17"/>
      <c r="B525" s="6"/>
      <c r="C525" s="43"/>
      <c r="P525" s="199"/>
      <c r="Q525" s="131"/>
      <c r="R525" s="131"/>
      <c r="S525" s="131"/>
      <c r="T525" s="131"/>
      <c r="U525" s="131"/>
      <c r="V525" s="131"/>
      <c r="W525" s="131"/>
      <c r="X525" s="131"/>
      <c r="Y525" s="131"/>
      <c r="Z525" s="131"/>
      <c r="AA525" s="131"/>
      <c r="AB525" s="131"/>
      <c r="AC525" s="131"/>
      <c r="AD525" s="131"/>
      <c r="AE525" s="131"/>
      <c r="AF525" s="131"/>
      <c r="AG525" s="131"/>
      <c r="AH525" s="131"/>
      <c r="AI525" s="132"/>
    </row>
    <row r="526" spans="1:35" s="16" customFormat="1" ht="15.75">
      <c r="A526" s="17"/>
      <c r="B526" s="6"/>
      <c r="C526" s="43"/>
      <c r="P526" s="199"/>
      <c r="Q526" s="131"/>
      <c r="R526" s="131"/>
      <c r="S526" s="131"/>
      <c r="T526" s="131"/>
      <c r="U526" s="131"/>
      <c r="V526" s="131"/>
      <c r="W526" s="131"/>
      <c r="X526" s="131"/>
      <c r="Y526" s="131"/>
      <c r="Z526" s="131"/>
      <c r="AA526" s="131"/>
      <c r="AB526" s="131"/>
      <c r="AC526" s="131"/>
      <c r="AD526" s="131"/>
      <c r="AE526" s="131"/>
      <c r="AF526" s="131"/>
      <c r="AG526" s="131"/>
      <c r="AH526" s="131"/>
      <c r="AI526" s="132"/>
    </row>
    <row r="527" spans="1:35" s="16" customFormat="1" ht="15.75">
      <c r="A527" s="17"/>
      <c r="B527" s="6"/>
      <c r="C527" s="43"/>
      <c r="P527" s="199"/>
      <c r="Q527" s="131"/>
      <c r="R527" s="131"/>
      <c r="S527" s="131"/>
      <c r="T527" s="131"/>
      <c r="U527" s="131"/>
      <c r="V527" s="131"/>
      <c r="W527" s="131"/>
      <c r="X527" s="131"/>
      <c r="Y527" s="131"/>
      <c r="Z527" s="131"/>
      <c r="AA527" s="131"/>
      <c r="AB527" s="131"/>
      <c r="AC527" s="131"/>
      <c r="AD527" s="131"/>
      <c r="AE527" s="131"/>
      <c r="AF527" s="131"/>
      <c r="AG527" s="131"/>
      <c r="AH527" s="131"/>
      <c r="AI527" s="132"/>
    </row>
    <row r="528" spans="1:35" s="16" customFormat="1" ht="15.75">
      <c r="A528" s="17"/>
      <c r="B528" s="6"/>
      <c r="C528" s="43"/>
      <c r="P528" s="199"/>
      <c r="Q528" s="131"/>
      <c r="R528" s="131"/>
      <c r="S528" s="131"/>
      <c r="T528" s="131"/>
      <c r="U528" s="131"/>
      <c r="V528" s="131"/>
      <c r="W528" s="131"/>
      <c r="X528" s="131"/>
      <c r="Y528" s="131"/>
      <c r="Z528" s="131"/>
      <c r="AA528" s="131"/>
      <c r="AB528" s="131"/>
      <c r="AC528" s="131"/>
      <c r="AD528" s="131"/>
      <c r="AE528" s="131"/>
      <c r="AF528" s="131"/>
      <c r="AG528" s="131"/>
      <c r="AH528" s="131"/>
      <c r="AI528" s="132"/>
    </row>
    <row r="529" spans="1:35" s="16" customFormat="1" ht="15.75">
      <c r="A529" s="17"/>
      <c r="B529" s="6"/>
      <c r="C529" s="43"/>
      <c r="P529" s="199"/>
      <c r="Q529" s="131"/>
      <c r="R529" s="131"/>
      <c r="S529" s="131"/>
      <c r="T529" s="131"/>
      <c r="U529" s="131"/>
      <c r="V529" s="131"/>
      <c r="W529" s="131"/>
      <c r="X529" s="131"/>
      <c r="Y529" s="131"/>
      <c r="Z529" s="131"/>
      <c r="AA529" s="131"/>
      <c r="AB529" s="131"/>
      <c r="AC529" s="131"/>
      <c r="AD529" s="131"/>
      <c r="AE529" s="131"/>
      <c r="AF529" s="131"/>
      <c r="AG529" s="131"/>
      <c r="AH529" s="131"/>
      <c r="AI529" s="132"/>
    </row>
    <row r="530" spans="1:35" s="16" customFormat="1" ht="15.75">
      <c r="A530" s="17"/>
      <c r="B530" s="6"/>
      <c r="C530" s="43"/>
      <c r="P530" s="199"/>
      <c r="Q530" s="131"/>
      <c r="R530" s="131"/>
      <c r="S530" s="131"/>
      <c r="T530" s="131"/>
      <c r="U530" s="131"/>
      <c r="V530" s="131"/>
      <c r="W530" s="131"/>
      <c r="X530" s="131"/>
      <c r="Y530" s="131"/>
      <c r="Z530" s="131"/>
      <c r="AA530" s="131"/>
      <c r="AB530" s="131"/>
      <c r="AC530" s="131"/>
      <c r="AD530" s="131"/>
      <c r="AE530" s="131"/>
      <c r="AF530" s="131"/>
      <c r="AG530" s="131"/>
      <c r="AH530" s="131"/>
      <c r="AI530" s="132"/>
    </row>
    <row r="531" spans="1:35" s="16" customFormat="1" ht="15.75">
      <c r="A531" s="17"/>
      <c r="B531" s="6"/>
      <c r="C531" s="43"/>
      <c r="P531" s="199"/>
      <c r="Q531" s="131"/>
      <c r="R531" s="131"/>
      <c r="S531" s="131"/>
      <c r="T531" s="131"/>
      <c r="U531" s="131"/>
      <c r="V531" s="131"/>
      <c r="W531" s="131"/>
      <c r="X531" s="131"/>
      <c r="Y531" s="131"/>
      <c r="Z531" s="131"/>
      <c r="AA531" s="131"/>
      <c r="AB531" s="131"/>
      <c r="AC531" s="131"/>
      <c r="AD531" s="131"/>
      <c r="AE531" s="131"/>
      <c r="AF531" s="131"/>
      <c r="AG531" s="131"/>
      <c r="AH531" s="131"/>
      <c r="AI531" s="132"/>
    </row>
    <row r="532" spans="1:35" s="16" customFormat="1" ht="15.75">
      <c r="A532" s="17"/>
      <c r="B532" s="6"/>
      <c r="C532" s="43"/>
      <c r="P532" s="199"/>
      <c r="Q532" s="131"/>
      <c r="R532" s="131"/>
      <c r="S532" s="131"/>
      <c r="T532" s="131"/>
      <c r="U532" s="131"/>
      <c r="V532" s="131"/>
      <c r="W532" s="131"/>
      <c r="X532" s="131"/>
      <c r="Y532" s="131"/>
      <c r="Z532" s="131"/>
      <c r="AA532" s="131"/>
      <c r="AB532" s="131"/>
      <c r="AC532" s="131"/>
      <c r="AD532" s="131"/>
      <c r="AE532" s="131"/>
      <c r="AF532" s="131"/>
      <c r="AG532" s="131"/>
      <c r="AH532" s="131"/>
      <c r="AI532" s="132"/>
    </row>
    <row r="533" spans="1:35" s="16" customFormat="1" ht="15.75">
      <c r="A533" s="17"/>
      <c r="B533" s="6"/>
      <c r="C533" s="43"/>
      <c r="P533" s="199"/>
      <c r="Q533" s="131"/>
      <c r="R533" s="131"/>
      <c r="S533" s="131"/>
      <c r="T533" s="131"/>
      <c r="U533" s="131"/>
      <c r="V533" s="131"/>
      <c r="W533" s="131"/>
      <c r="X533" s="131"/>
      <c r="Y533" s="131"/>
      <c r="Z533" s="131"/>
      <c r="AA533" s="131"/>
      <c r="AB533" s="131"/>
      <c r="AC533" s="131"/>
      <c r="AD533" s="131"/>
      <c r="AE533" s="131"/>
      <c r="AF533" s="131"/>
      <c r="AG533" s="131"/>
      <c r="AH533" s="131"/>
      <c r="AI533" s="132"/>
    </row>
    <row r="534" spans="1:35" s="16" customFormat="1" ht="15.75">
      <c r="A534" s="17"/>
      <c r="B534" s="6"/>
      <c r="C534" s="43"/>
      <c r="P534" s="199"/>
      <c r="Q534" s="131"/>
      <c r="R534" s="131"/>
      <c r="S534" s="131"/>
      <c r="T534" s="131"/>
      <c r="U534" s="131"/>
      <c r="V534" s="131"/>
      <c r="W534" s="131"/>
      <c r="X534" s="131"/>
      <c r="Y534" s="131"/>
      <c r="Z534" s="131"/>
      <c r="AA534" s="131"/>
      <c r="AB534" s="131"/>
      <c r="AC534" s="131"/>
      <c r="AD534" s="131"/>
      <c r="AE534" s="131"/>
      <c r="AF534" s="131"/>
      <c r="AG534" s="131"/>
      <c r="AH534" s="131"/>
      <c r="AI534" s="132"/>
    </row>
    <row r="535" spans="1:35" s="16" customFormat="1" ht="15.75">
      <c r="A535" s="17"/>
      <c r="B535" s="6"/>
      <c r="C535" s="43"/>
      <c r="P535" s="199"/>
      <c r="Q535" s="131"/>
      <c r="R535" s="131"/>
      <c r="S535" s="131"/>
      <c r="T535" s="131"/>
      <c r="U535" s="131"/>
      <c r="V535" s="131"/>
      <c r="W535" s="131"/>
      <c r="X535" s="131"/>
      <c r="Y535" s="131"/>
      <c r="Z535" s="131"/>
      <c r="AA535" s="131"/>
      <c r="AB535" s="131"/>
      <c r="AC535" s="131"/>
      <c r="AD535" s="131"/>
      <c r="AE535" s="131"/>
      <c r="AF535" s="131"/>
      <c r="AG535" s="131"/>
      <c r="AH535" s="131"/>
      <c r="AI535" s="132"/>
    </row>
    <row r="536" spans="1:35" s="16" customFormat="1" ht="15.75">
      <c r="A536" s="17"/>
      <c r="B536" s="6"/>
      <c r="C536" s="43"/>
      <c r="P536" s="199"/>
      <c r="Q536" s="131"/>
      <c r="R536" s="131"/>
      <c r="S536" s="131"/>
      <c r="T536" s="131"/>
      <c r="U536" s="131"/>
      <c r="V536" s="131"/>
      <c r="W536" s="131"/>
      <c r="X536" s="131"/>
      <c r="Y536" s="131"/>
      <c r="Z536" s="131"/>
      <c r="AA536" s="131"/>
      <c r="AB536" s="131"/>
      <c r="AC536" s="131"/>
      <c r="AD536" s="131"/>
      <c r="AE536" s="131"/>
      <c r="AF536" s="131"/>
      <c r="AG536" s="131"/>
      <c r="AH536" s="131"/>
      <c r="AI536" s="132"/>
    </row>
    <row r="537" spans="1:35" s="16" customFormat="1" ht="15.75">
      <c r="A537" s="17"/>
      <c r="B537" s="6"/>
      <c r="C537" s="43"/>
      <c r="P537" s="199"/>
      <c r="Q537" s="131"/>
      <c r="R537" s="131"/>
      <c r="S537" s="131"/>
      <c r="T537" s="131"/>
      <c r="U537" s="131"/>
      <c r="V537" s="131"/>
      <c r="W537" s="131"/>
      <c r="X537" s="131"/>
      <c r="Y537" s="131"/>
      <c r="Z537" s="131"/>
      <c r="AA537" s="131"/>
      <c r="AB537" s="131"/>
      <c r="AC537" s="131"/>
      <c r="AD537" s="131"/>
      <c r="AE537" s="131"/>
      <c r="AF537" s="131"/>
      <c r="AG537" s="131"/>
      <c r="AH537" s="131"/>
      <c r="AI537" s="132"/>
    </row>
    <row r="538" spans="1:35" s="16" customFormat="1" ht="15.75">
      <c r="A538" s="17"/>
      <c r="B538" s="6"/>
      <c r="C538" s="43"/>
      <c r="P538" s="199"/>
      <c r="Q538" s="131"/>
      <c r="R538" s="131"/>
      <c r="S538" s="131"/>
      <c r="T538" s="131"/>
      <c r="U538" s="131"/>
      <c r="V538" s="131"/>
      <c r="W538" s="131"/>
      <c r="X538" s="131"/>
      <c r="Y538" s="131"/>
      <c r="Z538" s="131"/>
      <c r="AA538" s="131"/>
      <c r="AB538" s="131"/>
      <c r="AC538" s="131"/>
      <c r="AD538" s="131"/>
      <c r="AE538" s="131"/>
      <c r="AF538" s="131"/>
      <c r="AG538" s="131"/>
      <c r="AH538" s="131"/>
      <c r="AI538" s="132"/>
    </row>
    <row r="539" spans="1:35" s="16" customFormat="1" ht="15.75">
      <c r="A539" s="17"/>
      <c r="B539" s="6"/>
      <c r="C539" s="43"/>
      <c r="P539" s="199"/>
      <c r="Q539" s="131"/>
      <c r="R539" s="131"/>
      <c r="S539" s="131"/>
      <c r="T539" s="131"/>
      <c r="U539" s="131"/>
      <c r="V539" s="131"/>
      <c r="W539" s="131"/>
      <c r="X539" s="131"/>
      <c r="Y539" s="131"/>
      <c r="Z539" s="131"/>
      <c r="AA539" s="131"/>
      <c r="AB539" s="131"/>
      <c r="AC539" s="131"/>
      <c r="AD539" s="131"/>
      <c r="AE539" s="131"/>
      <c r="AF539" s="131"/>
      <c r="AG539" s="131"/>
      <c r="AH539" s="131"/>
      <c r="AI539" s="132"/>
    </row>
    <row r="540" spans="1:35" s="16" customFormat="1" ht="15.75">
      <c r="A540" s="17"/>
      <c r="B540" s="6"/>
      <c r="C540" s="43"/>
      <c r="P540" s="199"/>
      <c r="Q540" s="131"/>
      <c r="R540" s="131"/>
      <c r="S540" s="131"/>
      <c r="T540" s="131"/>
      <c r="U540" s="131"/>
      <c r="V540" s="131"/>
      <c r="W540" s="131"/>
      <c r="X540" s="131"/>
      <c r="Y540" s="131"/>
      <c r="Z540" s="131"/>
      <c r="AA540" s="131"/>
      <c r="AB540" s="131"/>
      <c r="AC540" s="131"/>
      <c r="AD540" s="131"/>
      <c r="AE540" s="131"/>
      <c r="AF540" s="131"/>
      <c r="AG540" s="131"/>
      <c r="AH540" s="131"/>
      <c r="AI540" s="132"/>
    </row>
    <row r="541" spans="1:35" s="16" customFormat="1" ht="15.75">
      <c r="A541" s="17"/>
      <c r="B541" s="6"/>
      <c r="C541" s="43"/>
      <c r="P541" s="199"/>
      <c r="Q541" s="131"/>
      <c r="R541" s="131"/>
      <c r="S541" s="131"/>
      <c r="T541" s="131"/>
      <c r="U541" s="131"/>
      <c r="V541" s="131"/>
      <c r="W541" s="131"/>
      <c r="X541" s="131"/>
      <c r="Y541" s="131"/>
      <c r="Z541" s="131"/>
      <c r="AA541" s="131"/>
      <c r="AB541" s="131"/>
      <c r="AC541" s="131"/>
      <c r="AD541" s="131"/>
      <c r="AE541" s="131"/>
      <c r="AF541" s="131"/>
      <c r="AG541" s="131"/>
      <c r="AH541" s="131"/>
      <c r="AI541" s="132"/>
    </row>
    <row r="542" spans="1:35" s="16" customFormat="1" ht="15.75">
      <c r="A542" s="17"/>
      <c r="B542" s="6"/>
      <c r="C542" s="43"/>
      <c r="P542" s="199"/>
      <c r="Q542" s="131"/>
      <c r="R542" s="131"/>
      <c r="S542" s="131"/>
      <c r="T542" s="131"/>
      <c r="U542" s="131"/>
      <c r="V542" s="131"/>
      <c r="W542" s="131"/>
      <c r="X542" s="131"/>
      <c r="Y542" s="131"/>
      <c r="Z542" s="131"/>
      <c r="AA542" s="131"/>
      <c r="AB542" s="131"/>
      <c r="AC542" s="131"/>
      <c r="AD542" s="131"/>
      <c r="AE542" s="131"/>
      <c r="AF542" s="131"/>
      <c r="AG542" s="131"/>
      <c r="AH542" s="131"/>
      <c r="AI542" s="132"/>
    </row>
    <row r="543" spans="1:35" s="16" customFormat="1" ht="15.75">
      <c r="A543" s="17"/>
      <c r="B543" s="6"/>
      <c r="C543" s="43"/>
      <c r="P543" s="199"/>
      <c r="Q543" s="131"/>
      <c r="R543" s="131"/>
      <c r="S543" s="131"/>
      <c r="T543" s="131"/>
      <c r="U543" s="131"/>
      <c r="V543" s="131"/>
      <c r="W543" s="131"/>
      <c r="X543" s="131"/>
      <c r="Y543" s="131"/>
      <c r="Z543" s="131"/>
      <c r="AA543" s="131"/>
      <c r="AB543" s="131"/>
      <c r="AC543" s="131"/>
      <c r="AD543" s="131"/>
      <c r="AE543" s="131"/>
      <c r="AF543" s="131"/>
      <c r="AG543" s="131"/>
      <c r="AH543" s="131"/>
      <c r="AI543" s="132"/>
    </row>
    <row r="544" spans="1:35" s="16" customFormat="1" ht="15.75">
      <c r="A544" s="17"/>
      <c r="B544" s="6"/>
      <c r="C544" s="43"/>
      <c r="P544" s="199"/>
      <c r="Q544" s="131"/>
      <c r="R544" s="131"/>
      <c r="S544" s="131"/>
      <c r="T544" s="131"/>
      <c r="U544" s="131"/>
      <c r="V544" s="131"/>
      <c r="W544" s="131"/>
      <c r="X544" s="131"/>
      <c r="Y544" s="131"/>
      <c r="Z544" s="131"/>
      <c r="AA544" s="131"/>
      <c r="AB544" s="131"/>
      <c r="AC544" s="131"/>
      <c r="AD544" s="131"/>
      <c r="AE544" s="131"/>
      <c r="AF544" s="131"/>
      <c r="AG544" s="131"/>
      <c r="AH544" s="131"/>
      <c r="AI544" s="132"/>
    </row>
    <row r="545" spans="1:35" s="16" customFormat="1" ht="15.75">
      <c r="A545" s="17"/>
      <c r="B545" s="6"/>
      <c r="C545" s="43"/>
      <c r="P545" s="199"/>
      <c r="Q545" s="131"/>
      <c r="R545" s="131"/>
      <c r="S545" s="131"/>
      <c r="T545" s="131"/>
      <c r="U545" s="131"/>
      <c r="V545" s="131"/>
      <c r="W545" s="131"/>
      <c r="X545" s="131"/>
      <c r="Y545" s="131"/>
      <c r="Z545" s="131"/>
      <c r="AA545" s="131"/>
      <c r="AB545" s="131"/>
      <c r="AC545" s="131"/>
      <c r="AD545" s="131"/>
      <c r="AE545" s="131"/>
      <c r="AF545" s="131"/>
      <c r="AG545" s="131"/>
      <c r="AH545" s="131"/>
      <c r="AI545" s="132"/>
    </row>
    <row r="546" spans="1:35" s="16" customFormat="1" ht="15.75">
      <c r="A546" s="17"/>
      <c r="B546" s="6"/>
      <c r="C546" s="43"/>
      <c r="P546" s="199"/>
      <c r="Q546" s="131"/>
      <c r="R546" s="131"/>
      <c r="S546" s="131"/>
      <c r="T546" s="131"/>
      <c r="U546" s="131"/>
      <c r="V546" s="131"/>
      <c r="W546" s="131"/>
      <c r="X546" s="131"/>
      <c r="Y546" s="131"/>
      <c r="Z546" s="131"/>
      <c r="AA546" s="131"/>
      <c r="AB546" s="131"/>
      <c r="AC546" s="131"/>
      <c r="AD546" s="131"/>
      <c r="AE546" s="131"/>
      <c r="AF546" s="131"/>
      <c r="AG546" s="131"/>
      <c r="AH546" s="131"/>
      <c r="AI546" s="132"/>
    </row>
    <row r="547" spans="1:35" s="16" customFormat="1" ht="15.75">
      <c r="A547" s="17"/>
      <c r="B547" s="6"/>
      <c r="C547" s="43"/>
      <c r="P547" s="199"/>
      <c r="Q547" s="131"/>
      <c r="R547" s="131"/>
      <c r="S547" s="131"/>
      <c r="T547" s="131"/>
      <c r="U547" s="131"/>
      <c r="V547" s="131"/>
      <c r="W547" s="131"/>
      <c r="X547" s="131"/>
      <c r="Y547" s="131"/>
      <c r="Z547" s="131"/>
      <c r="AA547" s="131"/>
      <c r="AB547" s="131"/>
      <c r="AC547" s="131"/>
      <c r="AD547" s="131"/>
      <c r="AE547" s="131"/>
      <c r="AF547" s="131"/>
      <c r="AG547" s="131"/>
      <c r="AH547" s="131"/>
      <c r="AI547" s="132"/>
    </row>
    <row r="548" spans="1:35" s="16" customFormat="1" ht="15.75">
      <c r="A548" s="17"/>
      <c r="B548" s="6"/>
      <c r="C548" s="43"/>
      <c r="P548" s="199"/>
      <c r="Q548" s="131"/>
      <c r="R548" s="131"/>
      <c r="S548" s="131"/>
      <c r="T548" s="131"/>
      <c r="U548" s="131"/>
      <c r="V548" s="131"/>
      <c r="W548" s="131"/>
      <c r="X548" s="131"/>
      <c r="Y548" s="131"/>
      <c r="Z548" s="131"/>
      <c r="AA548" s="131"/>
      <c r="AB548" s="131"/>
      <c r="AC548" s="131"/>
      <c r="AD548" s="131"/>
      <c r="AE548" s="131"/>
      <c r="AF548" s="131"/>
      <c r="AG548" s="131"/>
      <c r="AH548" s="131"/>
      <c r="AI548" s="132"/>
    </row>
    <row r="549" spans="1:35" s="16" customFormat="1" ht="15.75">
      <c r="A549" s="17"/>
      <c r="B549" s="6"/>
      <c r="C549" s="43"/>
      <c r="P549" s="199"/>
      <c r="Q549" s="131"/>
      <c r="R549" s="131"/>
      <c r="S549" s="131"/>
      <c r="T549" s="131"/>
      <c r="U549" s="131"/>
      <c r="V549" s="131"/>
      <c r="W549" s="131"/>
      <c r="X549" s="131"/>
      <c r="Y549" s="131"/>
      <c r="Z549" s="131"/>
      <c r="AA549" s="131"/>
      <c r="AB549" s="131"/>
      <c r="AC549" s="131"/>
      <c r="AD549" s="131"/>
      <c r="AE549" s="131"/>
      <c r="AF549" s="131"/>
      <c r="AG549" s="131"/>
      <c r="AH549" s="131"/>
      <c r="AI549" s="132"/>
    </row>
    <row r="550" spans="1:35" s="16" customFormat="1" ht="15.75">
      <c r="A550" s="17"/>
      <c r="B550" s="6"/>
      <c r="C550" s="43"/>
      <c r="P550" s="199"/>
      <c r="Q550" s="131"/>
      <c r="R550" s="131"/>
      <c r="S550" s="131"/>
      <c r="T550" s="131"/>
      <c r="U550" s="131"/>
      <c r="V550" s="131"/>
      <c r="W550" s="131"/>
      <c r="X550" s="131"/>
      <c r="Y550" s="131"/>
      <c r="Z550" s="131"/>
      <c r="AA550" s="131"/>
      <c r="AB550" s="131"/>
      <c r="AC550" s="131"/>
      <c r="AD550" s="131"/>
      <c r="AE550" s="131"/>
      <c r="AF550" s="131"/>
      <c r="AG550" s="131"/>
      <c r="AH550" s="131"/>
      <c r="AI550" s="132"/>
    </row>
    <row r="551" spans="1:35" s="16" customFormat="1" ht="15.75">
      <c r="A551" s="17"/>
      <c r="B551" s="6"/>
      <c r="C551" s="43"/>
      <c r="P551" s="199"/>
      <c r="Q551" s="131"/>
      <c r="R551" s="131"/>
      <c r="S551" s="131"/>
      <c r="T551" s="131"/>
      <c r="U551" s="131"/>
      <c r="V551" s="131"/>
      <c r="W551" s="131"/>
      <c r="X551" s="131"/>
      <c r="Y551" s="131"/>
      <c r="Z551" s="131"/>
      <c r="AA551" s="131"/>
      <c r="AB551" s="131"/>
      <c r="AC551" s="131"/>
      <c r="AD551" s="131"/>
      <c r="AE551" s="131"/>
      <c r="AF551" s="131"/>
      <c r="AG551" s="131"/>
      <c r="AH551" s="131"/>
      <c r="AI551" s="132"/>
    </row>
    <row r="552" spans="1:35" s="16" customFormat="1" ht="15.75">
      <c r="A552" s="17"/>
      <c r="B552" s="6"/>
      <c r="C552" s="43"/>
      <c r="P552" s="199"/>
      <c r="Q552" s="131"/>
      <c r="R552" s="131"/>
      <c r="S552" s="131"/>
      <c r="T552" s="131"/>
      <c r="U552" s="131"/>
      <c r="V552" s="131"/>
      <c r="W552" s="131"/>
      <c r="X552" s="131"/>
      <c r="Y552" s="131"/>
      <c r="Z552" s="131"/>
      <c r="AA552" s="131"/>
      <c r="AB552" s="131"/>
      <c r="AC552" s="131"/>
      <c r="AD552" s="131"/>
      <c r="AE552" s="131"/>
      <c r="AF552" s="131"/>
      <c r="AG552" s="131"/>
      <c r="AH552" s="131"/>
      <c r="AI552" s="132"/>
    </row>
    <row r="553" spans="1:35" s="16" customFormat="1" ht="15.75">
      <c r="A553" s="17"/>
      <c r="B553" s="6"/>
      <c r="C553" s="43"/>
      <c r="P553" s="199"/>
      <c r="Q553" s="131"/>
      <c r="R553" s="131"/>
      <c r="S553" s="131"/>
      <c r="T553" s="131"/>
      <c r="U553" s="131"/>
      <c r="V553" s="131"/>
      <c r="W553" s="131"/>
      <c r="X553" s="131"/>
      <c r="Y553" s="131"/>
      <c r="Z553" s="131"/>
      <c r="AA553" s="131"/>
      <c r="AB553" s="131"/>
      <c r="AC553" s="131"/>
      <c r="AD553" s="131"/>
      <c r="AE553" s="131"/>
      <c r="AF553" s="131"/>
      <c r="AG553" s="131"/>
      <c r="AH553" s="131"/>
      <c r="AI553" s="132"/>
    </row>
    <row r="554" spans="1:35" s="16" customFormat="1" ht="15.75">
      <c r="A554" s="17"/>
      <c r="B554" s="6"/>
      <c r="C554" s="43"/>
      <c r="P554" s="199"/>
      <c r="Q554" s="131"/>
      <c r="R554" s="131"/>
      <c r="S554" s="131"/>
      <c r="T554" s="131"/>
      <c r="U554" s="131"/>
      <c r="V554" s="131"/>
      <c r="W554" s="131"/>
      <c r="X554" s="131"/>
      <c r="Y554" s="131"/>
      <c r="Z554" s="131"/>
      <c r="AA554" s="131"/>
      <c r="AB554" s="131"/>
      <c r="AC554" s="131"/>
      <c r="AD554" s="131"/>
      <c r="AE554" s="131"/>
      <c r="AF554" s="131"/>
      <c r="AG554" s="131"/>
      <c r="AH554" s="131"/>
      <c r="AI554" s="132"/>
    </row>
    <row r="555" spans="1:35" s="16" customFormat="1" ht="15.75">
      <c r="A555" s="17"/>
      <c r="B555" s="6"/>
      <c r="C555" s="43"/>
      <c r="P555" s="199"/>
      <c r="Q555" s="131"/>
      <c r="R555" s="131"/>
      <c r="S555" s="131"/>
      <c r="T555" s="131"/>
      <c r="U555" s="131"/>
      <c r="V555" s="131"/>
      <c r="W555" s="131"/>
      <c r="X555" s="131"/>
      <c r="Y555" s="131"/>
      <c r="Z555" s="131"/>
      <c r="AA555" s="131"/>
      <c r="AB555" s="131"/>
      <c r="AC555" s="131"/>
      <c r="AD555" s="131"/>
      <c r="AE555" s="131"/>
      <c r="AF555" s="131"/>
      <c r="AG555" s="131"/>
      <c r="AH555" s="131"/>
      <c r="AI555" s="132"/>
    </row>
    <row r="556" spans="1:35" s="16" customFormat="1" ht="15.75">
      <c r="A556" s="17"/>
      <c r="B556" s="6"/>
      <c r="C556" s="43"/>
      <c r="P556" s="199"/>
      <c r="Q556" s="131"/>
      <c r="R556" s="131"/>
      <c r="S556" s="131"/>
      <c r="T556" s="131"/>
      <c r="U556" s="131"/>
      <c r="V556" s="131"/>
      <c r="W556" s="131"/>
      <c r="X556" s="131"/>
      <c r="Y556" s="131"/>
      <c r="Z556" s="131"/>
      <c r="AA556" s="131"/>
      <c r="AB556" s="131"/>
      <c r="AC556" s="131"/>
      <c r="AD556" s="131"/>
      <c r="AE556" s="131"/>
      <c r="AF556" s="131"/>
      <c r="AG556" s="131"/>
      <c r="AH556" s="131"/>
      <c r="AI556" s="132"/>
    </row>
    <row r="557" spans="1:35" s="16" customFormat="1" ht="15.75">
      <c r="A557" s="17"/>
      <c r="B557" s="6"/>
      <c r="C557" s="43"/>
      <c r="P557" s="199"/>
      <c r="Q557" s="131"/>
      <c r="R557" s="131"/>
      <c r="S557" s="131"/>
      <c r="T557" s="131"/>
      <c r="U557" s="131"/>
      <c r="V557" s="131"/>
      <c r="W557" s="131"/>
      <c r="X557" s="131"/>
      <c r="Y557" s="131"/>
      <c r="Z557" s="131"/>
      <c r="AA557" s="131"/>
      <c r="AB557" s="131"/>
      <c r="AC557" s="131"/>
      <c r="AD557" s="131"/>
      <c r="AE557" s="131"/>
      <c r="AF557" s="131"/>
      <c r="AG557" s="131"/>
      <c r="AH557" s="131"/>
      <c r="AI557" s="132"/>
    </row>
    <row r="558" spans="1:35" s="16" customFormat="1" ht="15.75">
      <c r="A558" s="17"/>
      <c r="B558" s="6"/>
      <c r="C558" s="43"/>
      <c r="P558" s="199"/>
      <c r="Q558" s="131"/>
      <c r="R558" s="131"/>
      <c r="S558" s="131"/>
      <c r="T558" s="131"/>
      <c r="U558" s="131"/>
      <c r="V558" s="131"/>
      <c r="W558" s="131"/>
      <c r="X558" s="131"/>
      <c r="Y558" s="131"/>
      <c r="Z558" s="131"/>
      <c r="AA558" s="131"/>
      <c r="AB558" s="131"/>
      <c r="AC558" s="131"/>
      <c r="AD558" s="131"/>
      <c r="AE558" s="131"/>
      <c r="AF558" s="131"/>
      <c r="AG558" s="131"/>
      <c r="AH558" s="131"/>
      <c r="AI558" s="132"/>
    </row>
    <row r="559" spans="1:35" s="16" customFormat="1" ht="15.75">
      <c r="A559" s="17"/>
      <c r="B559" s="6"/>
      <c r="C559" s="43"/>
      <c r="P559" s="199"/>
      <c r="Q559" s="131"/>
      <c r="R559" s="131"/>
      <c r="S559" s="131"/>
      <c r="T559" s="131"/>
      <c r="U559" s="131"/>
      <c r="V559" s="131"/>
      <c r="W559" s="131"/>
      <c r="X559" s="131"/>
      <c r="Y559" s="131"/>
      <c r="Z559" s="131"/>
      <c r="AA559" s="131"/>
      <c r="AB559" s="131"/>
      <c r="AC559" s="131"/>
      <c r="AD559" s="131"/>
      <c r="AE559" s="131"/>
      <c r="AF559" s="131"/>
      <c r="AG559" s="131"/>
      <c r="AH559" s="131"/>
      <c r="AI559" s="132"/>
    </row>
    <row r="560" spans="1:35" s="16" customFormat="1" ht="15.75">
      <c r="A560" s="17"/>
      <c r="B560" s="6"/>
      <c r="C560" s="43"/>
      <c r="P560" s="199"/>
      <c r="Q560" s="131"/>
      <c r="R560" s="131"/>
      <c r="S560" s="131"/>
      <c r="T560" s="131"/>
      <c r="U560" s="131"/>
      <c r="V560" s="131"/>
      <c r="W560" s="131"/>
      <c r="X560" s="131"/>
      <c r="Y560" s="131"/>
      <c r="Z560" s="131"/>
      <c r="AA560" s="131"/>
      <c r="AB560" s="131"/>
      <c r="AC560" s="131"/>
      <c r="AD560" s="131"/>
      <c r="AE560" s="131"/>
      <c r="AF560" s="131"/>
      <c r="AG560" s="131"/>
      <c r="AH560" s="131"/>
      <c r="AI560" s="132"/>
    </row>
    <row r="561" spans="1:35" s="16" customFormat="1" ht="15.75">
      <c r="A561" s="17"/>
      <c r="B561" s="6"/>
      <c r="C561" s="43"/>
      <c r="P561" s="199"/>
      <c r="Q561" s="131"/>
      <c r="R561" s="131"/>
      <c r="S561" s="131"/>
      <c r="T561" s="131"/>
      <c r="U561" s="131"/>
      <c r="V561" s="131"/>
      <c r="W561" s="131"/>
      <c r="X561" s="131"/>
      <c r="Y561" s="131"/>
      <c r="Z561" s="131"/>
      <c r="AA561" s="131"/>
      <c r="AB561" s="131"/>
      <c r="AC561" s="131"/>
      <c r="AD561" s="131"/>
      <c r="AE561" s="131"/>
      <c r="AF561" s="131"/>
      <c r="AG561" s="131"/>
      <c r="AH561" s="131"/>
      <c r="AI561" s="132"/>
    </row>
    <row r="562" spans="1:35" s="16" customFormat="1" ht="15.75">
      <c r="A562" s="17"/>
      <c r="B562" s="6"/>
      <c r="C562" s="43"/>
      <c r="P562" s="199"/>
      <c r="Q562" s="131"/>
      <c r="R562" s="131"/>
      <c r="S562" s="131"/>
      <c r="T562" s="131"/>
      <c r="U562" s="131"/>
      <c r="V562" s="131"/>
      <c r="W562" s="131"/>
      <c r="X562" s="131"/>
      <c r="Y562" s="131"/>
      <c r="Z562" s="131"/>
      <c r="AA562" s="131"/>
      <c r="AB562" s="131"/>
      <c r="AC562" s="131"/>
      <c r="AD562" s="131"/>
      <c r="AE562" s="131"/>
      <c r="AF562" s="131"/>
      <c r="AG562" s="131"/>
      <c r="AH562" s="131"/>
      <c r="AI562" s="132"/>
    </row>
    <row r="563" spans="1:35" s="16" customFormat="1" ht="15.75">
      <c r="A563" s="17"/>
      <c r="B563" s="6"/>
      <c r="C563" s="43"/>
      <c r="P563" s="199"/>
      <c r="Q563" s="131"/>
      <c r="R563" s="131"/>
      <c r="S563" s="131"/>
      <c r="T563" s="131"/>
      <c r="U563" s="131"/>
      <c r="V563" s="131"/>
      <c r="W563" s="131"/>
      <c r="X563" s="131"/>
      <c r="Y563" s="131"/>
      <c r="Z563" s="131"/>
      <c r="AA563" s="131"/>
      <c r="AB563" s="131"/>
      <c r="AC563" s="131"/>
      <c r="AD563" s="131"/>
      <c r="AE563" s="131"/>
      <c r="AF563" s="131"/>
      <c r="AG563" s="131"/>
      <c r="AH563" s="131"/>
      <c r="AI563" s="132"/>
    </row>
    <row r="564" spans="1:35" s="16" customFormat="1" ht="15.75">
      <c r="A564" s="17"/>
      <c r="B564" s="6"/>
      <c r="C564" s="43"/>
      <c r="P564" s="199"/>
      <c r="Q564" s="131"/>
      <c r="R564" s="131"/>
      <c r="S564" s="131"/>
      <c r="T564" s="131"/>
      <c r="U564" s="131"/>
      <c r="V564" s="131"/>
      <c r="W564" s="131"/>
      <c r="X564" s="131"/>
      <c r="Y564" s="131"/>
      <c r="Z564" s="131"/>
      <c r="AA564" s="131"/>
      <c r="AB564" s="131"/>
      <c r="AC564" s="131"/>
      <c r="AD564" s="131"/>
      <c r="AE564" s="131"/>
      <c r="AF564" s="131"/>
      <c r="AG564" s="131"/>
      <c r="AH564" s="131"/>
      <c r="AI564" s="132"/>
    </row>
    <row r="565" spans="1:35" s="16" customFormat="1" ht="15.75">
      <c r="A565" s="17"/>
      <c r="B565" s="6"/>
      <c r="C565" s="43"/>
      <c r="P565" s="199"/>
      <c r="Q565" s="131"/>
      <c r="R565" s="131"/>
      <c r="S565" s="131"/>
      <c r="T565" s="131"/>
      <c r="U565" s="131"/>
      <c r="V565" s="131"/>
      <c r="W565" s="131"/>
      <c r="X565" s="131"/>
      <c r="Y565" s="131"/>
      <c r="Z565" s="131"/>
      <c r="AA565" s="131"/>
      <c r="AB565" s="131"/>
      <c r="AC565" s="131"/>
      <c r="AD565" s="131"/>
      <c r="AE565" s="131"/>
      <c r="AF565" s="131"/>
      <c r="AG565" s="131"/>
      <c r="AH565" s="131"/>
      <c r="AI565" s="132"/>
    </row>
    <row r="566" spans="1:35" s="16" customFormat="1" ht="15.75">
      <c r="A566" s="17"/>
      <c r="B566" s="6"/>
      <c r="C566" s="43"/>
      <c r="P566" s="199"/>
      <c r="Q566" s="131"/>
      <c r="R566" s="131"/>
      <c r="S566" s="131"/>
      <c r="T566" s="131"/>
      <c r="U566" s="131"/>
      <c r="V566" s="131"/>
      <c r="W566" s="131"/>
      <c r="X566" s="131"/>
      <c r="Y566" s="131"/>
      <c r="Z566" s="131"/>
      <c r="AA566" s="131"/>
      <c r="AB566" s="131"/>
      <c r="AC566" s="131"/>
      <c r="AD566" s="131"/>
      <c r="AE566" s="131"/>
      <c r="AF566" s="131"/>
      <c r="AG566" s="131"/>
      <c r="AH566" s="131"/>
      <c r="AI566" s="132"/>
    </row>
    <row r="567" spans="1:35" s="16" customFormat="1" ht="15.75">
      <c r="A567" s="17"/>
      <c r="B567" s="6"/>
      <c r="C567" s="43"/>
      <c r="P567" s="199"/>
      <c r="Q567" s="131"/>
      <c r="R567" s="131"/>
      <c r="S567" s="131"/>
      <c r="T567" s="131"/>
      <c r="U567" s="131"/>
      <c r="V567" s="131"/>
      <c r="W567" s="131"/>
      <c r="X567" s="131"/>
      <c r="Y567" s="131"/>
      <c r="Z567" s="131"/>
      <c r="AA567" s="131"/>
      <c r="AB567" s="131"/>
      <c r="AC567" s="131"/>
      <c r="AD567" s="131"/>
      <c r="AE567" s="131"/>
      <c r="AF567" s="131"/>
      <c r="AG567" s="131"/>
      <c r="AH567" s="131"/>
      <c r="AI567" s="132"/>
    </row>
    <row r="568" spans="1:35" s="16" customFormat="1" ht="15.75">
      <c r="A568" s="17"/>
      <c r="B568" s="6"/>
      <c r="C568" s="43"/>
      <c r="P568" s="199"/>
      <c r="Q568" s="131"/>
      <c r="R568" s="131"/>
      <c r="S568" s="131"/>
      <c r="T568" s="131"/>
      <c r="U568" s="131"/>
      <c r="V568" s="131"/>
      <c r="W568" s="131"/>
      <c r="X568" s="131"/>
      <c r="Y568" s="131"/>
      <c r="Z568" s="131"/>
      <c r="AA568" s="131"/>
      <c r="AB568" s="131"/>
      <c r="AC568" s="131"/>
      <c r="AD568" s="131"/>
      <c r="AE568" s="131"/>
      <c r="AF568" s="131"/>
      <c r="AG568" s="131"/>
      <c r="AH568" s="131"/>
      <c r="AI568" s="132"/>
    </row>
    <row r="569" spans="1:35" s="16" customFormat="1" ht="15.75">
      <c r="A569" s="17"/>
      <c r="B569" s="6"/>
      <c r="C569" s="43"/>
      <c r="P569" s="199"/>
      <c r="Q569" s="131"/>
      <c r="R569" s="131"/>
      <c r="S569" s="131"/>
      <c r="T569" s="131"/>
      <c r="U569" s="131"/>
      <c r="V569" s="131"/>
      <c r="W569" s="131"/>
      <c r="X569" s="131"/>
      <c r="Y569" s="131"/>
      <c r="Z569" s="131"/>
      <c r="AA569" s="131"/>
      <c r="AB569" s="131"/>
      <c r="AC569" s="131"/>
      <c r="AD569" s="131"/>
      <c r="AE569" s="131"/>
      <c r="AF569" s="131"/>
      <c r="AG569" s="131"/>
      <c r="AH569" s="131"/>
      <c r="AI569" s="132"/>
    </row>
    <row r="570" spans="1:35" s="16" customFormat="1" ht="15.75">
      <c r="A570" s="17"/>
      <c r="B570" s="6"/>
      <c r="C570" s="43"/>
      <c r="P570" s="199"/>
      <c r="Q570" s="131"/>
      <c r="R570" s="131"/>
      <c r="S570" s="131"/>
      <c r="T570" s="131"/>
      <c r="U570" s="131"/>
      <c r="V570" s="131"/>
      <c r="W570" s="131"/>
      <c r="X570" s="131"/>
      <c r="Y570" s="131"/>
      <c r="Z570" s="131"/>
      <c r="AA570" s="131"/>
      <c r="AB570" s="131"/>
      <c r="AC570" s="131"/>
      <c r="AD570" s="131"/>
      <c r="AE570" s="131"/>
      <c r="AF570" s="131"/>
      <c r="AG570" s="131"/>
      <c r="AH570" s="131"/>
      <c r="AI570" s="132"/>
    </row>
    <row r="571" spans="1:35" s="16" customFormat="1" ht="15.75">
      <c r="A571" s="17"/>
      <c r="B571" s="6"/>
      <c r="C571" s="43"/>
      <c r="P571" s="199"/>
      <c r="Q571" s="131"/>
      <c r="R571" s="131"/>
      <c r="S571" s="131"/>
      <c r="T571" s="131"/>
      <c r="U571" s="131"/>
      <c r="V571" s="131"/>
      <c r="W571" s="131"/>
      <c r="X571" s="131"/>
      <c r="Y571" s="131"/>
      <c r="Z571" s="131"/>
      <c r="AA571" s="131"/>
      <c r="AB571" s="131"/>
      <c r="AC571" s="131"/>
      <c r="AD571" s="131"/>
      <c r="AE571" s="131"/>
      <c r="AF571" s="131"/>
      <c r="AG571" s="131"/>
      <c r="AH571" s="131"/>
      <c r="AI571" s="132"/>
    </row>
    <row r="572" spans="1:35" s="16" customFormat="1" ht="15.75">
      <c r="A572" s="17"/>
      <c r="B572" s="6"/>
      <c r="C572" s="43"/>
      <c r="P572" s="199"/>
      <c r="Q572" s="131"/>
      <c r="R572" s="131"/>
      <c r="S572" s="131"/>
      <c r="T572" s="131"/>
      <c r="U572" s="131"/>
      <c r="V572" s="131"/>
      <c r="W572" s="131"/>
      <c r="X572" s="131"/>
      <c r="Y572" s="131"/>
      <c r="Z572" s="131"/>
      <c r="AA572" s="131"/>
      <c r="AB572" s="131"/>
      <c r="AC572" s="131"/>
      <c r="AD572" s="131"/>
      <c r="AE572" s="131"/>
      <c r="AF572" s="131"/>
      <c r="AG572" s="131"/>
      <c r="AH572" s="131"/>
      <c r="AI572" s="132"/>
    </row>
    <row r="573" spans="1:35" s="16" customFormat="1" ht="15.75">
      <c r="A573" s="17"/>
      <c r="B573" s="6"/>
      <c r="C573" s="43"/>
      <c r="P573" s="199"/>
      <c r="Q573" s="131"/>
      <c r="R573" s="131"/>
      <c r="S573" s="131"/>
      <c r="T573" s="131"/>
      <c r="U573" s="131"/>
      <c r="V573" s="131"/>
      <c r="W573" s="131"/>
      <c r="X573" s="131"/>
      <c r="Y573" s="131"/>
      <c r="Z573" s="131"/>
      <c r="AA573" s="131"/>
      <c r="AB573" s="131"/>
      <c r="AC573" s="131"/>
      <c r="AD573" s="131"/>
      <c r="AE573" s="131"/>
      <c r="AF573" s="131"/>
      <c r="AG573" s="131"/>
      <c r="AH573" s="131"/>
      <c r="AI573" s="132"/>
    </row>
    <row r="574" spans="1:35" s="16" customFormat="1" ht="15.75">
      <c r="A574" s="17"/>
      <c r="B574" s="6"/>
      <c r="C574" s="43"/>
      <c r="P574" s="199"/>
      <c r="Q574" s="131"/>
      <c r="R574" s="131"/>
      <c r="S574" s="131"/>
      <c r="T574" s="131"/>
      <c r="U574" s="131"/>
      <c r="V574" s="131"/>
      <c r="W574" s="131"/>
      <c r="X574" s="131"/>
      <c r="Y574" s="131"/>
      <c r="Z574" s="131"/>
      <c r="AA574" s="131"/>
      <c r="AB574" s="131"/>
      <c r="AC574" s="131"/>
      <c r="AD574" s="131"/>
      <c r="AE574" s="131"/>
      <c r="AF574" s="131"/>
      <c r="AG574" s="131"/>
      <c r="AH574" s="131"/>
      <c r="AI574" s="132"/>
    </row>
    <row r="575" spans="1:35" s="16" customFormat="1" ht="15.75">
      <c r="A575" s="17"/>
      <c r="B575" s="6"/>
      <c r="C575" s="43"/>
      <c r="P575" s="199"/>
      <c r="Q575" s="131"/>
      <c r="R575" s="131"/>
      <c r="S575" s="131"/>
      <c r="T575" s="131"/>
      <c r="U575" s="131"/>
      <c r="V575" s="131"/>
      <c r="W575" s="131"/>
      <c r="X575" s="131"/>
      <c r="Y575" s="131"/>
      <c r="Z575" s="131"/>
      <c r="AA575" s="131"/>
      <c r="AB575" s="131"/>
      <c r="AC575" s="131"/>
      <c r="AD575" s="131"/>
      <c r="AE575" s="131"/>
      <c r="AF575" s="131"/>
      <c r="AG575" s="131"/>
      <c r="AH575" s="131"/>
      <c r="AI575" s="132"/>
    </row>
    <row r="576" spans="1:35" s="16" customFormat="1" ht="15.75">
      <c r="A576" s="17"/>
      <c r="B576" s="6"/>
      <c r="C576" s="43"/>
      <c r="P576" s="199"/>
      <c r="Q576" s="131"/>
      <c r="R576" s="131"/>
      <c r="S576" s="131"/>
      <c r="T576" s="131"/>
      <c r="U576" s="131"/>
      <c r="V576" s="131"/>
      <c r="W576" s="131"/>
      <c r="X576" s="131"/>
      <c r="Y576" s="131"/>
      <c r="Z576" s="131"/>
      <c r="AA576" s="131"/>
      <c r="AB576" s="131"/>
      <c r="AC576" s="131"/>
      <c r="AD576" s="131"/>
      <c r="AE576" s="131"/>
      <c r="AF576" s="131"/>
      <c r="AG576" s="131"/>
      <c r="AH576" s="131"/>
      <c r="AI576" s="132"/>
    </row>
    <row r="577" spans="1:35" s="16" customFormat="1" ht="15.75">
      <c r="A577" s="17"/>
      <c r="B577" s="6"/>
      <c r="C577" s="43"/>
      <c r="P577" s="199"/>
      <c r="Q577" s="131"/>
      <c r="R577" s="131"/>
      <c r="S577" s="131"/>
      <c r="T577" s="131"/>
      <c r="U577" s="131"/>
      <c r="V577" s="131"/>
      <c r="W577" s="131"/>
      <c r="X577" s="131"/>
      <c r="Y577" s="131"/>
      <c r="Z577" s="131"/>
      <c r="AA577" s="131"/>
      <c r="AB577" s="131"/>
      <c r="AC577" s="131"/>
      <c r="AD577" s="131"/>
      <c r="AE577" s="131"/>
      <c r="AF577" s="131"/>
      <c r="AG577" s="131"/>
      <c r="AH577" s="131"/>
      <c r="AI577" s="132"/>
    </row>
    <row r="578" spans="1:35" s="16" customFormat="1" ht="15.75">
      <c r="A578" s="17"/>
      <c r="B578" s="6"/>
      <c r="C578" s="43"/>
      <c r="P578" s="199"/>
      <c r="Q578" s="131"/>
      <c r="R578" s="131"/>
      <c r="S578" s="131"/>
      <c r="T578" s="131"/>
      <c r="U578" s="131"/>
      <c r="V578" s="131"/>
      <c r="W578" s="131"/>
      <c r="X578" s="131"/>
      <c r="Y578" s="131"/>
      <c r="Z578" s="131"/>
      <c r="AA578" s="131"/>
      <c r="AB578" s="131"/>
      <c r="AC578" s="131"/>
      <c r="AD578" s="131"/>
      <c r="AE578" s="131"/>
      <c r="AF578" s="131"/>
      <c r="AG578" s="131"/>
      <c r="AH578" s="131"/>
      <c r="AI578" s="132"/>
    </row>
    <row r="579" spans="1:35" s="16" customFormat="1" ht="15.75">
      <c r="A579" s="17"/>
      <c r="B579" s="6"/>
      <c r="C579" s="43"/>
      <c r="P579" s="199"/>
      <c r="Q579" s="131"/>
      <c r="R579" s="131"/>
      <c r="S579" s="131"/>
      <c r="T579" s="131"/>
      <c r="U579" s="131"/>
      <c r="V579" s="131"/>
      <c r="W579" s="131"/>
      <c r="X579" s="131"/>
      <c r="Y579" s="131"/>
      <c r="Z579" s="131"/>
      <c r="AA579" s="131"/>
      <c r="AB579" s="131"/>
      <c r="AC579" s="131"/>
      <c r="AD579" s="131"/>
      <c r="AE579" s="131"/>
      <c r="AF579" s="131"/>
      <c r="AG579" s="131"/>
      <c r="AH579" s="131"/>
      <c r="AI579" s="132"/>
    </row>
    <row r="580" spans="1:35" s="16" customFormat="1" ht="15.75">
      <c r="A580" s="17"/>
      <c r="B580" s="6"/>
      <c r="C580" s="43"/>
      <c r="P580" s="199"/>
      <c r="Q580" s="131"/>
      <c r="R580" s="131"/>
      <c r="S580" s="131"/>
      <c r="T580" s="131"/>
      <c r="U580" s="131"/>
      <c r="V580" s="131"/>
      <c r="W580" s="131"/>
      <c r="X580" s="131"/>
      <c r="Y580" s="131"/>
      <c r="Z580" s="131"/>
      <c r="AA580" s="131"/>
      <c r="AB580" s="131"/>
      <c r="AC580" s="131"/>
      <c r="AD580" s="131"/>
      <c r="AE580" s="131"/>
      <c r="AF580" s="131"/>
      <c r="AG580" s="131"/>
      <c r="AH580" s="131"/>
      <c r="AI580" s="132"/>
    </row>
    <row r="581" spans="1:35" s="16" customFormat="1" ht="15.75">
      <c r="A581" s="17"/>
      <c r="B581" s="6"/>
      <c r="C581" s="43"/>
      <c r="P581" s="199"/>
      <c r="Q581" s="131"/>
      <c r="R581" s="131"/>
      <c r="S581" s="131"/>
      <c r="T581" s="131"/>
      <c r="U581" s="131"/>
      <c r="V581" s="131"/>
      <c r="W581" s="131"/>
      <c r="X581" s="131"/>
      <c r="Y581" s="131"/>
      <c r="Z581" s="131"/>
      <c r="AA581" s="131"/>
      <c r="AB581" s="131"/>
      <c r="AC581" s="131"/>
      <c r="AD581" s="131"/>
      <c r="AE581" s="131"/>
      <c r="AF581" s="131"/>
      <c r="AG581" s="131"/>
      <c r="AH581" s="131"/>
      <c r="AI581" s="132"/>
    </row>
    <row r="582" spans="1:35" s="16" customFormat="1" ht="15.75">
      <c r="A582" s="17"/>
      <c r="B582" s="6"/>
      <c r="C582" s="43"/>
      <c r="P582" s="199"/>
      <c r="Q582" s="131"/>
      <c r="R582" s="131"/>
      <c r="S582" s="131"/>
      <c r="T582" s="131"/>
      <c r="U582" s="131"/>
      <c r="V582" s="131"/>
      <c r="W582" s="131"/>
      <c r="X582" s="131"/>
      <c r="Y582" s="131"/>
      <c r="Z582" s="131"/>
      <c r="AA582" s="131"/>
      <c r="AB582" s="131"/>
      <c r="AC582" s="131"/>
      <c r="AD582" s="131"/>
      <c r="AE582" s="131"/>
      <c r="AF582" s="131"/>
      <c r="AG582" s="131"/>
      <c r="AH582" s="131"/>
      <c r="AI582" s="132"/>
    </row>
    <row r="583" spans="1:35" s="16" customFormat="1" ht="15.75">
      <c r="A583" s="17"/>
      <c r="B583" s="6"/>
      <c r="C583" s="43"/>
      <c r="P583" s="199"/>
      <c r="Q583" s="131"/>
      <c r="R583" s="131"/>
      <c r="S583" s="131"/>
      <c r="T583" s="131"/>
      <c r="U583" s="131"/>
      <c r="V583" s="131"/>
      <c r="W583" s="131"/>
      <c r="X583" s="131"/>
      <c r="Y583" s="131"/>
      <c r="Z583" s="131"/>
      <c r="AA583" s="131"/>
      <c r="AB583" s="131"/>
      <c r="AC583" s="131"/>
      <c r="AD583" s="131"/>
      <c r="AE583" s="131"/>
      <c r="AF583" s="131"/>
      <c r="AG583" s="131"/>
      <c r="AH583" s="131"/>
      <c r="AI583" s="132"/>
    </row>
    <row r="584" spans="1:35" s="16" customFormat="1" ht="15.75">
      <c r="A584" s="17"/>
      <c r="B584" s="6"/>
      <c r="C584" s="43"/>
      <c r="P584" s="199"/>
      <c r="Q584" s="131"/>
      <c r="R584" s="131"/>
      <c r="S584" s="131"/>
      <c r="T584" s="131"/>
      <c r="U584" s="131"/>
      <c r="V584" s="131"/>
      <c r="W584" s="131"/>
      <c r="X584" s="131"/>
      <c r="Y584" s="131"/>
      <c r="Z584" s="131"/>
      <c r="AA584" s="131"/>
      <c r="AB584" s="131"/>
      <c r="AC584" s="131"/>
      <c r="AD584" s="131"/>
      <c r="AE584" s="131"/>
      <c r="AF584" s="131"/>
      <c r="AG584" s="131"/>
      <c r="AH584" s="131"/>
      <c r="AI584" s="132"/>
    </row>
    <row r="585" spans="1:35" s="16" customFormat="1" ht="15.75">
      <c r="A585" s="17"/>
      <c r="B585" s="6"/>
      <c r="C585" s="43"/>
      <c r="P585" s="199"/>
      <c r="Q585" s="131"/>
      <c r="R585" s="131"/>
      <c r="S585" s="131"/>
      <c r="T585" s="131"/>
      <c r="U585" s="131"/>
      <c r="V585" s="131"/>
      <c r="W585" s="131"/>
      <c r="X585" s="131"/>
      <c r="Y585" s="131"/>
      <c r="Z585" s="131"/>
      <c r="AA585" s="131"/>
      <c r="AB585" s="131"/>
      <c r="AC585" s="131"/>
      <c r="AD585" s="131"/>
      <c r="AE585" s="131"/>
      <c r="AF585" s="131"/>
      <c r="AG585" s="131"/>
      <c r="AH585" s="131"/>
      <c r="AI585" s="132"/>
    </row>
    <row r="586" spans="1:35" s="16" customFormat="1" ht="15.75">
      <c r="A586" s="17"/>
      <c r="B586" s="6"/>
      <c r="C586" s="43"/>
      <c r="P586" s="199"/>
      <c r="Q586" s="131"/>
      <c r="R586" s="131"/>
      <c r="S586" s="131"/>
      <c r="T586" s="131"/>
      <c r="U586" s="131"/>
      <c r="V586" s="131"/>
      <c r="W586" s="131"/>
      <c r="X586" s="131"/>
      <c r="Y586" s="131"/>
      <c r="Z586" s="131"/>
      <c r="AA586" s="131"/>
      <c r="AB586" s="131"/>
      <c r="AC586" s="131"/>
      <c r="AD586" s="131"/>
      <c r="AE586" s="131"/>
      <c r="AF586" s="131"/>
      <c r="AG586" s="131"/>
      <c r="AH586" s="131"/>
      <c r="AI586" s="132"/>
    </row>
    <row r="587" spans="1:35" s="16" customFormat="1" ht="15.75">
      <c r="A587" s="17"/>
      <c r="B587" s="6"/>
      <c r="C587" s="43"/>
      <c r="P587" s="199"/>
      <c r="Q587" s="131"/>
      <c r="R587" s="131"/>
      <c r="S587" s="131"/>
      <c r="T587" s="131"/>
      <c r="U587" s="131"/>
      <c r="V587" s="131"/>
      <c r="W587" s="131"/>
      <c r="X587" s="131"/>
      <c r="Y587" s="131"/>
      <c r="Z587" s="131"/>
      <c r="AA587" s="131"/>
      <c r="AB587" s="131"/>
      <c r="AC587" s="131"/>
      <c r="AD587" s="131"/>
      <c r="AE587" s="131"/>
      <c r="AF587" s="131"/>
      <c r="AG587" s="131"/>
      <c r="AH587" s="131"/>
      <c r="AI587" s="132"/>
    </row>
    <row r="588" spans="1:35" s="16" customFormat="1" ht="15.75">
      <c r="A588" s="17"/>
      <c r="B588" s="6"/>
      <c r="C588" s="43"/>
      <c r="P588" s="199"/>
      <c r="Q588" s="131"/>
      <c r="R588" s="131"/>
      <c r="S588" s="131"/>
      <c r="T588" s="131"/>
      <c r="U588" s="131"/>
      <c r="V588" s="131"/>
      <c r="W588" s="131"/>
      <c r="X588" s="131"/>
      <c r="Y588" s="131"/>
      <c r="Z588" s="131"/>
      <c r="AA588" s="131"/>
      <c r="AB588" s="131"/>
      <c r="AC588" s="131"/>
      <c r="AD588" s="131"/>
      <c r="AE588" s="131"/>
      <c r="AF588" s="131"/>
      <c r="AG588" s="131"/>
      <c r="AH588" s="131"/>
      <c r="AI588" s="132"/>
    </row>
    <row r="589" spans="1:35" s="16" customFormat="1" ht="15.75">
      <c r="A589" s="17"/>
      <c r="B589" s="6"/>
      <c r="C589" s="43"/>
      <c r="P589" s="199"/>
      <c r="Q589" s="131"/>
      <c r="R589" s="131"/>
      <c r="S589" s="131"/>
      <c r="T589" s="131"/>
      <c r="U589" s="131"/>
      <c r="V589" s="131"/>
      <c r="W589" s="131"/>
      <c r="X589" s="131"/>
      <c r="Y589" s="131"/>
      <c r="Z589" s="131"/>
      <c r="AA589" s="131"/>
      <c r="AB589" s="131"/>
      <c r="AC589" s="131"/>
      <c r="AD589" s="131"/>
      <c r="AE589" s="131"/>
      <c r="AF589" s="131"/>
      <c r="AG589" s="131"/>
      <c r="AH589" s="131"/>
      <c r="AI589" s="132"/>
    </row>
  </sheetData>
  <sheetProtection/>
  <mergeCells count="41">
    <mergeCell ref="P193:P220"/>
    <mergeCell ref="P221:P248"/>
    <mergeCell ref="M253:O253"/>
    <mergeCell ref="A270:C270"/>
    <mergeCell ref="A268:C268"/>
    <mergeCell ref="A6:O6"/>
    <mergeCell ref="I9:I11"/>
    <mergeCell ref="C8:C11"/>
    <mergeCell ref="D8:H8"/>
    <mergeCell ref="I8:N8"/>
    <mergeCell ref="O8:O11"/>
    <mergeCell ref="M9:M11"/>
    <mergeCell ref="K10:K11"/>
    <mergeCell ref="G10:G11"/>
    <mergeCell ref="H9:H11"/>
    <mergeCell ref="Z7:AI7"/>
    <mergeCell ref="Z8:AC9"/>
    <mergeCell ref="AD8:AD11"/>
    <mergeCell ref="AE8:AE11"/>
    <mergeCell ref="AF8:AI8"/>
    <mergeCell ref="AF9:AF11"/>
    <mergeCell ref="J9:J11"/>
    <mergeCell ref="K9:L9"/>
    <mergeCell ref="N10:N11"/>
    <mergeCell ref="L10:L11"/>
    <mergeCell ref="P123:P142"/>
    <mergeCell ref="P143:P167"/>
    <mergeCell ref="P168:P192"/>
    <mergeCell ref="K1:N1"/>
    <mergeCell ref="K4:O4"/>
    <mergeCell ref="K3:O3"/>
    <mergeCell ref="P1:P37"/>
    <mergeCell ref="P38:P71"/>
    <mergeCell ref="P72:P100"/>
    <mergeCell ref="P101:P122"/>
    <mergeCell ref="F10:F11"/>
    <mergeCell ref="A8:A11"/>
    <mergeCell ref="D9:D11"/>
    <mergeCell ref="E9:E11"/>
    <mergeCell ref="B8:B11"/>
    <mergeCell ref="F9:G9"/>
  </mergeCells>
  <printOptions horizontalCentered="1"/>
  <pageMargins left="0.28" right="0.28" top="0.55" bottom="0.3937007874015748" header="0.2755905511811024" footer="0.2362204724409449"/>
  <pageSetup fitToHeight="100" fitToWidth="1" horizontalDpi="600" verticalDpi="600" orientation="landscape" paperSize="9" scale="43" r:id="rId1"/>
  <headerFooter alignWithMargins="0">
    <oddHeader>&amp;R&amp;20Продовження додатку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2018-07-12T05:24:46Z</cp:lastPrinted>
  <dcterms:created xsi:type="dcterms:W3CDTF">2014-01-17T10:52:16Z</dcterms:created>
  <dcterms:modified xsi:type="dcterms:W3CDTF">2018-07-13T12:54:23Z</dcterms:modified>
  <cp:category/>
  <cp:version/>
  <cp:contentType/>
  <cp:contentStatus/>
</cp:coreProperties>
</file>