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6" sheetId="1" r:id="rId1"/>
  </sheets>
  <definedNames>
    <definedName name="_xlfn.AGGREGATE" hidden="1">#NAME?</definedName>
    <definedName name="_xlnm.Print_Titles" localSheetId="0">'дод. 6'!$7:$7</definedName>
    <definedName name="_xlnm.Print_Area" localSheetId="0">'дод. 6'!$B$1:$J$241</definedName>
  </definedNames>
  <calcPr fullCalcOnLoad="1"/>
</workbook>
</file>

<file path=xl/sharedStrings.xml><?xml version="1.0" encoding="utf-8"?>
<sst xmlns="http://schemas.openxmlformats.org/spreadsheetml/2006/main" count="857" uniqueCount="505">
  <si>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</si>
  <si>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</si>
  <si>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</si>
  <si>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</si>
  <si>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</si>
  <si>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</si>
  <si>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</si>
  <si>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</si>
  <si>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</si>
  <si>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</si>
  <si>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</si>
  <si>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</si>
  <si>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</si>
  <si>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</si>
  <si>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</si>
  <si>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</si>
  <si>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</si>
  <si>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</si>
  <si>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</si>
  <si>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</si>
  <si>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</si>
  <si>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</si>
  <si>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</si>
  <si>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</si>
  <si>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</si>
  <si>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</si>
  <si>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</si>
  <si>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</si>
  <si>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</si>
  <si>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</si>
  <si>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</si>
  <si>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</si>
  <si>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</si>
  <si>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</si>
  <si>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</si>
  <si>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</si>
  <si>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</si>
  <si>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</si>
  <si>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</si>
  <si>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</si>
  <si>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</si>
  <si>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</si>
  <si>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</si>
  <si>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</si>
  <si>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</si>
  <si>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</si>
  <si>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</si>
  <si>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</si>
  <si>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</si>
  <si>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</si>
  <si>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</si>
  <si>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</si>
  <si>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</si>
  <si>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</si>
  <si>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</si>
  <si>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</si>
  <si>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</si>
  <si>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</si>
  <si>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</si>
  <si>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</si>
  <si>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</si>
  <si>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</si>
  <si>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</si>
  <si>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</si>
  <si>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</si>
  <si>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</si>
  <si>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</si>
  <si>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</si>
  <si>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</si>
  <si>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</si>
  <si>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</si>
  <si>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</si>
  <si>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</si>
  <si>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</si>
  <si>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</si>
  <si>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</si>
  <si>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</si>
  <si>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</si>
  <si>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</si>
  <si>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</si>
  <si>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</si>
  <si>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</si>
  <si>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</si>
  <si>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</si>
  <si>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</si>
  <si>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</si>
  <si>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</si>
  <si>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</si>
  <si>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</si>
  <si>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</si>
  <si>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</si>
  <si>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</si>
  <si>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</si>
  <si>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</si>
  <si>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</si>
  <si>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</si>
  <si>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</si>
  <si>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</si>
  <si>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</si>
  <si>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</si>
  <si>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</si>
  <si>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</si>
  <si>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</si>
  <si>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</si>
  <si>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</si>
  <si>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</si>
  <si>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</si>
  <si>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</si>
  <si>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</si>
  <si>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</si>
  <si>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</si>
  <si>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</si>
  <si>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</si>
  <si>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Комплексна міська програма «Освіта м. Суми на 2016-2018 роки» (Підпрограма 6 «Сучасні інформаційні технології»)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</si>
  <si>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</si>
  <si>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</si>
  <si>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</si>
  <si>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</si>
  <si>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</si>
  <si>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</si>
  <si>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</si>
  <si>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</si>
  <si>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</si>
  <si>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</si>
  <si>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</si>
  <si>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</si>
  <si>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</si>
  <si>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</si>
  <si>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</si>
  <si>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</si>
  <si>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</si>
  <si>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</si>
  <si>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</si>
  <si>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</si>
  <si>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</si>
  <si>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</si>
  <si>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</si>
  <si>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</si>
  <si>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</si>
  <si>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</si>
  <si>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</si>
  <si>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</si>
  <si>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</si>
  <si>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</si>
  <si>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</si>
  <si>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</si>
  <si>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</si>
  <si>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</si>
  <si>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</si>
  <si>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</si>
  <si>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</si>
  <si>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</si>
  <si>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</si>
  <si>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</si>
  <si>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</si>
  <si>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</si>
  <si>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</si>
  <si>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</si>
  <si>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</si>
  <si>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</si>
  <si>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</si>
  <si>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</si>
  <si>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7413</t>
  </si>
  <si>
    <t>Інші заходи у сфері автотранспорту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</si>
  <si>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</si>
  <si>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</si>
  <si>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</si>
  <si>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</si>
  <si>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</si>
  <si>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</si>
  <si>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</si>
  <si>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</si>
  <si>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</si>
  <si>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</si>
  <si>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</si>
  <si>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</si>
  <si>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</si>
  <si>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</si>
  <si>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</si>
  <si>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</si>
  <si>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</si>
  <si>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</si>
  <si>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</si>
  <si>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</si>
  <si>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</si>
  <si>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</si>
  <si>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</si>
  <si>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</si>
  <si>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</si>
  <si>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</si>
  <si>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</si>
  <si>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</si>
  <si>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</si>
  <si>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</si>
  <si>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</si>
  <si>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</si>
  <si>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</si>
  <si>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</si>
  <si>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</si>
  <si>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</si>
  <si>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</si>
  <si>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</si>
  <si>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</si>
  <si>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</si>
  <si>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</si>
  <si>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</si>
  <si>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</si>
  <si>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</si>
  <si>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</si>
  <si>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</si>
  <si>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</si>
  <si>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</si>
  <si>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</si>
  <si>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</si>
  <si>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</si>
  <si>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</si>
  <si>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</si>
  <si>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</si>
  <si>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</si>
  <si>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</si>
  <si>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0217413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</si>
  <si>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</si>
  <si>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</si>
  <si>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</si>
  <si>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</si>
  <si>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</si>
  <si>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</si>
  <si>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</si>
  <si>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</si>
  <si>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</si>
  <si>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</si>
  <si>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</si>
  <si>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</si>
  <si>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</si>
  <si>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</si>
  <si>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</si>
  <si>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</si>
  <si>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</si>
  <si>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</si>
  <si>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</si>
  <si>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</si>
  <si>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</si>
  <si>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</si>
  <si>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</si>
  <si>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</si>
  <si>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</si>
  <si>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</si>
  <si>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</si>
  <si>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</si>
  <si>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</si>
  <si>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</si>
  <si>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</si>
  <si>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</si>
  <si>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</si>
  <si>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</si>
  <si>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</si>
  <si>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</si>
  <si>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0813050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</si>
  <si>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</si>
  <si>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</si>
  <si>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</si>
  <si>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</si>
  <si>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</si>
  <si>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</si>
  <si>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</si>
  <si>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</si>
  <si>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</si>
  <si>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</si>
  <si>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</si>
  <si>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</si>
  <si>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</si>
  <si>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</si>
  <si>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</si>
  <si>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</si>
  <si>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</si>
  <si>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</si>
  <si>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</si>
  <si>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</si>
  <si>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</si>
  <si>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</si>
  <si>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</si>
  <si>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</si>
  <si>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</si>
  <si>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</si>
  <si>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</si>
  <si>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</si>
  <si>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</si>
  <si>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</si>
  <si>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</si>
  <si>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</si>
  <si>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</si>
  <si>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</si>
  <si>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</si>
  <si>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</si>
  <si>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</si>
  <si>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</si>
  <si>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</si>
  <si>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</si>
  <si>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16 Управління архітектури та містобудування Сумської міської ради</t>
  </si>
  <si>
    <t>1610160</t>
  </si>
  <si>
    <t>1617690</t>
  </si>
  <si>
    <t>14 Управління «Інспекція з благоустрою міста Суми»  Сумської міської ради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</si>
  <si>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</si>
  <si>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</si>
  <si>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</si>
  <si>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</si>
  <si>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</si>
  <si>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</si>
  <si>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</si>
  <si>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</si>
  <si>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</si>
  <si>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</si>
  <si>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</si>
  <si>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</si>
  <si>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</si>
  <si>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</si>
  <si>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3110160</t>
  </si>
  <si>
    <t>17 Управління державного архітектурно-будівельного контролю Сумської міської ради</t>
  </si>
  <si>
    <t>1710160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</si>
  <si>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</si>
  <si>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</si>
  <si>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</si>
  <si>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</si>
  <si>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</si>
  <si>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</si>
  <si>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</si>
  <si>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</si>
  <si>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</si>
  <si>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</si>
  <si>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</si>
  <si>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</si>
  <si>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</si>
  <si>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</si>
  <si>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</si>
  <si>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</si>
  <si>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</si>
  <si>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</si>
  <si>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</si>
  <si>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</si>
  <si>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1416090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</si>
  <si>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</si>
  <si>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</si>
  <si>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</si>
  <si>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</si>
  <si>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</si>
  <si>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</si>
  <si>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</si>
  <si>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</si>
  <si>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</si>
  <si>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</si>
  <si>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</si>
  <si>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</si>
  <si>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</si>
  <si>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</si>
  <si>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</si>
  <si>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</si>
  <si>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</si>
  <si>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</si>
  <si>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</si>
  <si>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</si>
  <si>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</si>
  <si>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</si>
  <si>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</si>
  <si>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</si>
  <si>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</si>
  <si>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</si>
  <si>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</si>
  <si>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</si>
  <si>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3710160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</si>
  <si>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</si>
  <si>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</si>
  <si>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</si>
  <si>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</si>
  <si>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</si>
  <si>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</si>
  <si>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</si>
  <si>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</si>
  <si>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</si>
  <si>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</si>
  <si>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</si>
  <si>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</si>
  <si>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</si>
  <si>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</si>
  <si>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</si>
  <si>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</si>
  <si>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</si>
  <si>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</si>
  <si>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</si>
  <si>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</si>
  <si>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</si>
  <si>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</si>
  <si>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</si>
  <si>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</si>
  <si>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</si>
  <si>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</si>
  <si>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</si>
  <si>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</si>
  <si>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</si>
  <si>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</si>
  <si>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</si>
  <si>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</si>
  <si>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</si>
  <si>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</si>
  <si>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</si>
  <si>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</si>
  <si>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</si>
  <si>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</si>
  <si>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</si>
  <si>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</si>
  <si>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</si>
  <si>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</si>
  <si>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</si>
  <si>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</si>
  <si>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</si>
  <si>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</si>
  <si>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</si>
  <si>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</si>
  <si>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</si>
  <si>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</si>
  <si>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</si>
  <si>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</si>
  <si>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</si>
  <si>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</si>
  <si>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</si>
  <si>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</si>
  <si>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</si>
  <si>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</si>
  <si>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</si>
  <si>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</si>
  <si>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</si>
  <si>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</si>
  <si>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</si>
  <si>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</si>
  <si>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</si>
  <si>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</si>
  <si>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</si>
  <si>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</si>
  <si>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</si>
  <si>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</si>
  <si>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</si>
  <si>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</si>
  <si>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</si>
  <si>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</si>
  <si>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</si>
  <si>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</si>
  <si>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</si>
  <si>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</si>
  <si>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</si>
  <si>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</si>
  <si>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</si>
  <si>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</si>
  <si>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</si>
  <si>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</si>
  <si>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</si>
  <si>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1217360</t>
  </si>
  <si>
    <t>1217363</t>
  </si>
  <si>
    <t>3119800</t>
  </si>
  <si>
    <t>1517442</t>
  </si>
  <si>
    <t>7440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</si>
  <si>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</si>
  <si>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</si>
  <si>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</si>
  <si>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</si>
  <si>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</si>
  <si>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</si>
  <si>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</si>
  <si>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</si>
  <si>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</si>
  <si>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1517360</t>
  </si>
  <si>
    <t>1517363</t>
  </si>
  <si>
    <t>1518820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</si>
  <si>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</si>
  <si>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</si>
  <si>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</si>
  <si>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</si>
  <si>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</si>
  <si>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</si>
  <si>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Міська цільова «Програма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2018 рік»</t>
  </si>
  <si>
    <t>1217130</t>
  </si>
  <si>
    <t>Здійснення  заходів із землеустрою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</si>
  <si>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</si>
  <si>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</si>
  <si>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</si>
  <si>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</si>
  <si>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2017-2020 роки»)</t>
  </si>
  <si>
    <t>1014081</t>
  </si>
  <si>
    <t>Міська цільова комплексна Програма розвитку культури  міста Суми на 2016 - 2018 роки (Підпрограма V «Розвиток туристичної галузі»)</t>
  </si>
  <si>
    <t>Міська цільова комплексна Програма розвитку культури  міста Суми на 2016 - 2018 роки (Підпрограма VI «Збереження культурної спадщини міста»)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</si>
  <si>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</si>
  <si>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</si>
  <si>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</si>
  <si>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</si>
  <si>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</si>
  <si>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</si>
  <si>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</si>
  <si>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</si>
  <si>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</si>
  <si>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</si>
  <si>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</si>
  <si>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до  рішення виконавчого комітету</t>
  </si>
  <si>
    <t xml:space="preserve">                Додаток 5</t>
  </si>
  <si>
    <t>економіки та інвестицій</t>
  </si>
  <si>
    <t>Заступник директора департаменту фінансів,</t>
  </si>
  <si>
    <t>Л.І. Співакова</t>
  </si>
  <si>
    <t>від 12.06.2018 № 307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</si>
</sst>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5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b/>
      <sz val="4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5"/>
      <color indexed="10"/>
      <name val="Times New Roman"/>
      <family val="1"/>
    </font>
    <font>
      <sz val="42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sz val="50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9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/>
    </xf>
    <xf numFmtId="4" fontId="30" fillId="0" borderId="12" xfId="95" applyNumberFormat="1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200" fontId="31" fillId="0" borderId="0" xfId="0" applyNumberFormat="1" applyFont="1" applyFill="1" applyBorder="1" applyAlignment="1">
      <alignment vertical="justify"/>
    </xf>
    <xf numFmtId="0" fontId="31" fillId="0" borderId="0" xfId="0" applyNumberFormat="1" applyFont="1" applyFill="1" applyAlignment="1" applyProtection="1">
      <alignment horizontal="left"/>
      <protection/>
    </xf>
    <xf numFmtId="0" fontId="31" fillId="0" borderId="0" xfId="0" applyNumberFormat="1" applyFont="1" applyFill="1" applyAlignment="1" applyProtection="1">
      <alignment/>
      <protection/>
    </xf>
    <xf numFmtId="0" fontId="30" fillId="0" borderId="12" xfId="0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4" fillId="0" borderId="12" xfId="0" applyFont="1" applyFill="1" applyBorder="1" applyAlignment="1">
      <alignment horizontal="left" vertical="center" wrapText="1"/>
    </xf>
    <xf numFmtId="200" fontId="33" fillId="0" borderId="12" xfId="0" applyNumberFormat="1" applyFont="1" applyFill="1" applyBorder="1" applyAlignment="1">
      <alignment vertical="justify"/>
    </xf>
    <xf numFmtId="0" fontId="0" fillId="0" borderId="12" xfId="0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left" vertical="center" wrapText="1"/>
    </xf>
    <xf numFmtId="0" fontId="40" fillId="0" borderId="0" xfId="0" applyNumberFormat="1" applyFont="1" applyFill="1" applyAlignment="1" applyProtection="1">
      <alignment/>
      <protection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4" fontId="39" fillId="0" borderId="12" xfId="0" applyNumberFormat="1" applyFont="1" applyFill="1" applyBorder="1" applyAlignment="1">
      <alignment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9" fontId="39" fillId="0" borderId="12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5" fillId="0" borderId="12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 applyProtection="1">
      <alignment vertical="center" textRotation="180"/>
      <protection locked="0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>
      <alignment/>
    </xf>
    <xf numFmtId="4" fontId="30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4" fontId="31" fillId="0" borderId="0" xfId="0" applyNumberFormat="1" applyFont="1" applyFill="1" applyAlignment="1" applyProtection="1">
      <alignment vertical="center"/>
      <protection/>
    </xf>
    <xf numFmtId="4" fontId="33" fillId="0" borderId="0" xfId="0" applyNumberFormat="1" applyFont="1" applyFill="1" applyAlignment="1" applyProtection="1">
      <alignment vertical="center"/>
      <protection/>
    </xf>
    <xf numFmtId="4" fontId="35" fillId="0" borderId="12" xfId="95" applyNumberFormat="1" applyFont="1" applyFill="1" applyBorder="1" applyAlignment="1">
      <alignment vertical="center"/>
      <protection/>
    </xf>
    <xf numFmtId="4" fontId="34" fillId="0" borderId="12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200" fontId="33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3" fontId="37" fillId="0" borderId="0" xfId="0" applyNumberFormat="1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horizontal="right" vertic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4" fontId="39" fillId="0" borderId="14" xfId="95" applyNumberFormat="1" applyFont="1" applyFill="1" applyBorder="1" applyAlignment="1">
      <alignment horizontal="right" vertical="center"/>
      <protection/>
    </xf>
    <xf numFmtId="49" fontId="39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40" fillId="0" borderId="0" xfId="0" applyNumberFormat="1" applyFont="1" applyFill="1" applyAlignment="1" applyProtection="1">
      <alignment vertical="center"/>
      <protection/>
    </xf>
    <xf numFmtId="49" fontId="4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vertical="center"/>
      <protection/>
    </xf>
    <xf numFmtId="49" fontId="30" fillId="0" borderId="16" xfId="0" applyNumberFormat="1" applyFont="1" applyFill="1" applyBorder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NumberFormat="1" applyFont="1" applyFill="1" applyAlignment="1" applyProtection="1">
      <alignment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vertical="center" wrapText="1"/>
    </xf>
    <xf numFmtId="4" fontId="30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horizontal="left"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4" fontId="39" fillId="0" borderId="12" xfId="95" applyNumberFormat="1" applyFont="1" applyFill="1" applyBorder="1" applyAlignment="1">
      <alignment horizontal="right" vertical="center"/>
      <protection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 applyProtection="1">
      <alignment vertical="center"/>
      <protection/>
    </xf>
    <xf numFmtId="4" fontId="34" fillId="0" borderId="13" xfId="0" applyNumberFormat="1" applyFont="1" applyFill="1" applyBorder="1" applyAlignment="1" applyProtection="1">
      <alignment horizontal="center" vertical="center"/>
      <protection/>
    </xf>
    <xf numFmtId="4" fontId="35" fillId="0" borderId="12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Alignment="1">
      <alignment/>
    </xf>
    <xf numFmtId="4" fontId="32" fillId="0" borderId="0" xfId="0" applyNumberFormat="1" applyFont="1" applyFill="1" applyAlignment="1" applyProtection="1">
      <alignment vertical="center"/>
      <protection/>
    </xf>
    <xf numFmtId="4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Alignment="1" applyProtection="1">
      <alignment horizontal="left"/>
      <protection/>
    </xf>
    <xf numFmtId="4" fontId="31" fillId="0" borderId="0" xfId="0" applyNumberFormat="1" applyFont="1" applyFill="1" applyAlignment="1" applyProtection="1">
      <alignment/>
      <protection/>
    </xf>
    <xf numFmtId="0" fontId="30" fillId="0" borderId="18" xfId="0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vertical="center" wrapText="1"/>
    </xf>
    <xf numFmtId="3" fontId="33" fillId="0" borderId="0" xfId="0" applyNumberFormat="1" applyFont="1" applyFill="1" applyAlignment="1" applyProtection="1">
      <alignment horizontal="center" vertical="center" textRotation="180"/>
      <protection/>
    </xf>
    <xf numFmtId="3" fontId="33" fillId="0" borderId="0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>
      <alignment horizontal="center" vertical="center" textRotation="180" wrapText="1"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30" fillId="0" borderId="18" xfId="0" applyNumberFormat="1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" fontId="50" fillId="0" borderId="12" xfId="95" applyNumberFormat="1" applyFont="1" applyFill="1" applyBorder="1" applyAlignment="1">
      <alignment vertical="center"/>
      <protection/>
    </xf>
    <xf numFmtId="3" fontId="33" fillId="0" borderId="20" xfId="0" applyNumberFormat="1" applyFont="1" applyFill="1" applyBorder="1" applyAlignment="1">
      <alignment vertical="center" textRotation="180"/>
    </xf>
    <xf numFmtId="0" fontId="52" fillId="0" borderId="0" xfId="0" applyFont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3" fontId="33" fillId="0" borderId="0" xfId="0" applyNumberFormat="1" applyFont="1" applyFill="1" applyBorder="1" applyAlignment="1">
      <alignment vertical="center" textRotation="180"/>
    </xf>
    <xf numFmtId="0" fontId="52" fillId="0" borderId="0" xfId="0" applyFont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justify" vertical="top" wrapText="1"/>
    </xf>
    <xf numFmtId="3" fontId="37" fillId="0" borderId="13" xfId="0" applyNumberFormat="1" applyFont="1" applyFill="1" applyBorder="1" applyAlignment="1">
      <alignment vertical="center" wrapText="1"/>
    </xf>
    <xf numFmtId="49" fontId="37" fillId="0" borderId="0" xfId="0" applyNumberFormat="1" applyFont="1" applyFill="1" applyBorder="1" applyAlignment="1" applyProtection="1">
      <alignment vertical="center"/>
      <protection/>
    </xf>
    <xf numFmtId="49" fontId="54" fillId="0" borderId="0" xfId="0" applyNumberFormat="1" applyFont="1" applyFill="1" applyBorder="1" applyAlignment="1" applyProtection="1">
      <alignment vertical="center"/>
      <protection/>
    </xf>
    <xf numFmtId="200" fontId="37" fillId="0" borderId="0" xfId="0" applyNumberFormat="1" applyFont="1" applyFill="1" applyBorder="1" applyAlignment="1">
      <alignment horizontal="right" vertical="justify"/>
    </xf>
    <xf numFmtId="4" fontId="38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 applyProtection="1">
      <alignment horizontal="left" vertical="center"/>
      <protection/>
    </xf>
    <xf numFmtId="49" fontId="54" fillId="0" borderId="0" xfId="0" applyNumberFormat="1" applyFont="1" applyFill="1" applyBorder="1" applyAlignment="1" applyProtection="1">
      <alignment horizontal="left" vertical="center"/>
      <protection/>
    </xf>
    <xf numFmtId="200" fontId="37" fillId="0" borderId="0" xfId="0" applyNumberFormat="1" applyFont="1" applyFill="1" applyBorder="1" applyAlignment="1">
      <alignment vertical="justify"/>
    </xf>
    <xf numFmtId="0" fontId="30" fillId="0" borderId="14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center" vertical="center" textRotation="180"/>
    </xf>
    <xf numFmtId="3" fontId="33" fillId="0" borderId="20" xfId="0" applyNumberFormat="1" applyFont="1" applyFill="1" applyBorder="1" applyAlignment="1">
      <alignment horizontal="center" vertical="center" textRotation="180"/>
    </xf>
    <xf numFmtId="0" fontId="39" fillId="0" borderId="14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49" fontId="30" fillId="0" borderId="18" xfId="0" applyNumberFormat="1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9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left" vertical="center" wrapText="1"/>
    </xf>
    <xf numFmtId="49" fontId="39" fillId="0" borderId="18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1"/>
  <sheetViews>
    <sheetView showZeros="0" tabSelected="1" view="pageBreakPreview" zoomScale="25" zoomScaleNormal="40" zoomScaleSheetLayoutView="25" zoomScalePageLayoutView="0" workbookViewId="0" topLeftCell="B1">
      <selection activeCell="G4" sqref="G4"/>
    </sheetView>
  </sheetViews>
  <sheetFormatPr defaultColWidth="9.16015625" defaultRowHeight="12.75"/>
  <cols>
    <col min="1" max="1" width="3.83203125" style="3" hidden="1" customWidth="1"/>
    <col min="2" max="2" width="70.5" style="25" customWidth="1"/>
    <col min="3" max="3" width="46.5" style="25" customWidth="1"/>
    <col min="4" max="4" width="37.16015625" style="25" customWidth="1"/>
    <col min="5" max="5" width="195.5" style="24" customWidth="1"/>
    <col min="6" max="6" width="159.83203125" style="25" customWidth="1"/>
    <col min="7" max="7" width="70.5" style="68" customWidth="1"/>
    <col min="8" max="8" width="66.66015625" style="68" customWidth="1"/>
    <col min="9" max="9" width="68.5" style="142" customWidth="1"/>
    <col min="10" max="10" width="15" style="153" customWidth="1"/>
    <col min="11" max="11" width="63.5" style="60" customWidth="1"/>
    <col min="12" max="16384" width="9.16015625" style="2" customWidth="1"/>
  </cols>
  <sheetData>
    <row r="1" spans="2:16" ht="60" customHeight="1">
      <c r="B1" s="33"/>
      <c r="C1" s="33"/>
      <c r="D1" s="33"/>
      <c r="G1" s="207" t="s">
        <v>500</v>
      </c>
      <c r="H1" s="207"/>
      <c r="I1" s="207"/>
      <c r="J1" s="188">
        <v>42</v>
      </c>
      <c r="L1" s="4"/>
      <c r="M1" s="4"/>
      <c r="N1" s="4"/>
      <c r="O1" s="4"/>
      <c r="P1" s="4"/>
    </row>
    <row r="2" spans="2:16" ht="75" customHeight="1">
      <c r="B2" s="33"/>
      <c r="C2" s="33"/>
      <c r="D2" s="33"/>
      <c r="G2" s="207" t="s">
        <v>499</v>
      </c>
      <c r="H2" s="207"/>
      <c r="I2" s="207"/>
      <c r="J2" s="188"/>
      <c r="L2" s="4"/>
      <c r="M2" s="4"/>
      <c r="N2" s="4"/>
      <c r="O2" s="4"/>
      <c r="P2" s="4"/>
    </row>
    <row r="3" spans="2:16" ht="69" customHeight="1">
      <c r="B3" s="33"/>
      <c r="C3" s="33"/>
      <c r="D3" s="33"/>
      <c r="G3" s="207" t="s">
        <v>504</v>
      </c>
      <c r="H3" s="207"/>
      <c r="I3" s="207"/>
      <c r="J3" s="188"/>
      <c r="K3" s="2"/>
      <c r="L3" s="61"/>
      <c r="M3" s="74"/>
      <c r="N3" s="4"/>
      <c r="O3" s="4"/>
      <c r="P3" s="4"/>
    </row>
    <row r="4" spans="2:16" ht="102" customHeight="1">
      <c r="B4" s="33"/>
      <c r="C4" s="33"/>
      <c r="D4" s="33"/>
      <c r="G4" s="168"/>
      <c r="H4" s="168"/>
      <c r="I4" s="168"/>
      <c r="J4" s="188"/>
      <c r="K4" s="2"/>
      <c r="L4" s="61"/>
      <c r="M4" s="74"/>
      <c r="N4" s="4"/>
      <c r="O4" s="4"/>
      <c r="P4" s="4"/>
    </row>
    <row r="5" spans="1:15" ht="127.5" customHeight="1">
      <c r="A5" s="1"/>
      <c r="B5" s="224" t="s">
        <v>120</v>
      </c>
      <c r="C5" s="224"/>
      <c r="D5" s="224"/>
      <c r="E5" s="224"/>
      <c r="F5" s="224"/>
      <c r="G5" s="224"/>
      <c r="H5" s="224"/>
      <c r="I5" s="224"/>
      <c r="J5" s="188"/>
      <c r="K5" s="2"/>
      <c r="L5" s="56"/>
      <c r="M5" s="74"/>
      <c r="N5" s="34"/>
      <c r="O5" s="34"/>
    </row>
    <row r="6" spans="2:15" ht="46.5" customHeight="1">
      <c r="B6" s="15"/>
      <c r="C6" s="15"/>
      <c r="D6" s="15"/>
      <c r="E6" s="16"/>
      <c r="F6" s="17"/>
      <c r="G6" s="135"/>
      <c r="H6" s="138"/>
      <c r="I6" s="139" t="s">
        <v>32</v>
      </c>
      <c r="J6" s="188"/>
      <c r="K6" s="2"/>
      <c r="L6" s="56"/>
      <c r="M6" s="74"/>
      <c r="N6" s="34"/>
      <c r="O6" s="34"/>
    </row>
    <row r="7" spans="1:13" ht="283.5" customHeight="1">
      <c r="A7" s="5"/>
      <c r="B7" s="32" t="s">
        <v>54</v>
      </c>
      <c r="C7" s="32" t="s">
        <v>55</v>
      </c>
      <c r="D7" s="32" t="s">
        <v>97</v>
      </c>
      <c r="E7" s="32" t="s">
        <v>95</v>
      </c>
      <c r="F7" s="32" t="s">
        <v>96</v>
      </c>
      <c r="G7" s="140" t="s">
        <v>0</v>
      </c>
      <c r="H7" s="140" t="s">
        <v>1</v>
      </c>
      <c r="I7" s="140" t="s">
        <v>4</v>
      </c>
      <c r="J7" s="188"/>
      <c r="K7" s="2"/>
      <c r="L7" s="60"/>
      <c r="M7" s="74"/>
    </row>
    <row r="8" spans="1:11" s="55" customFormat="1" ht="93" customHeight="1">
      <c r="A8" s="53"/>
      <c r="B8" s="50"/>
      <c r="C8" s="50"/>
      <c r="D8" s="50"/>
      <c r="E8" s="51" t="s">
        <v>199</v>
      </c>
      <c r="F8" s="54"/>
      <c r="G8" s="70">
        <f>G9+G10+G11+G12+G16+G18+G20+G21+G26+G29+G32+G35+G38+G41+G45+G46+G47+G48+G50+G51+G52+G54+G55+G56+G57+G44+G25+G60+G62+G61+G58+G59</f>
        <v>78809152</v>
      </c>
      <c r="H8" s="70">
        <f>H9+H10+H11+H12+H16+H18+H20+H21+H26+H29+H32+H35+H38+H41+H45+H46+H47+H48+H50+H51+H52+H54+H55+H56+H57+H44+H25+H60+H62+H61+H58+H59</f>
        <v>43797662</v>
      </c>
      <c r="I8" s="70">
        <f>I9+I10+I11+I12+I16+I18+I20+I21+I26+I29+I32+I35+I38+I41+I45+I46+I47+I48+I50+I51+I52+I54+I55+I56+I57+I44+I25+I60+I62+I61+I58+I59</f>
        <v>122606814</v>
      </c>
      <c r="J8" s="188"/>
      <c r="K8" s="62"/>
    </row>
    <row r="9" spans="2:10" ht="108.75" customHeight="1">
      <c r="B9" s="183" t="s">
        <v>200</v>
      </c>
      <c r="C9" s="183" t="s">
        <v>121</v>
      </c>
      <c r="D9" s="183" t="s">
        <v>2</v>
      </c>
      <c r="E9" s="192" t="s">
        <v>122</v>
      </c>
      <c r="F9" s="26" t="s">
        <v>53</v>
      </c>
      <c r="G9" s="14">
        <f>805000+40000+150000+150000+265200</f>
        <v>1410200</v>
      </c>
      <c r="H9" s="14"/>
      <c r="I9" s="14">
        <f>G9+H9</f>
        <v>1410200</v>
      </c>
      <c r="J9" s="188"/>
    </row>
    <row r="10" spans="2:10" ht="155.25" customHeight="1">
      <c r="B10" s="184"/>
      <c r="C10" s="184"/>
      <c r="D10" s="184"/>
      <c r="E10" s="193"/>
      <c r="F10" s="26" t="s">
        <v>110</v>
      </c>
      <c r="G10" s="14">
        <f>526200-526200+190000+210000</f>
        <v>400000</v>
      </c>
      <c r="H10" s="14">
        <f>1000000-1000000</f>
        <v>0</v>
      </c>
      <c r="I10" s="14">
        <f>G10+H10</f>
        <v>400000</v>
      </c>
      <c r="J10" s="188"/>
    </row>
    <row r="11" spans="2:10" ht="200.25" customHeight="1">
      <c r="B11" s="94" t="s">
        <v>305</v>
      </c>
      <c r="C11" s="95" t="s">
        <v>31</v>
      </c>
      <c r="D11" s="111" t="s">
        <v>15</v>
      </c>
      <c r="E11" s="97" t="s">
        <v>304</v>
      </c>
      <c r="F11" s="109" t="s">
        <v>306</v>
      </c>
      <c r="G11" s="110">
        <f>100000+27500</f>
        <v>127500</v>
      </c>
      <c r="H11" s="110"/>
      <c r="I11" s="14">
        <f>G11+H11</f>
        <v>127500</v>
      </c>
      <c r="J11" s="188"/>
    </row>
    <row r="12" spans="1:11" s="8" customFormat="1" ht="217.5" customHeight="1">
      <c r="A12" s="1"/>
      <c r="B12" s="94" t="s">
        <v>201</v>
      </c>
      <c r="C12" s="95" t="s">
        <v>84</v>
      </c>
      <c r="D12" s="96"/>
      <c r="E12" s="97" t="s">
        <v>123</v>
      </c>
      <c r="F12" s="84"/>
      <c r="G12" s="83">
        <f>G13+G14+G15</f>
        <v>190000</v>
      </c>
      <c r="H12" s="83">
        <f>H13+H14+H15</f>
        <v>0</v>
      </c>
      <c r="I12" s="83">
        <f>I13+I14+I15</f>
        <v>190000</v>
      </c>
      <c r="J12" s="188"/>
      <c r="K12" s="60"/>
    </row>
    <row r="13" spans="1:11" s="42" customFormat="1" ht="253.5" customHeight="1">
      <c r="A13" s="39"/>
      <c r="B13" s="120" t="s">
        <v>365</v>
      </c>
      <c r="C13" s="88" t="s">
        <v>60</v>
      </c>
      <c r="D13" s="127">
        <v>1070</v>
      </c>
      <c r="E13" s="38" t="s">
        <v>52</v>
      </c>
      <c r="F13" s="101" t="s">
        <v>367</v>
      </c>
      <c r="G13" s="87">
        <f>25000+26700</f>
        <v>51700</v>
      </c>
      <c r="H13" s="87"/>
      <c r="I13" s="44">
        <f>G13+H13</f>
        <v>51700</v>
      </c>
      <c r="J13" s="188"/>
      <c r="K13" s="63"/>
    </row>
    <row r="14" spans="1:11" s="42" customFormat="1" ht="119.25" customHeight="1">
      <c r="A14" s="39"/>
      <c r="B14" s="198" t="s">
        <v>202</v>
      </c>
      <c r="C14" s="187" t="s">
        <v>124</v>
      </c>
      <c r="D14" s="187">
        <v>1070</v>
      </c>
      <c r="E14" s="196" t="s">
        <v>405</v>
      </c>
      <c r="F14" s="41" t="s">
        <v>36</v>
      </c>
      <c r="G14" s="44">
        <v>15000</v>
      </c>
      <c r="H14" s="44"/>
      <c r="I14" s="44">
        <f>G14+H14</f>
        <v>15000</v>
      </c>
      <c r="J14" s="188"/>
      <c r="K14" s="63"/>
    </row>
    <row r="15" spans="1:11" s="42" customFormat="1" ht="239.25" customHeight="1">
      <c r="A15" s="39"/>
      <c r="B15" s="199"/>
      <c r="C15" s="202"/>
      <c r="D15" s="202"/>
      <c r="E15" s="197"/>
      <c r="F15" s="101" t="s">
        <v>367</v>
      </c>
      <c r="G15" s="44">
        <f>50000+73300</f>
        <v>123300</v>
      </c>
      <c r="H15" s="44"/>
      <c r="I15" s="44">
        <f>G15+H15</f>
        <v>123300</v>
      </c>
      <c r="J15" s="188"/>
      <c r="K15" s="63"/>
    </row>
    <row r="16" spans="1:11" s="42" customFormat="1" ht="107.25" customHeight="1">
      <c r="A16" s="39"/>
      <c r="B16" s="27" t="s">
        <v>203</v>
      </c>
      <c r="C16" s="27" t="s">
        <v>125</v>
      </c>
      <c r="D16" s="27"/>
      <c r="E16" s="28" t="s">
        <v>85</v>
      </c>
      <c r="F16" s="26"/>
      <c r="G16" s="14">
        <f>G17</f>
        <v>50000</v>
      </c>
      <c r="H16" s="14">
        <f>H17</f>
        <v>0</v>
      </c>
      <c r="I16" s="14">
        <f>I17</f>
        <v>50000</v>
      </c>
      <c r="J16" s="188"/>
      <c r="K16" s="63"/>
    </row>
    <row r="17" spans="1:11" s="42" customFormat="1" ht="152.25" customHeight="1">
      <c r="A17" s="39"/>
      <c r="B17" s="40" t="s">
        <v>204</v>
      </c>
      <c r="C17" s="40" t="s">
        <v>126</v>
      </c>
      <c r="D17" s="40" t="s">
        <v>9</v>
      </c>
      <c r="E17" s="38" t="s">
        <v>127</v>
      </c>
      <c r="F17" s="41" t="s">
        <v>35</v>
      </c>
      <c r="G17" s="44">
        <f>50000</f>
        <v>50000</v>
      </c>
      <c r="H17" s="44"/>
      <c r="I17" s="14">
        <f>G17+H17</f>
        <v>50000</v>
      </c>
      <c r="J17" s="188"/>
      <c r="K17" s="63"/>
    </row>
    <row r="18" spans="1:11" s="42" customFormat="1" ht="80.25" customHeight="1">
      <c r="A18" s="39"/>
      <c r="B18" s="27" t="s">
        <v>205</v>
      </c>
      <c r="C18" s="27" t="s">
        <v>63</v>
      </c>
      <c r="D18" s="27"/>
      <c r="E18" s="28" t="s">
        <v>100</v>
      </c>
      <c r="F18" s="26"/>
      <c r="G18" s="14">
        <f>G19</f>
        <v>684600</v>
      </c>
      <c r="H18" s="14">
        <f>H19</f>
        <v>0</v>
      </c>
      <c r="I18" s="14">
        <f>I19</f>
        <v>684600</v>
      </c>
      <c r="J18" s="189">
        <v>43</v>
      </c>
      <c r="K18" s="63"/>
    </row>
    <row r="19" spans="1:11" s="42" customFormat="1" ht="155.25" customHeight="1">
      <c r="A19" s="39"/>
      <c r="B19" s="40" t="s">
        <v>206</v>
      </c>
      <c r="C19" s="40" t="s">
        <v>128</v>
      </c>
      <c r="D19" s="40" t="s">
        <v>9</v>
      </c>
      <c r="E19" s="38" t="s">
        <v>129</v>
      </c>
      <c r="F19" s="41" t="s">
        <v>36</v>
      </c>
      <c r="G19" s="44">
        <f>750000-65400</f>
        <v>684600</v>
      </c>
      <c r="H19" s="44"/>
      <c r="I19" s="44">
        <f>G19+H19</f>
        <v>684600</v>
      </c>
      <c r="J19" s="189"/>
      <c r="K19" s="63"/>
    </row>
    <row r="20" spans="1:11" s="42" customFormat="1" ht="201.75" customHeight="1">
      <c r="A20" s="39"/>
      <c r="B20" s="27" t="s">
        <v>207</v>
      </c>
      <c r="C20" s="27" t="s">
        <v>58</v>
      </c>
      <c r="D20" s="27" t="s">
        <v>9</v>
      </c>
      <c r="E20" s="28" t="s">
        <v>64</v>
      </c>
      <c r="F20" s="26" t="s">
        <v>36</v>
      </c>
      <c r="G20" s="14">
        <f>430000+1699665</f>
        <v>2129665</v>
      </c>
      <c r="H20" s="14"/>
      <c r="I20" s="14">
        <f>G20+H20</f>
        <v>2129665</v>
      </c>
      <c r="J20" s="189"/>
      <c r="K20" s="63"/>
    </row>
    <row r="21" spans="1:10" ht="86.25" customHeight="1">
      <c r="A21" s="37"/>
      <c r="B21" s="27" t="s">
        <v>375</v>
      </c>
      <c r="C21" s="27" t="s">
        <v>374</v>
      </c>
      <c r="D21" s="27"/>
      <c r="E21" s="28" t="s">
        <v>173</v>
      </c>
      <c r="F21" s="26"/>
      <c r="G21" s="14">
        <f>G22+G23+G24</f>
        <v>1054111</v>
      </c>
      <c r="H21" s="14">
        <f>H22+H23+H24</f>
        <v>0</v>
      </c>
      <c r="I21" s="14">
        <f>I22+I23+I24</f>
        <v>1054111</v>
      </c>
      <c r="J21" s="189"/>
    </row>
    <row r="22" spans="1:11" s="42" customFormat="1" ht="143.25" customHeight="1">
      <c r="A22" s="131"/>
      <c r="B22" s="40" t="s">
        <v>376</v>
      </c>
      <c r="C22" s="40" t="s">
        <v>378</v>
      </c>
      <c r="D22" s="40" t="s">
        <v>8</v>
      </c>
      <c r="E22" s="128" t="s">
        <v>379</v>
      </c>
      <c r="F22" s="41" t="s">
        <v>35</v>
      </c>
      <c r="G22" s="132">
        <f>818206+27439</f>
        <v>845645</v>
      </c>
      <c r="H22" s="133"/>
      <c r="I22" s="134">
        <f>G22+H22</f>
        <v>845645</v>
      </c>
      <c r="J22" s="189"/>
      <c r="K22" s="63"/>
    </row>
    <row r="23" spans="1:11" s="42" customFormat="1" ht="137.25" customHeight="1">
      <c r="A23" s="131"/>
      <c r="B23" s="187" t="s">
        <v>377</v>
      </c>
      <c r="C23" s="187" t="s">
        <v>380</v>
      </c>
      <c r="D23" s="187" t="s">
        <v>8</v>
      </c>
      <c r="E23" s="194" t="s">
        <v>381</v>
      </c>
      <c r="F23" s="41" t="s">
        <v>34</v>
      </c>
      <c r="G23" s="132">
        <v>155666</v>
      </c>
      <c r="H23" s="133"/>
      <c r="I23" s="134">
        <f>G23+H23</f>
        <v>155666</v>
      </c>
      <c r="J23" s="189"/>
      <c r="K23" s="63"/>
    </row>
    <row r="24" spans="1:11" s="42" customFormat="1" ht="143.25" customHeight="1">
      <c r="A24" s="131"/>
      <c r="B24" s="202"/>
      <c r="C24" s="202"/>
      <c r="D24" s="202"/>
      <c r="E24" s="195"/>
      <c r="F24" s="41" t="s">
        <v>115</v>
      </c>
      <c r="G24" s="44">
        <f>26400+26400</f>
        <v>52800</v>
      </c>
      <c r="H24" s="133"/>
      <c r="I24" s="134">
        <f>G24+H24</f>
        <v>52800</v>
      </c>
      <c r="J24" s="189"/>
      <c r="K24" s="63"/>
    </row>
    <row r="25" spans="1:11" s="8" customFormat="1" ht="143.25" customHeight="1">
      <c r="A25" s="156"/>
      <c r="B25" s="155" t="s">
        <v>431</v>
      </c>
      <c r="C25" s="155" t="s">
        <v>432</v>
      </c>
      <c r="D25" s="155" t="s">
        <v>433</v>
      </c>
      <c r="E25" s="157" t="s">
        <v>434</v>
      </c>
      <c r="F25" s="26" t="s">
        <v>36</v>
      </c>
      <c r="G25" s="14">
        <f>484400+83000+6000+198030+11100+100000+65400</f>
        <v>947930</v>
      </c>
      <c r="H25" s="158"/>
      <c r="I25" s="159">
        <f>G25+H25</f>
        <v>947930</v>
      </c>
      <c r="J25" s="189"/>
      <c r="K25" s="60"/>
    </row>
    <row r="26" spans="1:11" s="42" customFormat="1" ht="84.75" customHeight="1">
      <c r="A26" s="39"/>
      <c r="B26" s="95" t="s">
        <v>208</v>
      </c>
      <c r="C26" s="95" t="s">
        <v>130</v>
      </c>
      <c r="D26" s="95"/>
      <c r="E26" s="97" t="s">
        <v>373</v>
      </c>
      <c r="F26" s="26"/>
      <c r="G26" s="14">
        <f>G27+G28</f>
        <v>1346500</v>
      </c>
      <c r="H26" s="14">
        <f>H27+H28</f>
        <v>0</v>
      </c>
      <c r="I26" s="14">
        <f>I27+I28</f>
        <v>1346500</v>
      </c>
      <c r="J26" s="189"/>
      <c r="K26" s="63"/>
    </row>
    <row r="27" spans="1:11" s="42" customFormat="1" ht="117.75" customHeight="1">
      <c r="A27" s="39"/>
      <c r="B27" s="88" t="s">
        <v>417</v>
      </c>
      <c r="C27" s="88" t="s">
        <v>415</v>
      </c>
      <c r="D27" s="88" t="s">
        <v>11</v>
      </c>
      <c r="E27" s="101" t="s">
        <v>416</v>
      </c>
      <c r="F27" s="41" t="s">
        <v>53</v>
      </c>
      <c r="G27" s="44">
        <f>400000+400000+60000</f>
        <v>860000</v>
      </c>
      <c r="H27" s="44"/>
      <c r="I27" s="44">
        <f>G27+H27</f>
        <v>860000</v>
      </c>
      <c r="J27" s="189"/>
      <c r="K27" s="63"/>
    </row>
    <row r="28" spans="1:11" s="42" customFormat="1" ht="111.75" customHeight="1">
      <c r="A28" s="39"/>
      <c r="B28" s="88" t="s">
        <v>384</v>
      </c>
      <c r="C28" s="88" t="s">
        <v>382</v>
      </c>
      <c r="D28" s="88" t="s">
        <v>11</v>
      </c>
      <c r="E28" s="151" t="s">
        <v>383</v>
      </c>
      <c r="F28" s="38" t="s">
        <v>53</v>
      </c>
      <c r="G28" s="44">
        <f>420200+66300</f>
        <v>486500</v>
      </c>
      <c r="H28" s="44"/>
      <c r="I28" s="134">
        <f>G28+H28</f>
        <v>486500</v>
      </c>
      <c r="J28" s="189"/>
      <c r="K28" s="63"/>
    </row>
    <row r="29" spans="1:11" s="42" customFormat="1" ht="66" customHeight="1">
      <c r="A29" s="39"/>
      <c r="B29" s="27" t="s">
        <v>209</v>
      </c>
      <c r="C29" s="27" t="s">
        <v>87</v>
      </c>
      <c r="D29" s="27"/>
      <c r="E29" s="28" t="s">
        <v>86</v>
      </c>
      <c r="F29" s="26"/>
      <c r="G29" s="14">
        <f>G30+G31</f>
        <v>1569070</v>
      </c>
      <c r="H29" s="14">
        <f>H30+H31</f>
        <v>177000</v>
      </c>
      <c r="I29" s="14">
        <f>I30+I31</f>
        <v>1746070</v>
      </c>
      <c r="J29" s="189"/>
      <c r="K29" s="63"/>
    </row>
    <row r="30" spans="1:11" s="42" customFormat="1" ht="105.75" customHeight="1">
      <c r="A30" s="39"/>
      <c r="B30" s="40" t="s">
        <v>210</v>
      </c>
      <c r="C30" s="40" t="s">
        <v>88</v>
      </c>
      <c r="D30" s="40" t="s">
        <v>12</v>
      </c>
      <c r="E30" s="41" t="s">
        <v>65</v>
      </c>
      <c r="F30" s="41" t="s">
        <v>37</v>
      </c>
      <c r="G30" s="44">
        <f>700000+76070+35000+25000</f>
        <v>836070</v>
      </c>
      <c r="H30" s="44">
        <v>177000</v>
      </c>
      <c r="I30" s="44">
        <f>G30+H30</f>
        <v>1013070</v>
      </c>
      <c r="J30" s="189"/>
      <c r="K30" s="63"/>
    </row>
    <row r="31" spans="1:11" s="42" customFormat="1" ht="126.75" customHeight="1">
      <c r="A31" s="39"/>
      <c r="B31" s="40" t="s">
        <v>211</v>
      </c>
      <c r="C31" s="40" t="s">
        <v>89</v>
      </c>
      <c r="D31" s="40" t="s">
        <v>12</v>
      </c>
      <c r="E31" s="41" t="s">
        <v>13</v>
      </c>
      <c r="F31" s="41" t="s">
        <v>37</v>
      </c>
      <c r="G31" s="44">
        <f>700000+28000+5000</f>
        <v>733000</v>
      </c>
      <c r="H31" s="44"/>
      <c r="I31" s="44">
        <f>G31+H31</f>
        <v>733000</v>
      </c>
      <c r="J31" s="189"/>
      <c r="K31" s="63"/>
    </row>
    <row r="32" spans="1:11" s="8" customFormat="1" ht="65.25" customHeight="1">
      <c r="A32" s="1"/>
      <c r="B32" s="27" t="s">
        <v>212</v>
      </c>
      <c r="C32" s="27" t="s">
        <v>103</v>
      </c>
      <c r="D32" s="27"/>
      <c r="E32" s="28" t="s">
        <v>109</v>
      </c>
      <c r="F32" s="26"/>
      <c r="G32" s="14">
        <f>G33+G34</f>
        <v>17652879</v>
      </c>
      <c r="H32" s="14">
        <f>H33+H34</f>
        <v>200000</v>
      </c>
      <c r="I32" s="14">
        <f>I33+I34</f>
        <v>17852879</v>
      </c>
      <c r="J32" s="189"/>
      <c r="K32" s="60"/>
    </row>
    <row r="33" spans="1:11" s="42" customFormat="1" ht="120.75" customHeight="1">
      <c r="A33" s="39"/>
      <c r="B33" s="40" t="s">
        <v>213</v>
      </c>
      <c r="C33" s="40" t="s">
        <v>104</v>
      </c>
      <c r="D33" s="40" t="s">
        <v>12</v>
      </c>
      <c r="E33" s="41" t="s">
        <v>66</v>
      </c>
      <c r="F33" s="41" t="s">
        <v>37</v>
      </c>
      <c r="G33" s="44">
        <f>8719900+577000+98000+15000+100000+10000</f>
        <v>9519900</v>
      </c>
      <c r="H33" s="44">
        <v>200000</v>
      </c>
      <c r="I33" s="44">
        <f>G33+H33</f>
        <v>9719900</v>
      </c>
      <c r="J33" s="189"/>
      <c r="K33" s="63"/>
    </row>
    <row r="34" spans="1:11" s="42" customFormat="1" ht="117.75" customHeight="1">
      <c r="A34" s="39"/>
      <c r="B34" s="40" t="s">
        <v>214</v>
      </c>
      <c r="C34" s="40" t="s">
        <v>105</v>
      </c>
      <c r="D34" s="40" t="s">
        <v>12</v>
      </c>
      <c r="E34" s="41" t="s">
        <v>67</v>
      </c>
      <c r="F34" s="41" t="s">
        <v>37</v>
      </c>
      <c r="G34" s="44">
        <f>7321800+300000+95000+301179+65000+10000+20000+20000</f>
        <v>8132979</v>
      </c>
      <c r="H34" s="44"/>
      <c r="I34" s="44">
        <f>G34+H34</f>
        <v>8132979</v>
      </c>
      <c r="J34" s="189"/>
      <c r="K34" s="63"/>
    </row>
    <row r="35" spans="1:11" s="42" customFormat="1" ht="66.75" customHeight="1">
      <c r="A35" s="39"/>
      <c r="B35" s="27" t="s">
        <v>215</v>
      </c>
      <c r="C35" s="27" t="s">
        <v>90</v>
      </c>
      <c r="D35" s="27"/>
      <c r="E35" s="28" t="s">
        <v>101</v>
      </c>
      <c r="F35" s="26"/>
      <c r="G35" s="14">
        <f>G36+G37</f>
        <v>9022021</v>
      </c>
      <c r="H35" s="14">
        <f>H36+H37</f>
        <v>246687</v>
      </c>
      <c r="I35" s="14">
        <f>I36+I37</f>
        <v>9268708</v>
      </c>
      <c r="J35" s="189"/>
      <c r="K35" s="63"/>
    </row>
    <row r="36" spans="1:11" s="42" customFormat="1" ht="141.75" customHeight="1">
      <c r="A36" s="39"/>
      <c r="B36" s="40" t="s">
        <v>216</v>
      </c>
      <c r="C36" s="40" t="s">
        <v>108</v>
      </c>
      <c r="D36" s="27" t="s">
        <v>12</v>
      </c>
      <c r="E36" s="41" t="s">
        <v>106</v>
      </c>
      <c r="F36" s="41" t="s">
        <v>37</v>
      </c>
      <c r="G36" s="44">
        <f>3246540+127835+6186+7000+11000+30000</f>
        <v>3428561</v>
      </c>
      <c r="H36" s="44">
        <f>20000+226687</f>
        <v>246687</v>
      </c>
      <c r="I36" s="44">
        <f>G36+H36</f>
        <v>3675248</v>
      </c>
      <c r="J36" s="189">
        <v>44</v>
      </c>
      <c r="K36" s="63"/>
    </row>
    <row r="37" spans="1:11" s="42" customFormat="1" ht="165.75" customHeight="1">
      <c r="A37" s="39"/>
      <c r="B37" s="40" t="s">
        <v>217</v>
      </c>
      <c r="C37" s="40" t="s">
        <v>102</v>
      </c>
      <c r="D37" s="40" t="s">
        <v>12</v>
      </c>
      <c r="E37" s="41" t="s">
        <v>107</v>
      </c>
      <c r="F37" s="41" t="s">
        <v>37</v>
      </c>
      <c r="G37" s="44">
        <f>5143460+50000+50000+50000+300000</f>
        <v>5593460</v>
      </c>
      <c r="H37" s="44"/>
      <c r="I37" s="44">
        <f>G37+H37</f>
        <v>5593460</v>
      </c>
      <c r="J37" s="189"/>
      <c r="K37" s="63"/>
    </row>
    <row r="38" spans="1:11" s="8" customFormat="1" ht="105.75" customHeight="1">
      <c r="A38" s="1"/>
      <c r="B38" s="27" t="s">
        <v>218</v>
      </c>
      <c r="C38" s="27" t="s">
        <v>83</v>
      </c>
      <c r="D38" s="27"/>
      <c r="E38" s="26" t="s">
        <v>155</v>
      </c>
      <c r="F38" s="26"/>
      <c r="G38" s="14">
        <f>G39+G40</f>
        <v>5000000</v>
      </c>
      <c r="H38" s="14">
        <f>H39+H40</f>
        <v>0</v>
      </c>
      <c r="I38" s="14">
        <f>I39+I40</f>
        <v>5000000</v>
      </c>
      <c r="J38" s="189"/>
      <c r="K38" s="60"/>
    </row>
    <row r="39" spans="1:11" s="42" customFormat="1" ht="146.25" customHeight="1">
      <c r="A39" s="39"/>
      <c r="B39" s="40" t="s">
        <v>219</v>
      </c>
      <c r="C39" s="40" t="s">
        <v>154</v>
      </c>
      <c r="D39" s="40" t="s">
        <v>41</v>
      </c>
      <c r="E39" s="38" t="s">
        <v>40</v>
      </c>
      <c r="F39" s="41" t="s">
        <v>38</v>
      </c>
      <c r="G39" s="44">
        <f>3000000+2000000</f>
        <v>5000000</v>
      </c>
      <c r="H39" s="44"/>
      <c r="I39" s="44">
        <f>G39+H39</f>
        <v>5000000</v>
      </c>
      <c r="J39" s="189"/>
      <c r="K39" s="63"/>
    </row>
    <row r="40" spans="1:11" s="42" customFormat="1" ht="146.25" customHeight="1" hidden="1">
      <c r="A40" s="39"/>
      <c r="B40" s="40" t="s">
        <v>220</v>
      </c>
      <c r="C40" s="40" t="s">
        <v>162</v>
      </c>
      <c r="D40" s="40" t="s">
        <v>41</v>
      </c>
      <c r="E40" s="98" t="s">
        <v>163</v>
      </c>
      <c r="F40" s="41" t="s">
        <v>38</v>
      </c>
      <c r="G40" s="44"/>
      <c r="H40" s="44"/>
      <c r="I40" s="44">
        <f>G40+H40</f>
        <v>0</v>
      </c>
      <c r="J40" s="189"/>
      <c r="K40" s="63"/>
    </row>
    <row r="41" spans="2:10" ht="97.5" customHeight="1">
      <c r="B41" s="27" t="s">
        <v>221</v>
      </c>
      <c r="C41" s="27" t="s">
        <v>156</v>
      </c>
      <c r="D41" s="27"/>
      <c r="E41" s="28" t="s">
        <v>157</v>
      </c>
      <c r="F41" s="26"/>
      <c r="G41" s="14">
        <f>G42+G43</f>
        <v>22544636</v>
      </c>
      <c r="H41" s="14">
        <f>H42+H43</f>
        <v>1490000</v>
      </c>
      <c r="I41" s="14">
        <f>I42+I43</f>
        <v>24034636</v>
      </c>
      <c r="J41" s="189"/>
    </row>
    <row r="42" spans="1:11" s="42" customFormat="1" ht="138" customHeight="1">
      <c r="A42" s="39"/>
      <c r="B42" s="40" t="s">
        <v>222</v>
      </c>
      <c r="C42" s="40" t="s">
        <v>158</v>
      </c>
      <c r="D42" s="40" t="s">
        <v>42</v>
      </c>
      <c r="E42" s="38" t="s">
        <v>159</v>
      </c>
      <c r="F42" s="41" t="s">
        <v>38</v>
      </c>
      <c r="G42" s="44">
        <f>6000000+4000000</f>
        <v>10000000</v>
      </c>
      <c r="H42" s="44"/>
      <c r="I42" s="44">
        <f aca="true" t="shared" si="0" ref="I42:I51">G42+H42</f>
        <v>10000000</v>
      </c>
      <c r="J42" s="189"/>
      <c r="K42" s="63"/>
    </row>
    <row r="43" spans="1:11" s="42" customFormat="1" ht="169.5" customHeight="1">
      <c r="A43" s="39"/>
      <c r="B43" s="40" t="s">
        <v>223</v>
      </c>
      <c r="C43" s="40" t="s">
        <v>160</v>
      </c>
      <c r="D43" s="40" t="s">
        <v>42</v>
      </c>
      <c r="E43" s="38" t="s">
        <v>161</v>
      </c>
      <c r="F43" s="41" t="s">
        <v>38</v>
      </c>
      <c r="G43" s="44">
        <f>12858252-313616</f>
        <v>12544636</v>
      </c>
      <c r="H43" s="44">
        <f>810000+680000</f>
        <v>1490000</v>
      </c>
      <c r="I43" s="44">
        <f t="shared" si="0"/>
        <v>14034636</v>
      </c>
      <c r="J43" s="189"/>
      <c r="K43" s="63"/>
    </row>
    <row r="44" spans="1:11" s="42" customFormat="1" ht="169.5" customHeight="1">
      <c r="A44" s="39"/>
      <c r="B44" s="27" t="s">
        <v>400</v>
      </c>
      <c r="C44" s="114" t="s">
        <v>401</v>
      </c>
      <c r="D44" s="114" t="s">
        <v>403</v>
      </c>
      <c r="E44" s="115" t="s">
        <v>402</v>
      </c>
      <c r="F44" s="26" t="s">
        <v>38</v>
      </c>
      <c r="G44" s="14">
        <f>450000+199800</f>
        <v>649800</v>
      </c>
      <c r="H44" s="14"/>
      <c r="I44" s="14">
        <f>G44+H44</f>
        <v>649800</v>
      </c>
      <c r="J44" s="189"/>
      <c r="K44" s="63"/>
    </row>
    <row r="45" spans="1:11" s="8" customFormat="1" ht="169.5" customHeight="1">
      <c r="A45" s="1"/>
      <c r="B45" s="27" t="s">
        <v>319</v>
      </c>
      <c r="C45" s="114" t="s">
        <v>320</v>
      </c>
      <c r="D45" s="114" t="s">
        <v>321</v>
      </c>
      <c r="E45" s="115" t="s">
        <v>322</v>
      </c>
      <c r="F45" s="116" t="s">
        <v>110</v>
      </c>
      <c r="G45" s="14">
        <f>2629000+3067500+1579990+2962430-170430</f>
        <v>10068490</v>
      </c>
      <c r="H45" s="14">
        <f>4897000+3385000</f>
        <v>8282000</v>
      </c>
      <c r="I45" s="14">
        <f>G45+H45</f>
        <v>18350490</v>
      </c>
      <c r="J45" s="189"/>
      <c r="K45" s="60"/>
    </row>
    <row r="46" spans="1:11" s="42" customFormat="1" ht="169.5" customHeight="1">
      <c r="A46" s="39"/>
      <c r="B46" s="27" t="s">
        <v>224</v>
      </c>
      <c r="C46" s="27" t="s">
        <v>164</v>
      </c>
      <c r="D46" s="27" t="s">
        <v>7</v>
      </c>
      <c r="E46" s="28" t="s">
        <v>68</v>
      </c>
      <c r="F46" s="26" t="s">
        <v>94</v>
      </c>
      <c r="G46" s="14">
        <v>88000</v>
      </c>
      <c r="H46" s="44">
        <v>16800</v>
      </c>
      <c r="I46" s="14">
        <f t="shared" si="0"/>
        <v>104800</v>
      </c>
      <c r="J46" s="189"/>
      <c r="K46" s="63"/>
    </row>
    <row r="47" spans="1:11" s="42" customFormat="1" ht="169.5" customHeight="1">
      <c r="A47" s="39"/>
      <c r="B47" s="95" t="s">
        <v>323</v>
      </c>
      <c r="C47" s="95" t="s">
        <v>144</v>
      </c>
      <c r="D47" s="114" t="s">
        <v>30</v>
      </c>
      <c r="E47" s="115" t="s">
        <v>76</v>
      </c>
      <c r="F47" s="116" t="s">
        <v>116</v>
      </c>
      <c r="G47" s="14">
        <v>125175</v>
      </c>
      <c r="H47" s="44"/>
      <c r="I47" s="14">
        <f t="shared" si="0"/>
        <v>125175</v>
      </c>
      <c r="J47" s="189"/>
      <c r="K47" s="63"/>
    </row>
    <row r="48" spans="1:11" s="42" customFormat="1" ht="169.5" customHeight="1">
      <c r="A48" s="39"/>
      <c r="B48" s="183" t="s">
        <v>225</v>
      </c>
      <c r="C48" s="183" t="s">
        <v>165</v>
      </c>
      <c r="D48" s="183" t="s">
        <v>6</v>
      </c>
      <c r="E48" s="192" t="s">
        <v>69</v>
      </c>
      <c r="F48" s="26" t="s">
        <v>38</v>
      </c>
      <c r="G48" s="14"/>
      <c r="H48" s="14">
        <f>4220000+24220000+800000</f>
        <v>29240000</v>
      </c>
      <c r="I48" s="14">
        <f t="shared" si="0"/>
        <v>29240000</v>
      </c>
      <c r="J48" s="189"/>
      <c r="K48" s="63"/>
    </row>
    <row r="49" spans="1:11" s="42" customFormat="1" ht="169.5" customHeight="1" hidden="1">
      <c r="A49" s="39"/>
      <c r="B49" s="184"/>
      <c r="C49" s="184"/>
      <c r="D49" s="184"/>
      <c r="E49" s="193"/>
      <c r="F49" s="26" t="s">
        <v>110</v>
      </c>
      <c r="G49" s="44"/>
      <c r="H49" s="44"/>
      <c r="I49" s="14">
        <f t="shared" si="0"/>
        <v>0</v>
      </c>
      <c r="J49" s="189"/>
      <c r="K49" s="63"/>
    </row>
    <row r="50" spans="1:11" s="42" customFormat="1" ht="163.5" customHeight="1">
      <c r="A50" s="39"/>
      <c r="B50" s="183" t="s">
        <v>309</v>
      </c>
      <c r="C50" s="183" t="s">
        <v>310</v>
      </c>
      <c r="D50" s="183" t="s">
        <v>6</v>
      </c>
      <c r="E50" s="185" t="s">
        <v>311</v>
      </c>
      <c r="F50" s="123" t="s">
        <v>372</v>
      </c>
      <c r="G50" s="14">
        <v>159333</v>
      </c>
      <c r="H50" s="14"/>
      <c r="I50" s="14">
        <f t="shared" si="0"/>
        <v>159333</v>
      </c>
      <c r="J50" s="189"/>
      <c r="K50" s="63"/>
    </row>
    <row r="51" spans="1:11" s="42" customFormat="1" ht="160.5" customHeight="1">
      <c r="A51" s="39"/>
      <c r="B51" s="184"/>
      <c r="C51" s="184"/>
      <c r="D51" s="184"/>
      <c r="E51" s="186"/>
      <c r="F51" s="26" t="s">
        <v>116</v>
      </c>
      <c r="G51" s="14">
        <v>50000</v>
      </c>
      <c r="H51" s="14"/>
      <c r="I51" s="14">
        <f t="shared" si="0"/>
        <v>50000</v>
      </c>
      <c r="J51" s="189"/>
      <c r="K51" s="63"/>
    </row>
    <row r="52" spans="2:10" ht="77.25" customHeight="1">
      <c r="B52" s="27" t="s">
        <v>226</v>
      </c>
      <c r="C52" s="27" t="s">
        <v>135</v>
      </c>
      <c r="D52" s="27"/>
      <c r="E52" s="28" t="s">
        <v>136</v>
      </c>
      <c r="F52" s="26"/>
      <c r="G52" s="14">
        <f>G53</f>
        <v>1832059</v>
      </c>
      <c r="H52" s="14">
        <f>H53</f>
        <v>0</v>
      </c>
      <c r="I52" s="14">
        <f>I53</f>
        <v>1832059</v>
      </c>
      <c r="J52" s="189">
        <v>45</v>
      </c>
    </row>
    <row r="53" spans="1:11" s="42" customFormat="1" ht="120.75" customHeight="1">
      <c r="A53" s="39"/>
      <c r="B53" s="40" t="s">
        <v>324</v>
      </c>
      <c r="C53" s="40" t="s">
        <v>325</v>
      </c>
      <c r="D53" s="117" t="s">
        <v>6</v>
      </c>
      <c r="E53" s="118" t="s">
        <v>326</v>
      </c>
      <c r="F53" s="119" t="s">
        <v>53</v>
      </c>
      <c r="G53" s="44">
        <f>1449859+262200+90000+30000</f>
        <v>1832059</v>
      </c>
      <c r="H53" s="44"/>
      <c r="I53" s="44">
        <f aca="true" t="shared" si="1" ref="I53:I62">G53+H53</f>
        <v>1832059</v>
      </c>
      <c r="J53" s="189"/>
      <c r="K53" s="63"/>
    </row>
    <row r="54" spans="2:10" ht="197.25" customHeight="1">
      <c r="B54" s="27" t="s">
        <v>227</v>
      </c>
      <c r="C54" s="27" t="s">
        <v>166</v>
      </c>
      <c r="D54" s="27" t="s">
        <v>167</v>
      </c>
      <c r="E54" s="28" t="s">
        <v>168</v>
      </c>
      <c r="F54" s="26" t="s">
        <v>119</v>
      </c>
      <c r="G54" s="14">
        <f>228570+180360+92500+2453</f>
        <v>503883</v>
      </c>
      <c r="H54" s="14">
        <v>55900</v>
      </c>
      <c r="I54" s="14">
        <f t="shared" si="1"/>
        <v>559783</v>
      </c>
      <c r="J54" s="189"/>
    </row>
    <row r="55" spans="2:10" ht="134.25" customHeight="1">
      <c r="B55" s="27" t="s">
        <v>312</v>
      </c>
      <c r="C55" s="27" t="s">
        <v>313</v>
      </c>
      <c r="D55" s="27" t="s">
        <v>314</v>
      </c>
      <c r="E55" s="106" t="s">
        <v>315</v>
      </c>
      <c r="F55" s="26" t="s">
        <v>39</v>
      </c>
      <c r="G55" s="14">
        <v>391300</v>
      </c>
      <c r="H55" s="14"/>
      <c r="I55" s="14">
        <f t="shared" si="1"/>
        <v>391300</v>
      </c>
      <c r="J55" s="189"/>
    </row>
    <row r="56" spans="2:10" ht="155.25" customHeight="1">
      <c r="B56" s="27" t="s">
        <v>228</v>
      </c>
      <c r="C56" s="27" t="s">
        <v>133</v>
      </c>
      <c r="D56" s="27" t="s">
        <v>14</v>
      </c>
      <c r="E56" s="28" t="s">
        <v>134</v>
      </c>
      <c r="F56" s="29" t="s">
        <v>117</v>
      </c>
      <c r="G56" s="14"/>
      <c r="H56" s="14">
        <f>123500+57995</f>
        <v>181495</v>
      </c>
      <c r="I56" s="14">
        <f t="shared" si="1"/>
        <v>181495</v>
      </c>
      <c r="J56" s="189"/>
    </row>
    <row r="57" spans="2:10" ht="140.25" customHeight="1">
      <c r="B57" s="27" t="s">
        <v>369</v>
      </c>
      <c r="C57" s="27" t="s">
        <v>370</v>
      </c>
      <c r="D57" s="27" t="s">
        <v>33</v>
      </c>
      <c r="E57" s="28" t="s">
        <v>371</v>
      </c>
      <c r="F57" s="26" t="s">
        <v>53</v>
      </c>
      <c r="G57" s="14">
        <v>164000</v>
      </c>
      <c r="H57" s="14"/>
      <c r="I57" s="14">
        <f t="shared" si="1"/>
        <v>164000</v>
      </c>
      <c r="J57" s="189"/>
    </row>
    <row r="58" spans="2:10" ht="140.25" customHeight="1">
      <c r="B58" s="183" t="s">
        <v>480</v>
      </c>
      <c r="C58" s="183" t="s">
        <v>131</v>
      </c>
      <c r="D58" s="183" t="s">
        <v>31</v>
      </c>
      <c r="E58" s="192" t="s">
        <v>132</v>
      </c>
      <c r="F58" s="26" t="s">
        <v>39</v>
      </c>
      <c r="G58" s="14">
        <f>116600</f>
        <v>116600</v>
      </c>
      <c r="H58" s="14">
        <v>344000</v>
      </c>
      <c r="I58" s="14">
        <f t="shared" si="1"/>
        <v>460600</v>
      </c>
      <c r="J58" s="189"/>
    </row>
    <row r="59" spans="2:10" ht="149.25" customHeight="1">
      <c r="B59" s="184"/>
      <c r="C59" s="184"/>
      <c r="D59" s="184"/>
      <c r="E59" s="193"/>
      <c r="F59" s="123" t="s">
        <v>372</v>
      </c>
      <c r="G59" s="14">
        <v>50000</v>
      </c>
      <c r="H59" s="14"/>
      <c r="I59" s="14">
        <f t="shared" si="1"/>
        <v>50000</v>
      </c>
      <c r="J59" s="189"/>
    </row>
    <row r="60" spans="2:10" ht="140.25" customHeight="1">
      <c r="B60" s="183" t="s">
        <v>439</v>
      </c>
      <c r="C60" s="183" t="s">
        <v>440</v>
      </c>
      <c r="D60" s="183" t="s">
        <v>31</v>
      </c>
      <c r="E60" s="185" t="s">
        <v>441</v>
      </c>
      <c r="F60" s="26" t="s">
        <v>39</v>
      </c>
      <c r="G60" s="14">
        <v>300000</v>
      </c>
      <c r="H60" s="14"/>
      <c r="I60" s="14">
        <f t="shared" si="1"/>
        <v>300000</v>
      </c>
      <c r="J60" s="189"/>
    </row>
    <row r="61" spans="2:10" ht="353.25" customHeight="1">
      <c r="B61" s="213"/>
      <c r="C61" s="213"/>
      <c r="D61" s="213"/>
      <c r="E61" s="209"/>
      <c r="F61" s="26" t="s">
        <v>477</v>
      </c>
      <c r="G61" s="14">
        <v>70000</v>
      </c>
      <c r="H61" s="14">
        <v>418410</v>
      </c>
      <c r="I61" s="14">
        <f t="shared" si="1"/>
        <v>488410</v>
      </c>
      <c r="J61" s="189"/>
    </row>
    <row r="62" spans="2:10" ht="173.25" customHeight="1">
      <c r="B62" s="184"/>
      <c r="C62" s="184"/>
      <c r="D62" s="184"/>
      <c r="E62" s="186"/>
      <c r="F62" s="123" t="s">
        <v>372</v>
      </c>
      <c r="G62" s="14">
        <f>11400+100000</f>
        <v>111400</v>
      </c>
      <c r="H62" s="14">
        <f>2000000+145370+1000000</f>
        <v>3145370</v>
      </c>
      <c r="I62" s="14">
        <f t="shared" si="1"/>
        <v>3256770</v>
      </c>
      <c r="J62" s="189"/>
    </row>
    <row r="63" spans="2:12" ht="107.25" customHeight="1">
      <c r="B63" s="27"/>
      <c r="C63" s="27"/>
      <c r="D63" s="27"/>
      <c r="E63" s="51" t="s">
        <v>229</v>
      </c>
      <c r="F63" s="26"/>
      <c r="G63" s="70">
        <f>G64+G65+G66+G67+G68+G69+G70+G71+G72+G73+G74+G75+G76+G77+G78+G79+G80+G81+G85+G86+G87+G88+G93+G94+G95+G90+G96</f>
        <v>51981042.25</v>
      </c>
      <c r="H63" s="70">
        <f>H64+H65+H66+H67+H68+H69+H70+H71+H72+H73+H74+H75+H76+H77+H78+H79+H80+H81+H85+H86+H87+H88+H93+H94+H95+H90+H96</f>
        <v>43012164.47</v>
      </c>
      <c r="I63" s="70">
        <f>I64+I65+I66+I67+I68+I69+I70+I71+I72+I73+I74+I75+I76+I77+I78+I79+I80+I81+I85+I86+I87+I88+I93+I94+I95+I90+I96</f>
        <v>94993206.72</v>
      </c>
      <c r="J63" s="189"/>
      <c r="K63" s="64"/>
      <c r="L63" s="59"/>
    </row>
    <row r="64" spans="1:11" s="7" customFormat="1" ht="146.25" customHeight="1">
      <c r="A64" s="6"/>
      <c r="B64" s="95" t="s">
        <v>230</v>
      </c>
      <c r="C64" s="95" t="s">
        <v>121</v>
      </c>
      <c r="D64" s="95" t="s">
        <v>2</v>
      </c>
      <c r="E64" s="97" t="s">
        <v>122</v>
      </c>
      <c r="F64" s="26" t="s">
        <v>53</v>
      </c>
      <c r="G64" s="14">
        <v>30000</v>
      </c>
      <c r="H64" s="14"/>
      <c r="I64" s="14">
        <f>G64+H64</f>
        <v>30000</v>
      </c>
      <c r="J64" s="189"/>
      <c r="K64" s="65"/>
    </row>
    <row r="65" spans="2:10" ht="112.5" customHeight="1">
      <c r="B65" s="183" t="s">
        <v>231</v>
      </c>
      <c r="C65" s="183" t="s">
        <v>56</v>
      </c>
      <c r="D65" s="183" t="s">
        <v>16</v>
      </c>
      <c r="E65" s="210" t="s">
        <v>145</v>
      </c>
      <c r="F65" s="26" t="s">
        <v>34</v>
      </c>
      <c r="G65" s="14">
        <f>9682+1400+11154</f>
        <v>22236</v>
      </c>
      <c r="H65" s="14"/>
      <c r="I65" s="14">
        <f aca="true" t="shared" si="2" ref="I65:I87">G65+H65</f>
        <v>22236</v>
      </c>
      <c r="J65" s="189">
        <v>46</v>
      </c>
    </row>
    <row r="66" spans="2:10" ht="147" customHeight="1">
      <c r="B66" s="213"/>
      <c r="C66" s="213"/>
      <c r="D66" s="213"/>
      <c r="E66" s="211"/>
      <c r="F66" s="26" t="s">
        <v>115</v>
      </c>
      <c r="G66" s="14">
        <f>996719+45500</f>
        <v>1042219</v>
      </c>
      <c r="H66" s="14"/>
      <c r="I66" s="14">
        <f t="shared" si="2"/>
        <v>1042219</v>
      </c>
      <c r="J66" s="189"/>
    </row>
    <row r="67" spans="2:10" ht="195" customHeight="1">
      <c r="B67" s="213"/>
      <c r="C67" s="213"/>
      <c r="D67" s="213"/>
      <c r="E67" s="211"/>
      <c r="F67" s="26" t="s">
        <v>98</v>
      </c>
      <c r="G67" s="14">
        <f>7329895+4883.35+135000+10715+156000+51067-575+5000</f>
        <v>7691985.35</v>
      </c>
      <c r="H67" s="14"/>
      <c r="I67" s="14">
        <f t="shared" si="2"/>
        <v>7691985.35</v>
      </c>
      <c r="J67" s="189"/>
    </row>
    <row r="68" spans="2:10" ht="174.75" customHeight="1">
      <c r="B68" s="184"/>
      <c r="C68" s="184"/>
      <c r="D68" s="184"/>
      <c r="E68" s="212"/>
      <c r="F68" s="26" t="s">
        <v>49</v>
      </c>
      <c r="G68" s="14"/>
      <c r="H68" s="14">
        <f>3500000+20000+20000+200000+52395+47874+50000+350000+15116.65+40000+15000</f>
        <v>4310385.65</v>
      </c>
      <c r="I68" s="14">
        <f t="shared" si="2"/>
        <v>4310385.65</v>
      </c>
      <c r="J68" s="189"/>
    </row>
    <row r="69" spans="2:10" ht="111.75" customHeight="1">
      <c r="B69" s="183" t="s">
        <v>232</v>
      </c>
      <c r="C69" s="183" t="s">
        <v>51</v>
      </c>
      <c r="D69" s="183" t="s">
        <v>17</v>
      </c>
      <c r="E69" s="222" t="s">
        <v>146</v>
      </c>
      <c r="F69" s="26" t="s">
        <v>34</v>
      </c>
      <c r="G69" s="14">
        <f>42560+2170+25200</f>
        <v>69930</v>
      </c>
      <c r="H69" s="14"/>
      <c r="I69" s="14">
        <f t="shared" si="2"/>
        <v>69930</v>
      </c>
      <c r="J69" s="189"/>
    </row>
    <row r="70" spans="2:10" ht="138.75" customHeight="1">
      <c r="B70" s="213"/>
      <c r="C70" s="213"/>
      <c r="D70" s="213"/>
      <c r="E70" s="223"/>
      <c r="F70" s="26" t="s">
        <v>115</v>
      </c>
      <c r="G70" s="14">
        <f>2563116+105000</f>
        <v>2668116</v>
      </c>
      <c r="H70" s="14"/>
      <c r="I70" s="14">
        <f t="shared" si="2"/>
        <v>2668116</v>
      </c>
      <c r="J70" s="189"/>
    </row>
    <row r="71" spans="2:10" ht="156.75" customHeight="1">
      <c r="B71" s="213"/>
      <c r="C71" s="213"/>
      <c r="D71" s="213"/>
      <c r="E71" s="223"/>
      <c r="F71" s="26" t="s">
        <v>110</v>
      </c>
      <c r="G71" s="14">
        <f>478990+10010+252570</f>
        <v>741570</v>
      </c>
      <c r="H71" s="14"/>
      <c r="I71" s="14">
        <f t="shared" si="2"/>
        <v>741570</v>
      </c>
      <c r="J71" s="189"/>
    </row>
    <row r="72" spans="2:10" ht="141.75" customHeight="1" hidden="1">
      <c r="B72" s="213"/>
      <c r="C72" s="213"/>
      <c r="D72" s="213"/>
      <c r="E72" s="223"/>
      <c r="F72" s="26" t="s">
        <v>113</v>
      </c>
      <c r="G72" s="14"/>
      <c r="H72" s="14"/>
      <c r="I72" s="14">
        <f t="shared" si="2"/>
        <v>0</v>
      </c>
      <c r="J72" s="189"/>
    </row>
    <row r="73" spans="2:10" ht="183.75" customHeight="1">
      <c r="B73" s="213"/>
      <c r="C73" s="213"/>
      <c r="D73" s="213"/>
      <c r="E73" s="99"/>
      <c r="F73" s="26" t="s">
        <v>98</v>
      </c>
      <c r="G73" s="14">
        <f>18005058+184040+21000+4920+150000+1022181.9+66000+5478703+38810+85000+61050-6143+236800+895341</f>
        <v>26242760.9</v>
      </c>
      <c r="H73" s="14"/>
      <c r="I73" s="14">
        <f t="shared" si="2"/>
        <v>26242760.9</v>
      </c>
      <c r="J73" s="189"/>
    </row>
    <row r="74" spans="2:10" ht="191.25" customHeight="1">
      <c r="B74" s="184"/>
      <c r="C74" s="184"/>
      <c r="D74" s="184"/>
      <c r="E74" s="100"/>
      <c r="F74" s="26" t="s">
        <v>49</v>
      </c>
      <c r="G74" s="14"/>
      <c r="H74" s="14">
        <f>7400000+419705+50000+1905000+20000+30000+650000+3281280+2500000+80000+77000+52000+4920+535000-120139+53000-4920+33000+766542+9900+30000-61050+150000+50000-150000+41839</f>
        <v>17803077</v>
      </c>
      <c r="I74" s="14">
        <f t="shared" si="2"/>
        <v>17803077</v>
      </c>
      <c r="J74" s="189"/>
    </row>
    <row r="75" spans="1:11" s="112" customFormat="1" ht="191.25" customHeight="1" hidden="1">
      <c r="A75" s="113"/>
      <c r="B75" s="95"/>
      <c r="C75" s="95"/>
      <c r="D75" s="95"/>
      <c r="E75" s="26"/>
      <c r="F75" s="26"/>
      <c r="G75" s="14"/>
      <c r="H75" s="14"/>
      <c r="I75" s="14">
        <f t="shared" si="2"/>
        <v>0</v>
      </c>
      <c r="J75" s="189"/>
      <c r="K75" s="60"/>
    </row>
    <row r="76" spans="1:11" s="112" customFormat="1" ht="189" customHeight="1">
      <c r="A76" s="113"/>
      <c r="B76" s="200" t="s">
        <v>233</v>
      </c>
      <c r="C76" s="200" t="s">
        <v>24</v>
      </c>
      <c r="D76" s="183" t="s">
        <v>50</v>
      </c>
      <c r="E76" s="192" t="s">
        <v>147</v>
      </c>
      <c r="F76" s="26" t="s">
        <v>115</v>
      </c>
      <c r="G76" s="14">
        <v>490</v>
      </c>
      <c r="H76" s="14"/>
      <c r="I76" s="14">
        <f t="shared" si="2"/>
        <v>490</v>
      </c>
      <c r="J76" s="189"/>
      <c r="K76" s="60"/>
    </row>
    <row r="77" spans="2:10" ht="269.25" customHeight="1">
      <c r="B77" s="206"/>
      <c r="C77" s="206"/>
      <c r="D77" s="213"/>
      <c r="E77" s="208"/>
      <c r="F77" s="26" t="s">
        <v>98</v>
      </c>
      <c r="G77" s="14">
        <f>119000+7435+18100</f>
        <v>144535</v>
      </c>
      <c r="H77" s="14"/>
      <c r="I77" s="14">
        <f t="shared" si="2"/>
        <v>144535</v>
      </c>
      <c r="J77" s="189"/>
    </row>
    <row r="78" spans="2:10" ht="207.75" customHeight="1">
      <c r="B78" s="201"/>
      <c r="C78" s="201"/>
      <c r="D78" s="184"/>
      <c r="E78" s="193"/>
      <c r="F78" s="26" t="s">
        <v>49</v>
      </c>
      <c r="G78" s="14"/>
      <c r="H78" s="14">
        <v>100000</v>
      </c>
      <c r="I78" s="14">
        <f t="shared" si="2"/>
        <v>100000</v>
      </c>
      <c r="J78" s="189"/>
    </row>
    <row r="79" spans="2:10" ht="195.75" customHeight="1">
      <c r="B79" s="200" t="s">
        <v>234</v>
      </c>
      <c r="C79" s="200" t="s">
        <v>8</v>
      </c>
      <c r="D79" s="183" t="s">
        <v>45</v>
      </c>
      <c r="E79" s="192" t="s">
        <v>148</v>
      </c>
      <c r="F79" s="26" t="s">
        <v>98</v>
      </c>
      <c r="G79" s="14">
        <f>448590+20000</f>
        <v>468590</v>
      </c>
      <c r="H79" s="14"/>
      <c r="I79" s="14">
        <f t="shared" si="2"/>
        <v>468590</v>
      </c>
      <c r="J79" s="189">
        <v>47</v>
      </c>
    </row>
    <row r="80" spans="2:10" ht="200.25" customHeight="1">
      <c r="B80" s="201"/>
      <c r="C80" s="201"/>
      <c r="D80" s="184"/>
      <c r="E80" s="193"/>
      <c r="F80" s="26" t="s">
        <v>49</v>
      </c>
      <c r="G80" s="14"/>
      <c r="H80" s="14">
        <f>400000+30000</f>
        <v>430000</v>
      </c>
      <c r="I80" s="14">
        <f t="shared" si="2"/>
        <v>430000</v>
      </c>
      <c r="J80" s="189"/>
    </row>
    <row r="81" spans="2:10" ht="68.25" customHeight="1">
      <c r="B81" s="30" t="s">
        <v>235</v>
      </c>
      <c r="C81" s="30" t="s">
        <v>149</v>
      </c>
      <c r="D81" s="27"/>
      <c r="E81" s="28" t="s">
        <v>150</v>
      </c>
      <c r="F81" s="26"/>
      <c r="G81" s="14">
        <f>G82+G83+G84</f>
        <v>361780</v>
      </c>
      <c r="H81" s="14">
        <f>H82+H83+H84</f>
        <v>287950</v>
      </c>
      <c r="I81" s="14">
        <f>I82+I83+I84</f>
        <v>649730</v>
      </c>
      <c r="J81" s="189"/>
    </row>
    <row r="82" spans="1:11" s="42" customFormat="1" ht="237" customHeight="1">
      <c r="A82" s="39"/>
      <c r="B82" s="198" t="s">
        <v>410</v>
      </c>
      <c r="C82" s="198" t="s">
        <v>406</v>
      </c>
      <c r="D82" s="187" t="s">
        <v>18</v>
      </c>
      <c r="E82" s="196" t="s">
        <v>408</v>
      </c>
      <c r="F82" s="41" t="s">
        <v>98</v>
      </c>
      <c r="G82" s="44">
        <f>217850+68130</f>
        <v>285980</v>
      </c>
      <c r="H82" s="44"/>
      <c r="I82" s="44">
        <f>G82+H82</f>
        <v>285980</v>
      </c>
      <c r="J82" s="189"/>
      <c r="K82" s="63"/>
    </row>
    <row r="83" spans="1:11" s="42" customFormat="1" ht="186" customHeight="1">
      <c r="A83" s="39"/>
      <c r="B83" s="199"/>
      <c r="C83" s="199"/>
      <c r="D83" s="202"/>
      <c r="E83" s="197"/>
      <c r="F83" s="41" t="s">
        <v>49</v>
      </c>
      <c r="G83" s="44"/>
      <c r="H83" s="44">
        <f>180000+107950</f>
        <v>287950</v>
      </c>
      <c r="I83" s="44">
        <f>G83+H83</f>
        <v>287950</v>
      </c>
      <c r="J83" s="189"/>
      <c r="K83" s="63"/>
    </row>
    <row r="84" spans="1:11" s="42" customFormat="1" ht="189" customHeight="1">
      <c r="A84" s="39"/>
      <c r="B84" s="150" t="s">
        <v>411</v>
      </c>
      <c r="C84" s="150" t="s">
        <v>407</v>
      </c>
      <c r="D84" s="149" t="s">
        <v>18</v>
      </c>
      <c r="E84" s="38" t="s">
        <v>409</v>
      </c>
      <c r="F84" s="41" t="s">
        <v>48</v>
      </c>
      <c r="G84" s="44">
        <v>75800</v>
      </c>
      <c r="H84" s="44"/>
      <c r="I84" s="44">
        <f>G84+H84</f>
        <v>75800</v>
      </c>
      <c r="J84" s="189"/>
      <c r="K84" s="63"/>
    </row>
    <row r="85" spans="2:10" ht="94.5" customHeight="1">
      <c r="B85" s="200" t="s">
        <v>236</v>
      </c>
      <c r="C85" s="200" t="s">
        <v>58</v>
      </c>
      <c r="D85" s="183" t="s">
        <v>9</v>
      </c>
      <c r="E85" s="192" t="s">
        <v>64</v>
      </c>
      <c r="F85" s="26" t="s">
        <v>36</v>
      </c>
      <c r="G85" s="14">
        <v>3245000</v>
      </c>
      <c r="H85" s="14"/>
      <c r="I85" s="14">
        <f t="shared" si="2"/>
        <v>3245000</v>
      </c>
      <c r="J85" s="189"/>
    </row>
    <row r="86" spans="2:10" ht="121.5" customHeight="1">
      <c r="B86" s="206"/>
      <c r="C86" s="206"/>
      <c r="D86" s="213"/>
      <c r="E86" s="208"/>
      <c r="F86" s="26" t="s">
        <v>34</v>
      </c>
      <c r="G86" s="14">
        <f>88000</f>
        <v>88000</v>
      </c>
      <c r="H86" s="14"/>
      <c r="I86" s="14">
        <f t="shared" si="2"/>
        <v>88000</v>
      </c>
      <c r="J86" s="189"/>
    </row>
    <row r="87" spans="2:10" ht="142.5" customHeight="1">
      <c r="B87" s="201"/>
      <c r="C87" s="201"/>
      <c r="D87" s="184"/>
      <c r="E87" s="193"/>
      <c r="F87" s="26" t="s">
        <v>115</v>
      </c>
      <c r="G87" s="14">
        <f>3667000</f>
        <v>3667000</v>
      </c>
      <c r="H87" s="14"/>
      <c r="I87" s="14">
        <f t="shared" si="2"/>
        <v>3667000</v>
      </c>
      <c r="J87" s="189"/>
    </row>
    <row r="88" spans="2:10" ht="73.5" customHeight="1">
      <c r="B88" s="30" t="s">
        <v>237</v>
      </c>
      <c r="C88" s="30" t="s">
        <v>103</v>
      </c>
      <c r="D88" s="27"/>
      <c r="E88" s="28" t="s">
        <v>109</v>
      </c>
      <c r="F88" s="26"/>
      <c r="G88" s="14">
        <f>G89</f>
        <v>4620830</v>
      </c>
      <c r="H88" s="14">
        <f>H89</f>
        <v>100000</v>
      </c>
      <c r="I88" s="14">
        <f>I89</f>
        <v>4720830</v>
      </c>
      <c r="J88" s="189"/>
    </row>
    <row r="89" spans="1:11" s="42" customFormat="1" ht="114" customHeight="1">
      <c r="A89" s="39"/>
      <c r="B89" s="40" t="s">
        <v>238</v>
      </c>
      <c r="C89" s="40" t="s">
        <v>104</v>
      </c>
      <c r="D89" s="40" t="s">
        <v>12</v>
      </c>
      <c r="E89" s="38" t="s">
        <v>66</v>
      </c>
      <c r="F89" s="38" t="s">
        <v>37</v>
      </c>
      <c r="G89" s="44">
        <f>4481090+123000+11740+5000</f>
        <v>4620830</v>
      </c>
      <c r="H89" s="44">
        <v>100000</v>
      </c>
      <c r="I89" s="44">
        <f>G89+H89</f>
        <v>4720830</v>
      </c>
      <c r="J89" s="189"/>
      <c r="K89" s="63"/>
    </row>
    <row r="90" spans="1:11" s="8" customFormat="1" ht="75" customHeight="1">
      <c r="A90" s="1"/>
      <c r="B90" s="27" t="s">
        <v>443</v>
      </c>
      <c r="C90" s="27" t="s">
        <v>445</v>
      </c>
      <c r="D90" s="27"/>
      <c r="E90" s="28" t="s">
        <v>447</v>
      </c>
      <c r="F90" s="28"/>
      <c r="G90" s="14">
        <f>G91+G92</f>
        <v>0</v>
      </c>
      <c r="H90" s="14">
        <f>H91+H92</f>
        <v>4632932.82</v>
      </c>
      <c r="I90" s="14">
        <f>I91+I92</f>
        <v>4632932.82</v>
      </c>
      <c r="J90" s="189"/>
      <c r="K90" s="60"/>
    </row>
    <row r="91" spans="1:11" s="42" customFormat="1" ht="198" customHeight="1">
      <c r="A91" s="39"/>
      <c r="B91" s="187" t="s">
        <v>444</v>
      </c>
      <c r="C91" s="187" t="s">
        <v>446</v>
      </c>
      <c r="D91" s="187" t="s">
        <v>6</v>
      </c>
      <c r="E91" s="196" t="s">
        <v>448</v>
      </c>
      <c r="F91" s="41" t="s">
        <v>49</v>
      </c>
      <c r="G91" s="44"/>
      <c r="H91" s="44">
        <f>150059.99+4265007.03-18721.57+211702.2+3761</f>
        <v>4611808.65</v>
      </c>
      <c r="I91" s="44">
        <f aca="true" t="shared" si="3" ref="I91:I96">G91+H91</f>
        <v>4611808.65</v>
      </c>
      <c r="J91" s="189">
        <v>48</v>
      </c>
      <c r="K91" s="63"/>
    </row>
    <row r="92" spans="1:11" s="42" customFormat="1" ht="159" customHeight="1">
      <c r="A92" s="39"/>
      <c r="B92" s="202"/>
      <c r="C92" s="202"/>
      <c r="D92" s="202"/>
      <c r="E92" s="197"/>
      <c r="F92" s="41" t="s">
        <v>116</v>
      </c>
      <c r="G92" s="44"/>
      <c r="H92" s="44">
        <f>18721.57+2402.6</f>
        <v>21124.17</v>
      </c>
      <c r="I92" s="44">
        <f t="shared" si="3"/>
        <v>21124.17</v>
      </c>
      <c r="J92" s="189"/>
      <c r="K92" s="63"/>
    </row>
    <row r="93" spans="1:11" s="49" customFormat="1" ht="138" customHeight="1">
      <c r="A93" s="48"/>
      <c r="B93" s="27" t="s">
        <v>239</v>
      </c>
      <c r="C93" s="27" t="s">
        <v>144</v>
      </c>
      <c r="D93" s="27" t="s">
        <v>30</v>
      </c>
      <c r="E93" s="28" t="s">
        <v>76</v>
      </c>
      <c r="F93" s="26" t="s">
        <v>116</v>
      </c>
      <c r="G93" s="14">
        <v>790500</v>
      </c>
      <c r="H93" s="14">
        <f>11768000+900000+283419</f>
        <v>12951419</v>
      </c>
      <c r="I93" s="14">
        <f t="shared" si="3"/>
        <v>13741919</v>
      </c>
      <c r="J93" s="189"/>
      <c r="K93" s="66"/>
    </row>
    <row r="94" spans="2:10" ht="165" customHeight="1">
      <c r="B94" s="30" t="s">
        <v>240</v>
      </c>
      <c r="C94" s="30" t="s">
        <v>133</v>
      </c>
      <c r="D94" s="27" t="s">
        <v>14</v>
      </c>
      <c r="E94" s="28" t="s">
        <v>134</v>
      </c>
      <c r="F94" s="28" t="s">
        <v>117</v>
      </c>
      <c r="G94" s="14"/>
      <c r="H94" s="14">
        <f>385000+11400</f>
        <v>396400</v>
      </c>
      <c r="I94" s="14">
        <f t="shared" si="3"/>
        <v>396400</v>
      </c>
      <c r="J94" s="189"/>
    </row>
    <row r="95" spans="2:10" ht="159" customHeight="1">
      <c r="B95" s="183" t="s">
        <v>442</v>
      </c>
      <c r="C95" s="183" t="s">
        <v>440</v>
      </c>
      <c r="D95" s="183" t="s">
        <v>31</v>
      </c>
      <c r="E95" s="185" t="s">
        <v>441</v>
      </c>
      <c r="F95" s="26" t="s">
        <v>115</v>
      </c>
      <c r="G95" s="14">
        <v>85500</v>
      </c>
      <c r="H95" s="14"/>
      <c r="I95" s="14">
        <f t="shared" si="3"/>
        <v>85500</v>
      </c>
      <c r="J95" s="189"/>
    </row>
    <row r="96" spans="2:10" ht="159" customHeight="1">
      <c r="B96" s="184"/>
      <c r="C96" s="184"/>
      <c r="D96" s="184"/>
      <c r="E96" s="186"/>
      <c r="F96" s="123" t="s">
        <v>372</v>
      </c>
      <c r="G96" s="162"/>
      <c r="H96" s="14">
        <v>2000000</v>
      </c>
      <c r="I96" s="14">
        <f t="shared" si="3"/>
        <v>2000000</v>
      </c>
      <c r="J96" s="189"/>
    </row>
    <row r="97" spans="2:11" ht="97.5" customHeight="1">
      <c r="B97" s="27"/>
      <c r="C97" s="27"/>
      <c r="D97" s="27"/>
      <c r="E97" s="51" t="s">
        <v>241</v>
      </c>
      <c r="F97" s="28"/>
      <c r="G97" s="70">
        <f>G98+G99+G101+G102+G103+G105+G106+G107+G118+G100+G113+G116+G104+G119</f>
        <v>5764529</v>
      </c>
      <c r="H97" s="70">
        <f>H98+H99+H101+H102+H103+H105+H106+H107+H118+H100+H113+H116+H104</f>
        <v>43680368.6</v>
      </c>
      <c r="I97" s="70">
        <f>I98+I99+I101+I102+I103+I105+I106+I107+I118+I100+I113+I116+I104+I119</f>
        <v>49444897.6</v>
      </c>
      <c r="J97" s="189"/>
      <c r="K97" s="64"/>
    </row>
    <row r="98" spans="2:10" ht="144.75" customHeight="1">
      <c r="B98" s="95" t="s">
        <v>242</v>
      </c>
      <c r="C98" s="95" t="s">
        <v>121</v>
      </c>
      <c r="D98" s="95" t="s">
        <v>2</v>
      </c>
      <c r="E98" s="97" t="s">
        <v>122</v>
      </c>
      <c r="F98" s="26" t="s">
        <v>53</v>
      </c>
      <c r="G98" s="14">
        <v>5000</v>
      </c>
      <c r="H98" s="70"/>
      <c r="I98" s="14">
        <f>G98+H98</f>
        <v>5000</v>
      </c>
      <c r="J98" s="189"/>
    </row>
    <row r="99" spans="2:10" ht="246.75" customHeight="1">
      <c r="B99" s="200" t="s">
        <v>243</v>
      </c>
      <c r="C99" s="200" t="s">
        <v>57</v>
      </c>
      <c r="D99" s="183" t="s">
        <v>21</v>
      </c>
      <c r="E99" s="192" t="s">
        <v>70</v>
      </c>
      <c r="F99" s="29" t="s">
        <v>484</v>
      </c>
      <c r="G99" s="14">
        <f>900000+75790</f>
        <v>975790</v>
      </c>
      <c r="H99" s="14">
        <f>20000000+5500000+15000+7000+160000+1302000+214800+12000+181429+15000+950000+144000</f>
        <v>28501229</v>
      </c>
      <c r="I99" s="14">
        <f aca="true" t="shared" si="4" ref="I99:I106">G99+H99</f>
        <v>29477019</v>
      </c>
      <c r="J99" s="189"/>
    </row>
    <row r="100" spans="2:10" ht="165.75" customHeight="1">
      <c r="B100" s="206"/>
      <c r="C100" s="206"/>
      <c r="D100" s="213"/>
      <c r="E100" s="208"/>
      <c r="F100" s="26" t="s">
        <v>110</v>
      </c>
      <c r="G100" s="14">
        <f>108000+108000</f>
        <v>216000</v>
      </c>
      <c r="H100" s="14">
        <v>350000</v>
      </c>
      <c r="I100" s="14">
        <f>G100+H100</f>
        <v>566000</v>
      </c>
      <c r="J100" s="189"/>
    </row>
    <row r="101" spans="2:10" ht="141.75" customHeight="1">
      <c r="B101" s="201"/>
      <c r="C101" s="201"/>
      <c r="D101" s="184"/>
      <c r="E101" s="193"/>
      <c r="F101" s="29" t="s">
        <v>115</v>
      </c>
      <c r="G101" s="14">
        <f>392515-19200-201391</f>
        <v>171924</v>
      </c>
      <c r="H101" s="14"/>
      <c r="I101" s="14">
        <f t="shared" si="4"/>
        <v>171924</v>
      </c>
      <c r="J101" s="189"/>
    </row>
    <row r="102" spans="2:10" ht="240.75" customHeight="1" hidden="1">
      <c r="B102" s="200" t="s">
        <v>244</v>
      </c>
      <c r="C102" s="200" t="s">
        <v>137</v>
      </c>
      <c r="D102" s="183" t="s">
        <v>22</v>
      </c>
      <c r="E102" s="192" t="s">
        <v>138</v>
      </c>
      <c r="F102" s="29" t="s">
        <v>429</v>
      </c>
      <c r="G102" s="14"/>
      <c r="H102" s="14"/>
      <c r="I102" s="14">
        <f t="shared" si="4"/>
        <v>0</v>
      </c>
      <c r="J102" s="163"/>
    </row>
    <row r="103" spans="2:10" ht="153.75" customHeight="1">
      <c r="B103" s="206"/>
      <c r="C103" s="206"/>
      <c r="D103" s="213"/>
      <c r="E103" s="208"/>
      <c r="F103" s="29" t="s">
        <v>115</v>
      </c>
      <c r="G103" s="14">
        <f>5050</f>
        <v>5050</v>
      </c>
      <c r="H103" s="14"/>
      <c r="I103" s="14">
        <f t="shared" si="4"/>
        <v>5050</v>
      </c>
      <c r="J103" s="189">
        <v>49</v>
      </c>
    </row>
    <row r="104" spans="2:10" ht="234.75" customHeight="1">
      <c r="B104" s="201"/>
      <c r="C104" s="201"/>
      <c r="D104" s="184"/>
      <c r="E104" s="193"/>
      <c r="F104" s="29" t="s">
        <v>484</v>
      </c>
      <c r="G104" s="14">
        <v>80000</v>
      </c>
      <c r="H104" s="14">
        <f>15000+115000</f>
        <v>130000</v>
      </c>
      <c r="I104" s="14">
        <f t="shared" si="4"/>
        <v>210000</v>
      </c>
      <c r="J104" s="189"/>
    </row>
    <row r="105" spans="2:10" ht="231.75" customHeight="1" hidden="1">
      <c r="B105" s="200" t="s">
        <v>245</v>
      </c>
      <c r="C105" s="200" t="s">
        <v>139</v>
      </c>
      <c r="D105" s="183" t="s">
        <v>23</v>
      </c>
      <c r="E105" s="192" t="s">
        <v>140</v>
      </c>
      <c r="F105" s="29" t="s">
        <v>429</v>
      </c>
      <c r="G105" s="14"/>
      <c r="H105" s="14"/>
      <c r="I105" s="14">
        <f t="shared" si="4"/>
        <v>0</v>
      </c>
      <c r="J105" s="189"/>
    </row>
    <row r="106" spans="2:10" ht="156.75" customHeight="1">
      <c r="B106" s="201"/>
      <c r="C106" s="201"/>
      <c r="D106" s="184"/>
      <c r="E106" s="193"/>
      <c r="F106" s="29" t="s">
        <v>115</v>
      </c>
      <c r="G106" s="14">
        <f>99000-96000</f>
        <v>3000</v>
      </c>
      <c r="H106" s="14"/>
      <c r="I106" s="14">
        <f t="shared" si="4"/>
        <v>3000</v>
      </c>
      <c r="J106" s="189"/>
    </row>
    <row r="107" spans="2:10" ht="60.75" customHeight="1">
      <c r="B107" s="30" t="s">
        <v>246</v>
      </c>
      <c r="C107" s="30" t="s">
        <v>143</v>
      </c>
      <c r="D107" s="27"/>
      <c r="E107" s="28" t="s">
        <v>414</v>
      </c>
      <c r="F107" s="29"/>
      <c r="G107" s="14">
        <f>G108+G109+G111+G112+G110</f>
        <v>287061</v>
      </c>
      <c r="H107" s="14">
        <f>H108+H109+H111+H112+H110</f>
        <v>69600</v>
      </c>
      <c r="I107" s="14">
        <f>I108+I109+I111+I112+I110</f>
        <v>356661</v>
      </c>
      <c r="J107" s="189"/>
    </row>
    <row r="108" spans="1:11" s="42" customFormat="1" ht="231.75" customHeight="1" hidden="1">
      <c r="A108" s="39"/>
      <c r="B108" s="198" t="s">
        <v>247</v>
      </c>
      <c r="C108" s="198" t="s">
        <v>141</v>
      </c>
      <c r="D108" s="187" t="s">
        <v>420</v>
      </c>
      <c r="E108" s="196" t="s">
        <v>142</v>
      </c>
      <c r="F108" s="43" t="s">
        <v>429</v>
      </c>
      <c r="G108" s="44"/>
      <c r="H108" s="44"/>
      <c r="I108" s="44">
        <f>G108+H108</f>
        <v>0</v>
      </c>
      <c r="J108" s="189"/>
      <c r="K108" s="63"/>
    </row>
    <row r="109" spans="1:11" s="42" customFormat="1" ht="159.75" customHeight="1">
      <c r="A109" s="39"/>
      <c r="B109" s="216"/>
      <c r="C109" s="216"/>
      <c r="D109" s="214"/>
      <c r="E109" s="215"/>
      <c r="F109" s="43" t="s">
        <v>115</v>
      </c>
      <c r="G109" s="44">
        <v>65670</v>
      </c>
      <c r="H109" s="44"/>
      <c r="I109" s="44">
        <f>G109+H109</f>
        <v>65670</v>
      </c>
      <c r="J109" s="189"/>
      <c r="K109" s="63"/>
    </row>
    <row r="110" spans="1:11" s="42" customFormat="1" ht="261.75" customHeight="1">
      <c r="A110" s="39"/>
      <c r="B110" s="199"/>
      <c r="C110" s="199"/>
      <c r="D110" s="202"/>
      <c r="E110" s="197"/>
      <c r="F110" s="43" t="s">
        <v>484</v>
      </c>
      <c r="G110" s="44"/>
      <c r="H110" s="44">
        <v>35000</v>
      </c>
      <c r="I110" s="44">
        <f>G110+H110</f>
        <v>35000</v>
      </c>
      <c r="J110" s="189"/>
      <c r="K110" s="63"/>
    </row>
    <row r="111" spans="1:11" s="42" customFormat="1" ht="159.75" customHeight="1">
      <c r="A111" s="39"/>
      <c r="B111" s="198" t="s">
        <v>435</v>
      </c>
      <c r="C111" s="198" t="s">
        <v>436</v>
      </c>
      <c r="D111" s="198" t="s">
        <v>437</v>
      </c>
      <c r="E111" s="194" t="s">
        <v>438</v>
      </c>
      <c r="F111" s="43" t="s">
        <v>115</v>
      </c>
      <c r="G111" s="44">
        <v>201391</v>
      </c>
      <c r="H111" s="44"/>
      <c r="I111" s="44">
        <f>G111+H111</f>
        <v>201391</v>
      </c>
      <c r="J111" s="189"/>
      <c r="K111" s="63"/>
    </row>
    <row r="112" spans="1:11" s="42" customFormat="1" ht="253.5" customHeight="1">
      <c r="A112" s="39"/>
      <c r="B112" s="199"/>
      <c r="C112" s="199"/>
      <c r="D112" s="199"/>
      <c r="E112" s="195"/>
      <c r="F112" s="43" t="s">
        <v>484</v>
      </c>
      <c r="G112" s="44">
        <v>20000</v>
      </c>
      <c r="H112" s="44">
        <f>22600+12000</f>
        <v>34600</v>
      </c>
      <c r="I112" s="44">
        <f>G112+H112</f>
        <v>54600</v>
      </c>
      <c r="J112" s="189"/>
      <c r="K112" s="63"/>
    </row>
    <row r="113" spans="1:11" s="8" customFormat="1" ht="93.75" customHeight="1">
      <c r="A113" s="1"/>
      <c r="B113" s="30" t="s">
        <v>427</v>
      </c>
      <c r="C113" s="30" t="s">
        <v>422</v>
      </c>
      <c r="D113" s="30"/>
      <c r="E113" s="106" t="s">
        <v>423</v>
      </c>
      <c r="F113" s="29"/>
      <c r="G113" s="14">
        <f>G114+G115</f>
        <v>3208704</v>
      </c>
      <c r="H113" s="14">
        <f>H114+H115</f>
        <v>3406496</v>
      </c>
      <c r="I113" s="14">
        <f>I114+I115</f>
        <v>6615200</v>
      </c>
      <c r="J113" s="189"/>
      <c r="K113" s="60"/>
    </row>
    <row r="114" spans="1:11" s="42" customFormat="1" ht="144.75" customHeight="1">
      <c r="A114" s="39"/>
      <c r="B114" s="198" t="s">
        <v>428</v>
      </c>
      <c r="C114" s="198" t="s">
        <v>424</v>
      </c>
      <c r="D114" s="198" t="s">
        <v>425</v>
      </c>
      <c r="E114" s="198" t="s">
        <v>426</v>
      </c>
      <c r="F114" s="43" t="s">
        <v>115</v>
      </c>
      <c r="G114" s="44">
        <v>115200</v>
      </c>
      <c r="H114" s="44"/>
      <c r="I114" s="44">
        <f>G114+H114</f>
        <v>115200</v>
      </c>
      <c r="J114" s="189"/>
      <c r="K114" s="63"/>
    </row>
    <row r="115" spans="1:11" s="42" customFormat="1" ht="234" customHeight="1">
      <c r="A115" s="39"/>
      <c r="B115" s="199"/>
      <c r="C115" s="199"/>
      <c r="D115" s="199"/>
      <c r="E115" s="199"/>
      <c r="F115" s="43" t="s">
        <v>484</v>
      </c>
      <c r="G115" s="44">
        <v>3093504</v>
      </c>
      <c r="H115" s="44">
        <v>3406496</v>
      </c>
      <c r="I115" s="44">
        <f>G115+H115</f>
        <v>6500000</v>
      </c>
      <c r="J115" s="189"/>
      <c r="K115" s="63"/>
    </row>
    <row r="116" spans="1:11" s="8" customFormat="1" ht="90.75" customHeight="1">
      <c r="A116" s="1"/>
      <c r="B116" s="27" t="s">
        <v>449</v>
      </c>
      <c r="C116" s="27" t="s">
        <v>445</v>
      </c>
      <c r="D116" s="27"/>
      <c r="E116" s="28" t="s">
        <v>447</v>
      </c>
      <c r="F116" s="28"/>
      <c r="G116" s="14">
        <f>G117</f>
        <v>0</v>
      </c>
      <c r="H116" s="14">
        <f>H117</f>
        <v>1376043.5999999999</v>
      </c>
      <c r="I116" s="14">
        <f>I117</f>
        <v>1376043.5999999999</v>
      </c>
      <c r="J116" s="189"/>
      <c r="K116" s="60"/>
    </row>
    <row r="117" spans="1:11" s="42" customFormat="1" ht="231.75" customHeight="1">
      <c r="A117" s="39"/>
      <c r="B117" s="40" t="s">
        <v>450</v>
      </c>
      <c r="C117" s="40" t="s">
        <v>446</v>
      </c>
      <c r="D117" s="40" t="s">
        <v>6</v>
      </c>
      <c r="E117" s="38" t="s">
        <v>448</v>
      </c>
      <c r="F117" s="29" t="s">
        <v>429</v>
      </c>
      <c r="G117" s="44"/>
      <c r="H117" s="44">
        <f>40078.94+1335964.66</f>
        <v>1376043.5999999999</v>
      </c>
      <c r="I117" s="44">
        <f>G117+H117</f>
        <v>1376043.5999999999</v>
      </c>
      <c r="J117" s="189">
        <v>50</v>
      </c>
      <c r="K117" s="63"/>
    </row>
    <row r="118" spans="2:10" ht="135.75" customHeight="1">
      <c r="B118" s="27" t="s">
        <v>248</v>
      </c>
      <c r="C118" s="27" t="s">
        <v>144</v>
      </c>
      <c r="D118" s="27" t="s">
        <v>30</v>
      </c>
      <c r="E118" s="28" t="s">
        <v>76</v>
      </c>
      <c r="F118" s="26" t="s">
        <v>116</v>
      </c>
      <c r="G118" s="14">
        <f>420000+48000+300000+12000+12000</f>
        <v>792000</v>
      </c>
      <c r="H118" s="14">
        <f>6847000+3000000</f>
        <v>9847000</v>
      </c>
      <c r="I118" s="14">
        <f>G118+H118</f>
        <v>10639000</v>
      </c>
      <c r="J118" s="189"/>
    </row>
    <row r="119" spans="2:10" ht="144" customHeight="1">
      <c r="B119" s="27" t="s">
        <v>494</v>
      </c>
      <c r="C119" s="27" t="s">
        <v>131</v>
      </c>
      <c r="D119" s="27" t="s">
        <v>495</v>
      </c>
      <c r="E119" s="167" t="s">
        <v>132</v>
      </c>
      <c r="F119" s="123" t="s">
        <v>372</v>
      </c>
      <c r="G119" s="14">
        <v>20000</v>
      </c>
      <c r="H119" s="14"/>
      <c r="I119" s="14">
        <f>G119+H119</f>
        <v>20000</v>
      </c>
      <c r="J119" s="189"/>
    </row>
    <row r="120" spans="2:11" ht="114" customHeight="1">
      <c r="B120" s="27"/>
      <c r="C120" s="27"/>
      <c r="D120" s="27"/>
      <c r="E120" s="51" t="s">
        <v>249</v>
      </c>
      <c r="F120" s="26"/>
      <c r="G120" s="70">
        <f>G121+G122+G128+G129+G131+G132+G133+G137+G138+G139+G142+G143+G144</f>
        <v>90381698.7</v>
      </c>
      <c r="H120" s="70">
        <f>H121+H122+H128+H129+H131+H132+H133+H137+H138+H139+H142+H143+H144</f>
        <v>289000</v>
      </c>
      <c r="I120" s="70">
        <f>I121+I122+I128+I129+I131+I132+I133+I137+I138+I139+I142+I143+I144</f>
        <v>90670698.7</v>
      </c>
      <c r="J120" s="189"/>
      <c r="K120" s="64"/>
    </row>
    <row r="121" spans="1:10" ht="143.25" customHeight="1">
      <c r="A121" s="89"/>
      <c r="B121" s="95" t="s">
        <v>250</v>
      </c>
      <c r="C121" s="95" t="s">
        <v>121</v>
      </c>
      <c r="D121" s="84" t="s">
        <v>2</v>
      </c>
      <c r="E121" s="97" t="s">
        <v>122</v>
      </c>
      <c r="F121" s="28" t="s">
        <v>53</v>
      </c>
      <c r="G121" s="14">
        <v>50000</v>
      </c>
      <c r="H121" s="14"/>
      <c r="I121" s="14">
        <f>G121+H121</f>
        <v>50000</v>
      </c>
      <c r="J121" s="189"/>
    </row>
    <row r="122" spans="1:10" ht="184.5" customHeight="1">
      <c r="A122" s="89"/>
      <c r="B122" s="95" t="s">
        <v>251</v>
      </c>
      <c r="C122" s="95" t="s">
        <v>84</v>
      </c>
      <c r="D122" s="103"/>
      <c r="E122" s="97" t="s">
        <v>123</v>
      </c>
      <c r="F122" s="85"/>
      <c r="G122" s="83">
        <f>G123+G124+G125+G126+G127</f>
        <v>50572926</v>
      </c>
      <c r="H122" s="83">
        <f>H123+H124+H125+H126+H127</f>
        <v>214000</v>
      </c>
      <c r="I122" s="83">
        <f>I123+I124+I125+I126+I127</f>
        <v>50786926</v>
      </c>
      <c r="J122" s="189"/>
    </row>
    <row r="123" spans="1:11" s="47" customFormat="1" ht="115.5" customHeight="1">
      <c r="A123" s="90"/>
      <c r="B123" s="88" t="s">
        <v>252</v>
      </c>
      <c r="C123" s="88" t="s">
        <v>59</v>
      </c>
      <c r="D123" s="104">
        <v>1030</v>
      </c>
      <c r="E123" s="101" t="s">
        <v>169</v>
      </c>
      <c r="F123" s="86" t="s">
        <v>34</v>
      </c>
      <c r="G123" s="87">
        <v>371502</v>
      </c>
      <c r="H123" s="87">
        <v>214000</v>
      </c>
      <c r="I123" s="87">
        <f aca="true" t="shared" si="5" ref="I123:I128">G123+H123</f>
        <v>585502</v>
      </c>
      <c r="J123" s="189"/>
      <c r="K123" s="67"/>
    </row>
    <row r="124" spans="1:11" s="42" customFormat="1" ht="102.75" customHeight="1">
      <c r="A124" s="91"/>
      <c r="B124" s="40" t="s">
        <v>253</v>
      </c>
      <c r="C124" s="40" t="s">
        <v>170</v>
      </c>
      <c r="D124" s="105">
        <v>1070</v>
      </c>
      <c r="E124" s="38" t="s">
        <v>72</v>
      </c>
      <c r="F124" s="38" t="s">
        <v>34</v>
      </c>
      <c r="G124" s="44">
        <v>1541402</v>
      </c>
      <c r="H124" s="44"/>
      <c r="I124" s="87">
        <f t="shared" si="5"/>
        <v>1541402</v>
      </c>
      <c r="J124" s="189"/>
      <c r="K124" s="63"/>
    </row>
    <row r="125" spans="1:11" s="42" customFormat="1" ht="147.75" customHeight="1">
      <c r="A125" s="91"/>
      <c r="B125" s="40" t="s">
        <v>254</v>
      </c>
      <c r="C125" s="40" t="s">
        <v>60</v>
      </c>
      <c r="D125" s="40" t="s">
        <v>24</v>
      </c>
      <c r="E125" s="38" t="s">
        <v>52</v>
      </c>
      <c r="F125" s="38" t="s">
        <v>34</v>
      </c>
      <c r="G125" s="44">
        <f>9466596+4000000</f>
        <v>13466596</v>
      </c>
      <c r="H125" s="44"/>
      <c r="I125" s="87">
        <f t="shared" si="5"/>
        <v>13466596</v>
      </c>
      <c r="J125" s="189"/>
      <c r="K125" s="63"/>
    </row>
    <row r="126" spans="1:11" s="42" customFormat="1" ht="108.75" customHeight="1">
      <c r="A126" s="91"/>
      <c r="B126" s="40" t="s">
        <v>255</v>
      </c>
      <c r="C126" s="40" t="s">
        <v>91</v>
      </c>
      <c r="D126" s="40" t="s">
        <v>24</v>
      </c>
      <c r="E126" s="38" t="s">
        <v>112</v>
      </c>
      <c r="F126" s="38" t="s">
        <v>34</v>
      </c>
      <c r="G126" s="44">
        <f>1000000+1000000</f>
        <v>2000000</v>
      </c>
      <c r="H126" s="44"/>
      <c r="I126" s="87">
        <f t="shared" si="5"/>
        <v>2000000</v>
      </c>
      <c r="J126" s="189"/>
      <c r="K126" s="63"/>
    </row>
    <row r="127" spans="1:11" s="42" customFormat="1" ht="129.75" customHeight="1">
      <c r="A127" s="91"/>
      <c r="B127" s="40" t="s">
        <v>256</v>
      </c>
      <c r="C127" s="40" t="s">
        <v>124</v>
      </c>
      <c r="D127" s="40" t="s">
        <v>24</v>
      </c>
      <c r="E127" s="38" t="s">
        <v>27</v>
      </c>
      <c r="F127" s="38" t="s">
        <v>34</v>
      </c>
      <c r="G127" s="44">
        <f>27193426+6000000</f>
        <v>33193426</v>
      </c>
      <c r="H127" s="44"/>
      <c r="I127" s="87">
        <f t="shared" si="5"/>
        <v>33193426</v>
      </c>
      <c r="J127" s="189"/>
      <c r="K127" s="63"/>
    </row>
    <row r="128" spans="1:10" ht="94.5" customHeight="1" hidden="1">
      <c r="A128" s="89"/>
      <c r="B128" s="27" t="s">
        <v>257</v>
      </c>
      <c r="C128" s="102">
        <v>3050</v>
      </c>
      <c r="D128" s="102">
        <v>1070</v>
      </c>
      <c r="E128" s="28" t="s">
        <v>71</v>
      </c>
      <c r="F128" s="28" t="s">
        <v>34</v>
      </c>
      <c r="G128" s="14">
        <f>578335-578335</f>
        <v>0</v>
      </c>
      <c r="H128" s="14"/>
      <c r="I128" s="14">
        <f t="shared" si="5"/>
        <v>0</v>
      </c>
      <c r="J128" s="189"/>
    </row>
    <row r="129" spans="1:10" ht="169.5" customHeight="1">
      <c r="A129" s="89"/>
      <c r="B129" s="27" t="s">
        <v>258</v>
      </c>
      <c r="C129" s="102">
        <v>3100</v>
      </c>
      <c r="D129" s="102"/>
      <c r="E129" s="28" t="s">
        <v>390</v>
      </c>
      <c r="F129" s="28"/>
      <c r="G129" s="14">
        <f>G130</f>
        <v>198348</v>
      </c>
      <c r="H129" s="14">
        <f>H130</f>
        <v>0</v>
      </c>
      <c r="I129" s="14">
        <f>I130</f>
        <v>198348</v>
      </c>
      <c r="J129" s="189"/>
    </row>
    <row r="130" spans="1:10" ht="192" customHeight="1">
      <c r="A130" s="89"/>
      <c r="B130" s="40" t="s">
        <v>259</v>
      </c>
      <c r="C130" s="40" t="s">
        <v>61</v>
      </c>
      <c r="D130" s="40" t="s">
        <v>51</v>
      </c>
      <c r="E130" s="38" t="s">
        <v>74</v>
      </c>
      <c r="F130" s="38" t="s">
        <v>34</v>
      </c>
      <c r="G130" s="44">
        <f>197132+1216</f>
        <v>198348</v>
      </c>
      <c r="H130" s="44"/>
      <c r="I130" s="44">
        <f>G130+H130</f>
        <v>198348</v>
      </c>
      <c r="J130" s="189"/>
    </row>
    <row r="131" spans="1:10" ht="130.5" customHeight="1">
      <c r="A131" s="89"/>
      <c r="B131" s="183" t="s">
        <v>260</v>
      </c>
      <c r="C131" s="183" t="s">
        <v>171</v>
      </c>
      <c r="D131" s="183" t="s">
        <v>5</v>
      </c>
      <c r="E131" s="192" t="s">
        <v>413</v>
      </c>
      <c r="F131" s="28" t="s">
        <v>34</v>
      </c>
      <c r="G131" s="14">
        <f>1135400</f>
        <v>1135400</v>
      </c>
      <c r="H131" s="14"/>
      <c r="I131" s="14">
        <f>G131+H131</f>
        <v>1135400</v>
      </c>
      <c r="J131" s="189">
        <v>51</v>
      </c>
    </row>
    <row r="132" spans="1:10" ht="142.5" customHeight="1">
      <c r="A132" s="89"/>
      <c r="B132" s="184"/>
      <c r="C132" s="184"/>
      <c r="D132" s="184"/>
      <c r="E132" s="193"/>
      <c r="F132" s="28" t="s">
        <v>115</v>
      </c>
      <c r="G132" s="14">
        <f>107091+39900</f>
        <v>146991</v>
      </c>
      <c r="H132" s="14"/>
      <c r="I132" s="14">
        <f>G132+H132</f>
        <v>146991</v>
      </c>
      <c r="J132" s="189"/>
    </row>
    <row r="133" spans="1:10" ht="73.5" customHeight="1">
      <c r="A133" s="89"/>
      <c r="B133" s="27" t="s">
        <v>261</v>
      </c>
      <c r="C133" s="27" t="s">
        <v>62</v>
      </c>
      <c r="D133" s="27"/>
      <c r="E133" s="28" t="s">
        <v>93</v>
      </c>
      <c r="F133" s="28"/>
      <c r="G133" s="14">
        <f>G134+G135+G136</f>
        <v>3209214</v>
      </c>
      <c r="H133" s="14">
        <f>H134+H135+H136</f>
        <v>0</v>
      </c>
      <c r="I133" s="14">
        <f>I134+I135+I136</f>
        <v>3209214</v>
      </c>
      <c r="J133" s="189"/>
    </row>
    <row r="134" spans="1:11" s="42" customFormat="1" ht="109.5" customHeight="1">
      <c r="A134" s="91"/>
      <c r="B134" s="187" t="s">
        <v>391</v>
      </c>
      <c r="C134" s="187" t="s">
        <v>421</v>
      </c>
      <c r="D134" s="187" t="s">
        <v>26</v>
      </c>
      <c r="E134" s="196" t="s">
        <v>25</v>
      </c>
      <c r="F134" s="38" t="s">
        <v>34</v>
      </c>
      <c r="G134" s="44">
        <f>799636-10378+22407+188780</f>
        <v>1000445</v>
      </c>
      <c r="H134" s="44"/>
      <c r="I134" s="44">
        <f aca="true" t="shared" si="6" ref="I134:I144">G134+H134</f>
        <v>1000445</v>
      </c>
      <c r="J134" s="189"/>
      <c r="K134" s="63"/>
    </row>
    <row r="135" spans="1:11" s="42" customFormat="1" ht="151.5" customHeight="1">
      <c r="A135" s="91"/>
      <c r="B135" s="202"/>
      <c r="C135" s="202"/>
      <c r="D135" s="202"/>
      <c r="E135" s="197"/>
      <c r="F135" s="38" t="s">
        <v>115</v>
      </c>
      <c r="G135" s="44">
        <v>936669</v>
      </c>
      <c r="H135" s="44"/>
      <c r="I135" s="44">
        <f t="shared" si="6"/>
        <v>936669</v>
      </c>
      <c r="J135" s="189"/>
      <c r="K135" s="63"/>
    </row>
    <row r="136" spans="1:11" s="42" customFormat="1" ht="151.5" customHeight="1">
      <c r="A136" s="91"/>
      <c r="B136" s="40" t="s">
        <v>392</v>
      </c>
      <c r="C136" s="40" t="s">
        <v>394</v>
      </c>
      <c r="D136" s="40" t="s">
        <v>26</v>
      </c>
      <c r="E136" s="38" t="s">
        <v>393</v>
      </c>
      <c r="F136" s="38" t="s">
        <v>34</v>
      </c>
      <c r="G136" s="44">
        <f>1192100+80000</f>
        <v>1272100</v>
      </c>
      <c r="H136" s="44"/>
      <c r="I136" s="44">
        <f t="shared" si="6"/>
        <v>1272100</v>
      </c>
      <c r="J136" s="189"/>
      <c r="K136" s="63"/>
    </row>
    <row r="137" spans="1:11" s="42" customFormat="1" ht="172.5" customHeight="1">
      <c r="A137" s="91"/>
      <c r="B137" s="27" t="s">
        <v>262</v>
      </c>
      <c r="C137" s="27" t="s">
        <v>92</v>
      </c>
      <c r="D137" s="27" t="s">
        <v>8</v>
      </c>
      <c r="E137" s="28" t="s">
        <v>172</v>
      </c>
      <c r="F137" s="28" t="s">
        <v>34</v>
      </c>
      <c r="G137" s="14">
        <v>75000</v>
      </c>
      <c r="H137" s="14"/>
      <c r="I137" s="14">
        <f t="shared" si="6"/>
        <v>75000</v>
      </c>
      <c r="J137" s="189"/>
      <c r="K137" s="63"/>
    </row>
    <row r="138" spans="1:11" s="42" customFormat="1" ht="115.5" customHeight="1">
      <c r="A138" s="91"/>
      <c r="B138" s="27" t="s">
        <v>395</v>
      </c>
      <c r="C138" s="27" t="s">
        <v>396</v>
      </c>
      <c r="D138" s="27" t="s">
        <v>43</v>
      </c>
      <c r="E138" s="28" t="s">
        <v>73</v>
      </c>
      <c r="F138" s="28" t="s">
        <v>419</v>
      </c>
      <c r="G138" s="14">
        <f>300000+30000</f>
        <v>330000</v>
      </c>
      <c r="H138" s="14"/>
      <c r="I138" s="14">
        <f t="shared" si="6"/>
        <v>330000</v>
      </c>
      <c r="J138" s="189"/>
      <c r="K138" s="63"/>
    </row>
    <row r="139" spans="1:11" s="8" customFormat="1" ht="115.5" customHeight="1">
      <c r="A139" s="92"/>
      <c r="B139" s="95" t="s">
        <v>397</v>
      </c>
      <c r="C139" s="95" t="s">
        <v>374</v>
      </c>
      <c r="D139" s="95" t="s">
        <v>8</v>
      </c>
      <c r="E139" s="97" t="s">
        <v>173</v>
      </c>
      <c r="F139" s="28"/>
      <c r="G139" s="14">
        <f>G140+G141</f>
        <v>34023819.7</v>
      </c>
      <c r="H139" s="14">
        <f>H140+H141</f>
        <v>75000</v>
      </c>
      <c r="I139" s="14">
        <f>I140+I141</f>
        <v>34098819.7</v>
      </c>
      <c r="J139" s="189"/>
      <c r="K139" s="60"/>
    </row>
    <row r="140" spans="1:11" s="130" customFormat="1" ht="129.75" customHeight="1">
      <c r="A140" s="129"/>
      <c r="B140" s="187" t="s">
        <v>398</v>
      </c>
      <c r="C140" s="198" t="s">
        <v>380</v>
      </c>
      <c r="D140" s="198" t="s">
        <v>8</v>
      </c>
      <c r="E140" s="196" t="s">
        <v>381</v>
      </c>
      <c r="F140" s="38" t="s">
        <v>34</v>
      </c>
      <c r="G140" s="44">
        <f>4247964-4024-26631+175000+353011+150000+274200+23310+76000+319750+10000+1301500+100000+95863+578335+190000+514525.7+22000+5000+10000+5000+10000+5000+5000+280903+200000+40555+1100000+171900+20000</f>
        <v>10254161.7</v>
      </c>
      <c r="H140" s="44">
        <v>75000</v>
      </c>
      <c r="I140" s="44">
        <f>G140+H140</f>
        <v>10329161.7</v>
      </c>
      <c r="J140" s="189"/>
      <c r="K140" s="66"/>
    </row>
    <row r="141" spans="1:11" s="130" customFormat="1" ht="144.75" customHeight="1">
      <c r="A141" s="129"/>
      <c r="B141" s="202"/>
      <c r="C141" s="199"/>
      <c r="D141" s="199"/>
      <c r="E141" s="197"/>
      <c r="F141" s="38" t="s">
        <v>115</v>
      </c>
      <c r="G141" s="44">
        <f>7520066+16000000+249592</f>
        <v>23769658</v>
      </c>
      <c r="H141" s="44"/>
      <c r="I141" s="44">
        <f>G141+H141</f>
        <v>23769658</v>
      </c>
      <c r="J141" s="189"/>
      <c r="K141" s="66"/>
    </row>
    <row r="142" spans="1:11" s="42" customFormat="1" ht="156.75" customHeight="1">
      <c r="A142" s="91"/>
      <c r="B142" s="27" t="s">
        <v>263</v>
      </c>
      <c r="C142" s="27" t="s">
        <v>144</v>
      </c>
      <c r="D142" s="27" t="s">
        <v>30</v>
      </c>
      <c r="E142" s="28" t="s">
        <v>76</v>
      </c>
      <c r="F142" s="26" t="s">
        <v>116</v>
      </c>
      <c r="G142" s="14">
        <v>29000</v>
      </c>
      <c r="H142" s="44"/>
      <c r="I142" s="14">
        <f t="shared" si="6"/>
        <v>29000</v>
      </c>
      <c r="J142" s="189"/>
      <c r="K142" s="63"/>
    </row>
    <row r="143" spans="1:11" s="8" customFormat="1" ht="138.75" customHeight="1">
      <c r="A143" s="92"/>
      <c r="B143" s="183" t="s">
        <v>264</v>
      </c>
      <c r="C143" s="183" t="s">
        <v>131</v>
      </c>
      <c r="D143" s="183" t="s">
        <v>31</v>
      </c>
      <c r="E143" s="192" t="s">
        <v>132</v>
      </c>
      <c r="F143" s="28" t="s">
        <v>34</v>
      </c>
      <c r="G143" s="14">
        <f>137160-72540</f>
        <v>64620</v>
      </c>
      <c r="H143" s="14"/>
      <c r="I143" s="14">
        <f t="shared" si="6"/>
        <v>64620</v>
      </c>
      <c r="J143" s="189"/>
      <c r="K143" s="60"/>
    </row>
    <row r="144" spans="1:11" s="8" customFormat="1" ht="138.75" customHeight="1">
      <c r="A144" s="92"/>
      <c r="B144" s="184"/>
      <c r="C144" s="184"/>
      <c r="D144" s="184"/>
      <c r="E144" s="193"/>
      <c r="F144" s="28" t="s">
        <v>115</v>
      </c>
      <c r="G144" s="14">
        <f>473840+72540</f>
        <v>546380</v>
      </c>
      <c r="H144" s="14"/>
      <c r="I144" s="14">
        <f t="shared" si="6"/>
        <v>546380</v>
      </c>
      <c r="J144" s="189"/>
      <c r="K144" s="60"/>
    </row>
    <row r="145" spans="1:10" ht="93" customHeight="1">
      <c r="A145" s="89"/>
      <c r="B145" s="27"/>
      <c r="C145" s="27"/>
      <c r="D145" s="27"/>
      <c r="E145" s="51" t="s">
        <v>265</v>
      </c>
      <c r="F145" s="26"/>
      <c r="G145" s="70">
        <f aca="true" t="shared" si="7" ref="G145:I146">G146</f>
        <v>80000</v>
      </c>
      <c r="H145" s="70">
        <f t="shared" si="7"/>
        <v>0</v>
      </c>
      <c r="I145" s="70">
        <f t="shared" si="7"/>
        <v>80000</v>
      </c>
      <c r="J145" s="189"/>
    </row>
    <row r="146" spans="1:10" ht="98.25" customHeight="1">
      <c r="A146" s="89"/>
      <c r="B146" s="27" t="s">
        <v>266</v>
      </c>
      <c r="C146" s="27" t="s">
        <v>78</v>
      </c>
      <c r="D146" s="102"/>
      <c r="E146" s="28" t="s">
        <v>77</v>
      </c>
      <c r="F146" s="26"/>
      <c r="G146" s="14">
        <f t="shared" si="7"/>
        <v>80000</v>
      </c>
      <c r="H146" s="14">
        <f t="shared" si="7"/>
        <v>0</v>
      </c>
      <c r="I146" s="14">
        <f t="shared" si="7"/>
        <v>80000</v>
      </c>
      <c r="J146" s="189"/>
    </row>
    <row r="147" spans="1:11" s="42" customFormat="1" ht="150" customHeight="1">
      <c r="A147" s="91"/>
      <c r="B147" s="40" t="s">
        <v>267</v>
      </c>
      <c r="C147" s="40" t="s">
        <v>79</v>
      </c>
      <c r="D147" s="40" t="s">
        <v>9</v>
      </c>
      <c r="E147" s="38" t="s">
        <v>75</v>
      </c>
      <c r="F147" s="41" t="s">
        <v>111</v>
      </c>
      <c r="G147" s="44">
        <v>80000</v>
      </c>
      <c r="H147" s="44"/>
      <c r="I147" s="44">
        <f>G147+H147</f>
        <v>80000</v>
      </c>
      <c r="J147" s="189">
        <v>52</v>
      </c>
      <c r="K147" s="63"/>
    </row>
    <row r="148" spans="1:10" ht="114.75" customHeight="1">
      <c r="A148" s="89"/>
      <c r="B148" s="27"/>
      <c r="C148" s="27"/>
      <c r="D148" s="27"/>
      <c r="E148" s="51" t="s">
        <v>268</v>
      </c>
      <c r="F148" s="26"/>
      <c r="G148" s="70">
        <f>G149+G150+G151+G152+G156</f>
        <v>3448398</v>
      </c>
      <c r="H148" s="70">
        <f>H149+H150+H151+H152+H156</f>
        <v>2996400</v>
      </c>
      <c r="I148" s="70">
        <f>I149+I150+I151+I152+I156</f>
        <v>6444798</v>
      </c>
      <c r="J148" s="189"/>
    </row>
    <row r="149" spans="1:10" ht="168.75" customHeight="1">
      <c r="A149" s="89"/>
      <c r="B149" s="95" t="s">
        <v>269</v>
      </c>
      <c r="C149" s="95" t="s">
        <v>121</v>
      </c>
      <c r="D149" s="84" t="s">
        <v>2</v>
      </c>
      <c r="E149" s="97" t="s">
        <v>122</v>
      </c>
      <c r="F149" s="26" t="s">
        <v>53</v>
      </c>
      <c r="G149" s="14">
        <v>30000</v>
      </c>
      <c r="H149" s="70"/>
      <c r="I149" s="14">
        <f aca="true" t="shared" si="8" ref="I149:I156">G149+H149</f>
        <v>30000</v>
      </c>
      <c r="J149" s="189"/>
    </row>
    <row r="150" spans="1:10" ht="261.75" customHeight="1">
      <c r="A150" s="89"/>
      <c r="B150" s="27" t="s">
        <v>270</v>
      </c>
      <c r="C150" s="27" t="s">
        <v>152</v>
      </c>
      <c r="D150" s="27" t="s">
        <v>45</v>
      </c>
      <c r="E150" s="28" t="s">
        <v>153</v>
      </c>
      <c r="F150" s="26" t="s">
        <v>47</v>
      </c>
      <c r="G150" s="14">
        <f>10000+92000+5000+15000-5000+10000</f>
        <v>127000</v>
      </c>
      <c r="H150" s="14">
        <f>200000+12300</f>
        <v>212300</v>
      </c>
      <c r="I150" s="14">
        <f t="shared" si="8"/>
        <v>339300</v>
      </c>
      <c r="J150" s="189"/>
    </row>
    <row r="151" spans="1:10" ht="261.75" customHeight="1">
      <c r="A151" s="89"/>
      <c r="B151" s="27" t="s">
        <v>271</v>
      </c>
      <c r="C151" s="27" t="s">
        <v>80</v>
      </c>
      <c r="D151" s="27" t="s">
        <v>44</v>
      </c>
      <c r="E151" s="28" t="s">
        <v>151</v>
      </c>
      <c r="F151" s="26" t="s">
        <v>47</v>
      </c>
      <c r="G151" s="14">
        <f>190000+338000+1000+96400+54700+4500+9000+20000+7013+15000+5333+20000+12000+15000+10000+6000</f>
        <v>803946</v>
      </c>
      <c r="H151" s="14">
        <f>300000+766000+23000+7000+6000+10000+5000+9000+10000+23100-23000</f>
        <v>1136100</v>
      </c>
      <c r="I151" s="14">
        <f t="shared" si="8"/>
        <v>1940046</v>
      </c>
      <c r="J151" s="189"/>
    </row>
    <row r="152" spans="1:10" ht="66.75" customHeight="1">
      <c r="A152" s="89"/>
      <c r="B152" s="27" t="s">
        <v>385</v>
      </c>
      <c r="C152" s="27" t="s">
        <v>130</v>
      </c>
      <c r="D152" s="27"/>
      <c r="E152" s="28" t="s">
        <v>373</v>
      </c>
      <c r="F152" s="26"/>
      <c r="G152" s="14">
        <f>G153+G154+G155</f>
        <v>2427452</v>
      </c>
      <c r="H152" s="14">
        <f>H153+H154+H155</f>
        <v>0</v>
      </c>
      <c r="I152" s="14">
        <f>I153+I154+I155</f>
        <v>2427452</v>
      </c>
      <c r="J152" s="189"/>
    </row>
    <row r="153" spans="1:11" s="42" customFormat="1" ht="201" customHeight="1">
      <c r="A153" s="91"/>
      <c r="B153" s="40" t="s">
        <v>485</v>
      </c>
      <c r="C153" s="40" t="s">
        <v>415</v>
      </c>
      <c r="D153" s="40" t="s">
        <v>11</v>
      </c>
      <c r="E153" s="38" t="s">
        <v>416</v>
      </c>
      <c r="F153" s="41" t="s">
        <v>486</v>
      </c>
      <c r="G153" s="44">
        <v>20000</v>
      </c>
      <c r="H153" s="44"/>
      <c r="I153" s="44">
        <f>G153+H153</f>
        <v>20000</v>
      </c>
      <c r="J153" s="189"/>
      <c r="K153" s="63"/>
    </row>
    <row r="154" spans="1:11" s="42" customFormat="1" ht="195.75" customHeight="1">
      <c r="A154" s="91"/>
      <c r="B154" s="187" t="s">
        <v>386</v>
      </c>
      <c r="C154" s="187" t="s">
        <v>382</v>
      </c>
      <c r="D154" s="187" t="s">
        <v>11</v>
      </c>
      <c r="E154" s="196" t="s">
        <v>383</v>
      </c>
      <c r="F154" s="41" t="s">
        <v>46</v>
      </c>
      <c r="G154" s="44">
        <f>1900000+193952+186000+50000+70000</f>
        <v>2399952</v>
      </c>
      <c r="H154" s="44"/>
      <c r="I154" s="44">
        <f>G154+H154</f>
        <v>2399952</v>
      </c>
      <c r="J154" s="189"/>
      <c r="K154" s="63"/>
    </row>
    <row r="155" spans="1:11" s="42" customFormat="1" ht="222" customHeight="1">
      <c r="A155" s="91"/>
      <c r="B155" s="202"/>
      <c r="C155" s="202"/>
      <c r="D155" s="202"/>
      <c r="E155" s="197"/>
      <c r="F155" s="41" t="s">
        <v>487</v>
      </c>
      <c r="G155" s="44">
        <f>7500</f>
        <v>7500</v>
      </c>
      <c r="H155" s="44"/>
      <c r="I155" s="44">
        <f>G155+H155</f>
        <v>7500</v>
      </c>
      <c r="J155" s="189"/>
      <c r="K155" s="63"/>
    </row>
    <row r="156" spans="1:10" ht="159.75" customHeight="1">
      <c r="A156" s="89"/>
      <c r="B156" s="27" t="s">
        <v>272</v>
      </c>
      <c r="C156" s="27" t="s">
        <v>144</v>
      </c>
      <c r="D156" s="27" t="s">
        <v>30</v>
      </c>
      <c r="E156" s="28" t="s">
        <v>76</v>
      </c>
      <c r="F156" s="26" t="s">
        <v>116</v>
      </c>
      <c r="G156" s="14">
        <v>60000</v>
      </c>
      <c r="H156" s="14">
        <v>1648000</v>
      </c>
      <c r="I156" s="14">
        <f t="shared" si="8"/>
        <v>1708000</v>
      </c>
      <c r="J156" s="189"/>
    </row>
    <row r="157" spans="1:11" ht="117" customHeight="1">
      <c r="A157" s="89"/>
      <c r="B157" s="27"/>
      <c r="C157" s="27"/>
      <c r="D157" s="27"/>
      <c r="E157" s="51" t="s">
        <v>273</v>
      </c>
      <c r="F157" s="26"/>
      <c r="G157" s="70">
        <f>G158+G159+G160+G161+G167+G168+G169+G170+G171+G172+G173+G174+G175+G176+G177+G180+G181+G183+G184+G185+G187</f>
        <v>81922242.1</v>
      </c>
      <c r="H157" s="70">
        <f>H158+H159+H160+H161+H167+H168+H169+H170+H171+H172+H173+H174+H175+H176+H177+H180+H181+H183+H184+H185+H187</f>
        <v>153805077.5</v>
      </c>
      <c r="I157" s="70">
        <f>I158+I159+I160+I161+I167+I168+I169+I170+I171+I172+I173+I174+I175+I176+I177+I180+I181+I183+I184+I185+I187</f>
        <v>235727319.6</v>
      </c>
      <c r="J157" s="189"/>
      <c r="K157" s="58"/>
    </row>
    <row r="158" spans="1:10" ht="138.75" customHeight="1">
      <c r="A158" s="89"/>
      <c r="B158" s="95" t="s">
        <v>274</v>
      </c>
      <c r="C158" s="95" t="s">
        <v>121</v>
      </c>
      <c r="D158" s="84" t="s">
        <v>2</v>
      </c>
      <c r="E158" s="97" t="s">
        <v>122</v>
      </c>
      <c r="F158" s="26" t="s">
        <v>53</v>
      </c>
      <c r="G158" s="14">
        <f>40000</f>
        <v>40000</v>
      </c>
      <c r="H158" s="14"/>
      <c r="I158" s="14">
        <f>G158+H158</f>
        <v>40000</v>
      </c>
      <c r="J158" s="189"/>
    </row>
    <row r="159" spans="1:10" ht="144" customHeight="1">
      <c r="A159" s="89"/>
      <c r="B159" s="183" t="s">
        <v>399</v>
      </c>
      <c r="C159" s="183" t="s">
        <v>396</v>
      </c>
      <c r="D159" s="183" t="s">
        <v>43</v>
      </c>
      <c r="E159" s="192" t="s">
        <v>73</v>
      </c>
      <c r="F159" s="28" t="s">
        <v>327</v>
      </c>
      <c r="G159" s="14">
        <v>550000</v>
      </c>
      <c r="H159" s="14"/>
      <c r="I159" s="14">
        <f>G159+H159</f>
        <v>550000</v>
      </c>
      <c r="J159" s="189">
        <v>53</v>
      </c>
    </row>
    <row r="160" spans="1:10" ht="111" customHeight="1">
      <c r="A160" s="89"/>
      <c r="B160" s="184"/>
      <c r="C160" s="184"/>
      <c r="D160" s="184"/>
      <c r="E160" s="193"/>
      <c r="F160" s="28" t="s">
        <v>419</v>
      </c>
      <c r="G160" s="14">
        <v>15000</v>
      </c>
      <c r="H160" s="14"/>
      <c r="I160" s="14">
        <f>G160+H160</f>
        <v>15000</v>
      </c>
      <c r="J160" s="189"/>
    </row>
    <row r="161" spans="1:10" ht="114" customHeight="1">
      <c r="A161" s="89"/>
      <c r="B161" s="27" t="s">
        <v>275</v>
      </c>
      <c r="C161" s="27" t="s">
        <v>81</v>
      </c>
      <c r="D161" s="27"/>
      <c r="E161" s="28" t="s">
        <v>189</v>
      </c>
      <c r="F161" s="28"/>
      <c r="G161" s="14">
        <f>G162+G163+G164+G165+G166</f>
        <v>9199142</v>
      </c>
      <c r="H161" s="14">
        <f>H162+H163+H164+H165+H166</f>
        <v>64079890</v>
      </c>
      <c r="I161" s="14">
        <f>I162+I163+I164+I165+I166</f>
        <v>73279032</v>
      </c>
      <c r="J161" s="189"/>
    </row>
    <row r="162" spans="1:11" s="42" customFormat="1" ht="159" customHeight="1">
      <c r="A162" s="91"/>
      <c r="B162" s="88" t="s">
        <v>276</v>
      </c>
      <c r="C162" s="88" t="s">
        <v>190</v>
      </c>
      <c r="D162" s="88" t="s">
        <v>10</v>
      </c>
      <c r="E162" s="101" t="s">
        <v>191</v>
      </c>
      <c r="F162" s="38" t="s">
        <v>327</v>
      </c>
      <c r="G162" s="44"/>
      <c r="H162" s="44">
        <f>20000000+15000000-150000-4100000+20000+350000+92000+2000+2000+35000+83268+60000</f>
        <v>31394268</v>
      </c>
      <c r="I162" s="44">
        <f aca="true" t="shared" si="9" ref="I162:I167">G162+H162</f>
        <v>31394268</v>
      </c>
      <c r="J162" s="189"/>
      <c r="K162" s="63"/>
    </row>
    <row r="163" spans="1:11" s="42" customFormat="1" ht="159" customHeight="1">
      <c r="A163" s="91"/>
      <c r="B163" s="45" t="s">
        <v>277</v>
      </c>
      <c r="C163" s="45" t="s">
        <v>194</v>
      </c>
      <c r="D163" s="40" t="s">
        <v>10</v>
      </c>
      <c r="E163" s="38" t="s">
        <v>195</v>
      </c>
      <c r="F163" s="38" t="s">
        <v>327</v>
      </c>
      <c r="G163" s="44">
        <f>3296000+3850142+550000</f>
        <v>7696142</v>
      </c>
      <c r="H163" s="44">
        <f>222622+320000</f>
        <v>542622</v>
      </c>
      <c r="I163" s="44">
        <f t="shared" si="9"/>
        <v>8238764</v>
      </c>
      <c r="J163" s="189"/>
      <c r="K163" s="63"/>
    </row>
    <row r="164" spans="1:11" s="42" customFormat="1" ht="159" customHeight="1">
      <c r="A164" s="91"/>
      <c r="B164" s="45" t="s">
        <v>328</v>
      </c>
      <c r="C164" s="45" t="s">
        <v>329</v>
      </c>
      <c r="D164" s="117" t="s">
        <v>10</v>
      </c>
      <c r="E164" s="118" t="s">
        <v>330</v>
      </c>
      <c r="F164" s="121" t="s">
        <v>114</v>
      </c>
      <c r="G164" s="44">
        <f>350000+153000</f>
        <v>503000</v>
      </c>
      <c r="H164" s="44">
        <f>20000000+10000000-35000</f>
        <v>29965000</v>
      </c>
      <c r="I164" s="44">
        <f t="shared" si="9"/>
        <v>30468000</v>
      </c>
      <c r="J164" s="189"/>
      <c r="K164" s="63"/>
    </row>
    <row r="165" spans="1:11" s="42" customFormat="1" ht="159" customHeight="1">
      <c r="A165" s="91"/>
      <c r="B165" s="120" t="s">
        <v>451</v>
      </c>
      <c r="C165" s="120" t="s">
        <v>452</v>
      </c>
      <c r="D165" s="117" t="s">
        <v>10</v>
      </c>
      <c r="E165" s="118" t="s">
        <v>453</v>
      </c>
      <c r="F165" s="38" t="s">
        <v>327</v>
      </c>
      <c r="G165" s="44"/>
      <c r="H165" s="44">
        <v>2178000</v>
      </c>
      <c r="I165" s="44">
        <f t="shared" si="9"/>
        <v>2178000</v>
      </c>
      <c r="J165" s="189"/>
      <c r="K165" s="63"/>
    </row>
    <row r="166" spans="1:11" s="42" customFormat="1" ht="153" customHeight="1">
      <c r="A166" s="91"/>
      <c r="B166" s="88" t="s">
        <v>278</v>
      </c>
      <c r="C166" s="88" t="s">
        <v>192</v>
      </c>
      <c r="D166" s="88" t="s">
        <v>10</v>
      </c>
      <c r="E166" s="101" t="s">
        <v>193</v>
      </c>
      <c r="F166" s="38" t="s">
        <v>327</v>
      </c>
      <c r="G166" s="44">
        <v>1000000</v>
      </c>
      <c r="H166" s="44"/>
      <c r="I166" s="44">
        <f t="shared" si="9"/>
        <v>1000000</v>
      </c>
      <c r="J166" s="189"/>
      <c r="K166" s="63"/>
    </row>
    <row r="167" spans="1:11" s="42" customFormat="1" ht="150" customHeight="1">
      <c r="A167" s="91"/>
      <c r="B167" s="30" t="s">
        <v>279</v>
      </c>
      <c r="C167" s="30" t="s">
        <v>82</v>
      </c>
      <c r="D167" s="27" t="s">
        <v>10</v>
      </c>
      <c r="E167" s="106" t="s">
        <v>196</v>
      </c>
      <c r="F167" s="28" t="s">
        <v>327</v>
      </c>
      <c r="G167" s="14">
        <f>300000+6102960.7</f>
        <v>6402960.7</v>
      </c>
      <c r="H167" s="14"/>
      <c r="I167" s="14">
        <f t="shared" si="9"/>
        <v>6402960.7</v>
      </c>
      <c r="J167" s="189"/>
      <c r="K167" s="63"/>
    </row>
    <row r="168" spans="1:10" ht="163.5" customHeight="1">
      <c r="A168" s="89"/>
      <c r="B168" s="200" t="s">
        <v>280</v>
      </c>
      <c r="C168" s="200" t="s">
        <v>176</v>
      </c>
      <c r="D168" s="183" t="s">
        <v>10</v>
      </c>
      <c r="E168" s="185" t="s">
        <v>177</v>
      </c>
      <c r="F168" s="28" t="s">
        <v>327</v>
      </c>
      <c r="G168" s="14">
        <f>50918600+4128000+3150000+2000000-428011-345568+1076474.45-757130-547750-10000-1567100+2800000-247489+500000-1440655.7-102277-5000-10000-5000-164200-5000-5000-321786.35-150000+500000-412000-2000-10000+500000-11000</f>
        <v>59026107.4</v>
      </c>
      <c r="H168" s="14">
        <f>36288104+9000000+9000000+3150000-1000000-312300+497824+499005+500000-8558834-150000-56000-137000-434845-198030-185395-186000-488774-4920-175600-15116.65-75000-297115-46555-824004-130000</f>
        <v>45659444.35</v>
      </c>
      <c r="I168" s="14">
        <f aca="true" t="shared" si="10" ref="I168:I176">G168+H168</f>
        <v>104685551.75</v>
      </c>
      <c r="J168" s="189"/>
    </row>
    <row r="169" spans="1:10" ht="163.5" customHeight="1">
      <c r="A169" s="89"/>
      <c r="B169" s="201"/>
      <c r="C169" s="201"/>
      <c r="D169" s="184"/>
      <c r="E169" s="186"/>
      <c r="F169" s="29" t="s">
        <v>117</v>
      </c>
      <c r="G169" s="14">
        <v>319610</v>
      </c>
      <c r="H169" s="14">
        <v>900000</v>
      </c>
      <c r="I169" s="14">
        <f t="shared" si="10"/>
        <v>1219610</v>
      </c>
      <c r="J169" s="189"/>
    </row>
    <row r="170" spans="1:10" ht="163.5" customHeight="1">
      <c r="A170" s="89"/>
      <c r="B170" s="200" t="s">
        <v>307</v>
      </c>
      <c r="C170" s="200" t="s">
        <v>308</v>
      </c>
      <c r="D170" s="183" t="s">
        <v>332</v>
      </c>
      <c r="E170" s="185" t="s">
        <v>331</v>
      </c>
      <c r="F170" s="115" t="s">
        <v>327</v>
      </c>
      <c r="G170" s="14">
        <f>1450191+670875+879982-89982+150000</f>
        <v>3061066</v>
      </c>
      <c r="H170" s="14"/>
      <c r="I170" s="14">
        <f t="shared" si="10"/>
        <v>3061066</v>
      </c>
      <c r="J170" s="189"/>
    </row>
    <row r="171" spans="1:10" ht="178.5" customHeight="1">
      <c r="A171" s="89"/>
      <c r="B171" s="201"/>
      <c r="C171" s="201"/>
      <c r="D171" s="184"/>
      <c r="E171" s="186"/>
      <c r="F171" s="115" t="s">
        <v>366</v>
      </c>
      <c r="G171" s="14">
        <f>391104+89982</f>
        <v>481086</v>
      </c>
      <c r="H171" s="14"/>
      <c r="I171" s="14">
        <f t="shared" si="10"/>
        <v>481086</v>
      </c>
      <c r="J171" s="189"/>
    </row>
    <row r="172" spans="1:10" ht="166.5" customHeight="1">
      <c r="A172" s="89"/>
      <c r="B172" s="161" t="s">
        <v>478</v>
      </c>
      <c r="C172" s="161" t="s">
        <v>174</v>
      </c>
      <c r="D172" s="155" t="s">
        <v>29</v>
      </c>
      <c r="E172" s="157" t="s">
        <v>479</v>
      </c>
      <c r="F172" s="115" t="s">
        <v>327</v>
      </c>
      <c r="G172" s="14">
        <v>490670</v>
      </c>
      <c r="H172" s="14"/>
      <c r="I172" s="14">
        <f t="shared" si="10"/>
        <v>490670</v>
      </c>
      <c r="J172" s="189"/>
    </row>
    <row r="173" spans="1:10" ht="163.5" customHeight="1">
      <c r="A173" s="89"/>
      <c r="B173" s="181" t="s">
        <v>333</v>
      </c>
      <c r="C173" s="181" t="s">
        <v>334</v>
      </c>
      <c r="D173" s="181" t="s">
        <v>99</v>
      </c>
      <c r="E173" s="179" t="s">
        <v>335</v>
      </c>
      <c r="F173" s="115" t="s">
        <v>327</v>
      </c>
      <c r="G173" s="122"/>
      <c r="H173" s="122">
        <f>5317344+1595000-1500000+269000+1980000+20000+600000</f>
        <v>8281344</v>
      </c>
      <c r="I173" s="14">
        <f t="shared" si="10"/>
        <v>8281344</v>
      </c>
      <c r="J173" s="189">
        <v>54</v>
      </c>
    </row>
    <row r="174" spans="1:10" ht="163.5" customHeight="1">
      <c r="A174" s="89"/>
      <c r="B174" s="182"/>
      <c r="C174" s="182"/>
      <c r="D174" s="182"/>
      <c r="E174" s="180"/>
      <c r="F174" s="29" t="s">
        <v>117</v>
      </c>
      <c r="G174" s="122"/>
      <c r="H174" s="122">
        <f>17907850.13+1520000</f>
        <v>19427850.13</v>
      </c>
      <c r="I174" s="14">
        <f t="shared" si="10"/>
        <v>19427850.13</v>
      </c>
      <c r="J174" s="189"/>
    </row>
    <row r="175" spans="1:10" ht="163.5" customHeight="1">
      <c r="A175" s="89"/>
      <c r="B175" s="114" t="s">
        <v>336</v>
      </c>
      <c r="C175" s="114" t="s">
        <v>337</v>
      </c>
      <c r="D175" s="114" t="s">
        <v>99</v>
      </c>
      <c r="E175" s="115" t="s">
        <v>338</v>
      </c>
      <c r="F175" s="115" t="s">
        <v>327</v>
      </c>
      <c r="G175" s="122"/>
      <c r="H175" s="122">
        <f>1000000+4100000+250000+376800+700000-885000</f>
        <v>5541800</v>
      </c>
      <c r="I175" s="14">
        <f t="shared" si="10"/>
        <v>5541800</v>
      </c>
      <c r="J175" s="189"/>
    </row>
    <row r="176" spans="1:10" ht="163.5" customHeight="1">
      <c r="A176" s="89"/>
      <c r="B176" s="27" t="s">
        <v>281</v>
      </c>
      <c r="C176" s="27" t="s">
        <v>178</v>
      </c>
      <c r="D176" s="27" t="s">
        <v>99</v>
      </c>
      <c r="E176" s="28" t="s">
        <v>179</v>
      </c>
      <c r="F176" s="28" t="s">
        <v>327</v>
      </c>
      <c r="G176" s="14"/>
      <c r="H176" s="14">
        <f>1200000+2000000+1000000-1000000</f>
        <v>3200000</v>
      </c>
      <c r="I176" s="14">
        <f t="shared" si="10"/>
        <v>3200000</v>
      </c>
      <c r="J176" s="189"/>
    </row>
    <row r="177" spans="1:11" s="8" customFormat="1" ht="82.5" customHeight="1">
      <c r="A177" s="92"/>
      <c r="B177" s="27" t="s">
        <v>454</v>
      </c>
      <c r="C177" s="27" t="s">
        <v>445</v>
      </c>
      <c r="D177" s="27"/>
      <c r="E177" s="28" t="s">
        <v>447</v>
      </c>
      <c r="F177" s="28"/>
      <c r="G177" s="14">
        <f>G178+G179</f>
        <v>0</v>
      </c>
      <c r="H177" s="14">
        <f>H178+H179</f>
        <v>1220892.46</v>
      </c>
      <c r="I177" s="14">
        <f>I178+I179</f>
        <v>1220892.46</v>
      </c>
      <c r="J177" s="189"/>
      <c r="K177" s="60"/>
    </row>
    <row r="178" spans="1:10" ht="178.5" customHeight="1">
      <c r="A178" s="89"/>
      <c r="B178" s="40" t="s">
        <v>471</v>
      </c>
      <c r="C178" s="40" t="s">
        <v>472</v>
      </c>
      <c r="D178" s="40" t="s">
        <v>6</v>
      </c>
      <c r="E178" s="38" t="s">
        <v>473</v>
      </c>
      <c r="F178" s="38" t="s">
        <v>327</v>
      </c>
      <c r="G178" s="44"/>
      <c r="H178" s="44">
        <v>426739</v>
      </c>
      <c r="I178" s="44">
        <f>G178+H178</f>
        <v>426739</v>
      </c>
      <c r="J178" s="189"/>
    </row>
    <row r="179" spans="1:11" s="42" customFormat="1" ht="163.5" customHeight="1">
      <c r="A179" s="91"/>
      <c r="B179" s="40" t="s">
        <v>455</v>
      </c>
      <c r="C179" s="40" t="s">
        <v>446</v>
      </c>
      <c r="D179" s="40" t="s">
        <v>6</v>
      </c>
      <c r="E179" s="38" t="s">
        <v>448</v>
      </c>
      <c r="F179" s="118" t="s">
        <v>327</v>
      </c>
      <c r="G179" s="44"/>
      <c r="H179" s="44">
        <f>20284.61+773868.85</f>
        <v>794153.46</v>
      </c>
      <c r="I179" s="44">
        <f>G179+H179</f>
        <v>794153.46</v>
      </c>
      <c r="J179" s="189"/>
      <c r="K179" s="63"/>
    </row>
    <row r="180" spans="1:11" s="42" customFormat="1" ht="165" customHeight="1">
      <c r="A180" s="91"/>
      <c r="B180" s="27" t="s">
        <v>282</v>
      </c>
      <c r="C180" s="27" t="s">
        <v>144</v>
      </c>
      <c r="D180" s="27" t="s">
        <v>30</v>
      </c>
      <c r="E180" s="28" t="s">
        <v>76</v>
      </c>
      <c r="F180" s="28" t="s">
        <v>327</v>
      </c>
      <c r="G180" s="14">
        <v>1500000</v>
      </c>
      <c r="H180" s="14">
        <f>2000000-2000000</f>
        <v>0</v>
      </c>
      <c r="I180" s="14">
        <f>G180+H180</f>
        <v>1500000</v>
      </c>
      <c r="J180" s="189"/>
      <c r="K180" s="63"/>
    </row>
    <row r="181" spans="1:10" ht="87" customHeight="1">
      <c r="A181" s="89"/>
      <c r="B181" s="27" t="s">
        <v>288</v>
      </c>
      <c r="C181" s="27" t="s">
        <v>135</v>
      </c>
      <c r="D181" s="27"/>
      <c r="E181" s="107" t="s">
        <v>136</v>
      </c>
      <c r="F181" s="26"/>
      <c r="G181" s="14">
        <f>G182</f>
        <v>0</v>
      </c>
      <c r="H181" s="14">
        <f>H182</f>
        <v>938334.69</v>
      </c>
      <c r="I181" s="14">
        <f>I182</f>
        <v>938334.69</v>
      </c>
      <c r="J181" s="189"/>
    </row>
    <row r="182" spans="1:10" ht="345" customHeight="1">
      <c r="A182" s="89"/>
      <c r="B182" s="40" t="s">
        <v>387</v>
      </c>
      <c r="C182" s="40" t="s">
        <v>388</v>
      </c>
      <c r="D182" s="40" t="s">
        <v>6</v>
      </c>
      <c r="E182" s="38" t="s">
        <v>412</v>
      </c>
      <c r="F182" s="38" t="s">
        <v>327</v>
      </c>
      <c r="G182" s="44"/>
      <c r="H182" s="44">
        <f>880000+58334.69</f>
        <v>938334.69</v>
      </c>
      <c r="I182" s="44">
        <f>G182+H182</f>
        <v>938334.69</v>
      </c>
      <c r="J182" s="189"/>
    </row>
    <row r="183" spans="1:10" ht="163.5" customHeight="1">
      <c r="A183" s="89"/>
      <c r="B183" s="27" t="s">
        <v>283</v>
      </c>
      <c r="C183" s="27" t="s">
        <v>197</v>
      </c>
      <c r="D183" s="27" t="s">
        <v>20</v>
      </c>
      <c r="E183" s="28" t="s">
        <v>19</v>
      </c>
      <c r="F183" s="29" t="s">
        <v>117</v>
      </c>
      <c r="G183" s="14">
        <v>76600</v>
      </c>
      <c r="H183" s="14"/>
      <c r="I183" s="14">
        <f>G183+H183</f>
        <v>76600</v>
      </c>
      <c r="J183" s="189"/>
    </row>
    <row r="184" spans="1:10" ht="141" customHeight="1">
      <c r="A184" s="89"/>
      <c r="B184" s="27" t="s">
        <v>285</v>
      </c>
      <c r="C184" s="27" t="s">
        <v>133</v>
      </c>
      <c r="D184" s="27" t="s">
        <v>14</v>
      </c>
      <c r="E184" s="28" t="s">
        <v>134</v>
      </c>
      <c r="F184" s="29" t="s">
        <v>117</v>
      </c>
      <c r="G184" s="14"/>
      <c r="H184" s="14">
        <f>3251500-1000000+1000000+2158113.87</f>
        <v>5409613.87</v>
      </c>
      <c r="I184" s="14">
        <f>G184+H184</f>
        <v>5409613.87</v>
      </c>
      <c r="J184" s="189"/>
    </row>
    <row r="185" spans="1:10" ht="108.75" customHeight="1">
      <c r="A185" s="89"/>
      <c r="B185" s="27" t="s">
        <v>286</v>
      </c>
      <c r="C185" s="27" t="s">
        <v>180</v>
      </c>
      <c r="D185" s="27"/>
      <c r="E185" s="28" t="s">
        <v>182</v>
      </c>
      <c r="F185" s="29"/>
      <c r="G185" s="14">
        <f>G186</f>
        <v>0</v>
      </c>
      <c r="H185" s="14">
        <f>H186</f>
        <v>-2074092</v>
      </c>
      <c r="I185" s="14">
        <f>I186</f>
        <v>-2074092</v>
      </c>
      <c r="J185" s="189"/>
    </row>
    <row r="186" spans="1:11" s="42" customFormat="1" ht="159" customHeight="1">
      <c r="A186" s="91"/>
      <c r="B186" s="40" t="s">
        <v>287</v>
      </c>
      <c r="C186" s="40" t="s">
        <v>181</v>
      </c>
      <c r="D186" s="40" t="s">
        <v>6</v>
      </c>
      <c r="E186" s="108" t="s">
        <v>198</v>
      </c>
      <c r="F186" s="38" t="s">
        <v>327</v>
      </c>
      <c r="G186" s="44"/>
      <c r="H186" s="44">
        <v>-2074092</v>
      </c>
      <c r="I186" s="44">
        <f>G186+H186</f>
        <v>-2074092</v>
      </c>
      <c r="J186" s="189">
        <v>55</v>
      </c>
      <c r="K186" s="63"/>
    </row>
    <row r="187" spans="1:11" s="42" customFormat="1" ht="174" customHeight="1">
      <c r="A187" s="91"/>
      <c r="B187" s="30" t="s">
        <v>284</v>
      </c>
      <c r="C187" s="30" t="s">
        <v>131</v>
      </c>
      <c r="D187" s="27" t="s">
        <v>31</v>
      </c>
      <c r="E187" s="28" t="s">
        <v>132</v>
      </c>
      <c r="F187" s="28" t="s">
        <v>327</v>
      </c>
      <c r="G187" s="14">
        <v>760000</v>
      </c>
      <c r="H187" s="14">
        <v>1220000</v>
      </c>
      <c r="I187" s="14">
        <f>G187+H187</f>
        <v>1980000</v>
      </c>
      <c r="J187" s="189"/>
      <c r="K187" s="63"/>
    </row>
    <row r="188" spans="1:11" s="42" customFormat="1" ht="126" customHeight="1">
      <c r="A188" s="91"/>
      <c r="B188" s="50"/>
      <c r="C188" s="50"/>
      <c r="D188" s="50"/>
      <c r="E188" s="51" t="s">
        <v>301</v>
      </c>
      <c r="F188" s="52"/>
      <c r="G188" s="70">
        <f>G189</f>
        <v>540000</v>
      </c>
      <c r="H188" s="70">
        <f>H189</f>
        <v>0</v>
      </c>
      <c r="I188" s="70">
        <f>I189</f>
        <v>540000</v>
      </c>
      <c r="J188" s="189"/>
      <c r="K188" s="63"/>
    </row>
    <row r="189" spans="1:11" s="42" customFormat="1" ht="132" customHeight="1">
      <c r="A189" s="91"/>
      <c r="B189" s="27" t="s">
        <v>339</v>
      </c>
      <c r="C189" s="27" t="s">
        <v>308</v>
      </c>
      <c r="D189" s="27" t="s">
        <v>332</v>
      </c>
      <c r="E189" s="123" t="s">
        <v>331</v>
      </c>
      <c r="F189" s="123" t="s">
        <v>340</v>
      </c>
      <c r="G189" s="122">
        <v>540000</v>
      </c>
      <c r="H189" s="14"/>
      <c r="I189" s="14">
        <f>G189+H189</f>
        <v>540000</v>
      </c>
      <c r="J189" s="189"/>
      <c r="K189" s="63"/>
    </row>
    <row r="190" spans="1:11" s="7" customFormat="1" ht="111.75" customHeight="1">
      <c r="A190" s="93"/>
      <c r="B190" s="50"/>
      <c r="C190" s="50"/>
      <c r="D190" s="50"/>
      <c r="E190" s="51" t="s">
        <v>292</v>
      </c>
      <c r="F190" s="52"/>
      <c r="G190" s="70">
        <f>G191+G192+G193+G196+G197+G202+G203+G204+G206+G208+G210+G211</f>
        <v>98029155</v>
      </c>
      <c r="H190" s="70">
        <f>H191+H192+H193+H196+H197+H202+H203+H204+H206+H208+H210+H211</f>
        <v>221492778.23</v>
      </c>
      <c r="I190" s="70">
        <f>I191+I192+I193+I196+I197+I202+I203+I204+I206+I208+I210+I211</f>
        <v>319521933.22999996</v>
      </c>
      <c r="J190" s="189"/>
      <c r="K190" s="65"/>
    </row>
    <row r="191" spans="1:10" ht="156" customHeight="1">
      <c r="A191" s="89"/>
      <c r="B191" s="94" t="s">
        <v>293</v>
      </c>
      <c r="C191" s="94" t="s">
        <v>121</v>
      </c>
      <c r="D191" s="84" t="s">
        <v>2</v>
      </c>
      <c r="E191" s="97" t="s">
        <v>122</v>
      </c>
      <c r="F191" s="26" t="s">
        <v>53</v>
      </c>
      <c r="G191" s="14"/>
      <c r="H191" s="14">
        <v>10000</v>
      </c>
      <c r="I191" s="14">
        <f>G191+H191</f>
        <v>10000</v>
      </c>
      <c r="J191" s="189"/>
    </row>
    <row r="192" spans="1:10" ht="180" customHeight="1">
      <c r="A192" s="89"/>
      <c r="B192" s="27" t="s">
        <v>294</v>
      </c>
      <c r="C192" s="27" t="s">
        <v>176</v>
      </c>
      <c r="D192" s="27" t="s">
        <v>10</v>
      </c>
      <c r="E192" s="28" t="s">
        <v>177</v>
      </c>
      <c r="F192" s="28" t="s">
        <v>327</v>
      </c>
      <c r="G192" s="14">
        <f>40000000+20000000-2000000+20000000+15000000+13000000-10000000</f>
        <v>96000000</v>
      </c>
      <c r="H192" s="14">
        <f>60000000+30000000-3248000+263500</f>
        <v>87015500</v>
      </c>
      <c r="I192" s="14">
        <f>G192+H192</f>
        <v>183015500</v>
      </c>
      <c r="J192" s="189"/>
    </row>
    <row r="193" spans="1:10" ht="147" customHeight="1">
      <c r="A193" s="89"/>
      <c r="B193" s="27" t="s">
        <v>295</v>
      </c>
      <c r="C193" s="27" t="s">
        <v>187</v>
      </c>
      <c r="D193" s="27"/>
      <c r="E193" s="28" t="s">
        <v>188</v>
      </c>
      <c r="F193" s="31"/>
      <c r="G193" s="14">
        <f>G194+G195</f>
        <v>84912.35</v>
      </c>
      <c r="H193" s="14">
        <f>H194+H195</f>
        <v>557740.69</v>
      </c>
      <c r="I193" s="14">
        <f>I194+I195</f>
        <v>642653.04</v>
      </c>
      <c r="J193" s="189"/>
    </row>
    <row r="194" spans="1:11" s="42" customFormat="1" ht="168" customHeight="1">
      <c r="A194" s="91"/>
      <c r="B194" s="40" t="s">
        <v>474</v>
      </c>
      <c r="C194" s="40" t="s">
        <v>475</v>
      </c>
      <c r="D194" s="40" t="s">
        <v>28</v>
      </c>
      <c r="E194" s="38" t="s">
        <v>476</v>
      </c>
      <c r="F194" s="123" t="s">
        <v>372</v>
      </c>
      <c r="G194" s="44"/>
      <c r="H194" s="44">
        <f>250000+250000</f>
        <v>500000</v>
      </c>
      <c r="I194" s="44">
        <f>G194+H194</f>
        <v>500000</v>
      </c>
      <c r="J194" s="189"/>
      <c r="K194" s="63"/>
    </row>
    <row r="195" spans="1:10" ht="202.5" customHeight="1">
      <c r="A195" s="89"/>
      <c r="B195" s="40" t="s">
        <v>296</v>
      </c>
      <c r="C195" s="40" t="s">
        <v>185</v>
      </c>
      <c r="D195" s="40" t="s">
        <v>28</v>
      </c>
      <c r="E195" s="38" t="s">
        <v>186</v>
      </c>
      <c r="F195" s="46" t="s">
        <v>341</v>
      </c>
      <c r="G195" s="44">
        <f>84906+6.35</f>
        <v>84912.35</v>
      </c>
      <c r="H195" s="44">
        <f>39048+18692.69</f>
        <v>57740.69</v>
      </c>
      <c r="I195" s="44">
        <f>G195+H195</f>
        <v>142653.04</v>
      </c>
      <c r="J195" s="189"/>
    </row>
    <row r="196" spans="1:10" ht="174" customHeight="1">
      <c r="A196" s="89"/>
      <c r="B196" s="114" t="s">
        <v>342</v>
      </c>
      <c r="C196" s="114" t="s">
        <v>334</v>
      </c>
      <c r="D196" s="114" t="s">
        <v>99</v>
      </c>
      <c r="E196" s="115" t="s">
        <v>335</v>
      </c>
      <c r="F196" s="123" t="s">
        <v>372</v>
      </c>
      <c r="G196" s="122"/>
      <c r="H196" s="122">
        <f>9900000+42500+8500+50000-400000</f>
        <v>9601000</v>
      </c>
      <c r="I196" s="14">
        <f>G196+H196</f>
        <v>9601000</v>
      </c>
      <c r="J196" s="189"/>
    </row>
    <row r="197" spans="1:10" ht="96" customHeight="1">
      <c r="A197" s="89"/>
      <c r="B197" s="114" t="s">
        <v>343</v>
      </c>
      <c r="C197" s="114" t="s">
        <v>344</v>
      </c>
      <c r="D197" s="114"/>
      <c r="E197" s="115" t="s">
        <v>345</v>
      </c>
      <c r="F197" s="123"/>
      <c r="G197" s="122">
        <f>G198+G199+G200+G201</f>
        <v>0</v>
      </c>
      <c r="H197" s="122">
        <f>H198+H199+H200+H201</f>
        <v>20027755</v>
      </c>
      <c r="I197" s="122">
        <f>I198+I199+I200+I201</f>
        <v>20027755</v>
      </c>
      <c r="J197" s="189"/>
    </row>
    <row r="198" spans="1:10" ht="153" customHeight="1">
      <c r="A198" s="89"/>
      <c r="B198" s="204" t="s">
        <v>346</v>
      </c>
      <c r="C198" s="204" t="s">
        <v>347</v>
      </c>
      <c r="D198" s="204" t="s">
        <v>99</v>
      </c>
      <c r="E198" s="190" t="s">
        <v>348</v>
      </c>
      <c r="F198" s="124" t="s">
        <v>372</v>
      </c>
      <c r="G198" s="125"/>
      <c r="H198" s="125">
        <f>3741000+7000000+221500+603037+318-653355-125500+251000+500000+100000-50000+400000-3000000-60600-3500000</f>
        <v>5427400</v>
      </c>
      <c r="I198" s="44">
        <f aca="true" t="shared" si="11" ref="I198:I203">G198+H198</f>
        <v>5427400</v>
      </c>
      <c r="J198" s="189"/>
    </row>
    <row r="199" spans="1:11" s="42" customFormat="1" ht="147" customHeight="1">
      <c r="A199" s="91"/>
      <c r="B199" s="205"/>
      <c r="C199" s="205"/>
      <c r="D199" s="205"/>
      <c r="E199" s="191"/>
      <c r="F199" s="119" t="s">
        <v>116</v>
      </c>
      <c r="G199" s="125"/>
      <c r="H199" s="125">
        <v>653355</v>
      </c>
      <c r="I199" s="44">
        <f t="shared" si="11"/>
        <v>653355</v>
      </c>
      <c r="J199" s="189"/>
      <c r="K199" s="63"/>
    </row>
    <row r="200" spans="1:10" ht="132" customHeight="1">
      <c r="A200" s="89"/>
      <c r="B200" s="117" t="s">
        <v>349</v>
      </c>
      <c r="C200" s="117" t="s">
        <v>350</v>
      </c>
      <c r="D200" s="117" t="s">
        <v>99</v>
      </c>
      <c r="E200" s="118" t="s">
        <v>351</v>
      </c>
      <c r="F200" s="124" t="s">
        <v>372</v>
      </c>
      <c r="G200" s="125"/>
      <c r="H200" s="125">
        <f>5500000+259000-150000-37000</f>
        <v>5572000</v>
      </c>
      <c r="I200" s="44">
        <f t="shared" si="11"/>
        <v>5572000</v>
      </c>
      <c r="J200" s="189">
        <v>56</v>
      </c>
    </row>
    <row r="201" spans="1:10" ht="135" customHeight="1">
      <c r="A201" s="89"/>
      <c r="B201" s="117" t="s">
        <v>352</v>
      </c>
      <c r="C201" s="117" t="s">
        <v>353</v>
      </c>
      <c r="D201" s="117" t="s">
        <v>99</v>
      </c>
      <c r="E201" s="118" t="s">
        <v>354</v>
      </c>
      <c r="F201" s="124" t="s">
        <v>372</v>
      </c>
      <c r="G201" s="125"/>
      <c r="H201" s="125">
        <f>8500000-125000</f>
        <v>8375000</v>
      </c>
      <c r="I201" s="44">
        <f t="shared" si="11"/>
        <v>8375000</v>
      </c>
      <c r="J201" s="189"/>
    </row>
    <row r="202" spans="1:10" ht="147" customHeight="1">
      <c r="A202" s="89"/>
      <c r="B202" s="114" t="s">
        <v>355</v>
      </c>
      <c r="C202" s="114" t="s">
        <v>337</v>
      </c>
      <c r="D202" s="114" t="s">
        <v>99</v>
      </c>
      <c r="E202" s="115" t="s">
        <v>338</v>
      </c>
      <c r="F202" s="123" t="s">
        <v>372</v>
      </c>
      <c r="G202" s="122"/>
      <c r="H202" s="122">
        <f>30359000+870000-1111500+240000+300000+998900+425207+489680+498116+409160+482174+998774+468130+100000+1000+8500-448500+100000+234845+600000+1000000+215000+1741000+127400-800000-33200+255800-500000+4000000+75000</f>
        <v>42104486</v>
      </c>
      <c r="I202" s="14">
        <f t="shared" si="11"/>
        <v>42104486</v>
      </c>
      <c r="J202" s="189"/>
    </row>
    <row r="203" spans="1:10" ht="138" customHeight="1">
      <c r="A203" s="89"/>
      <c r="B203" s="114" t="s">
        <v>430</v>
      </c>
      <c r="C203" s="114" t="s">
        <v>178</v>
      </c>
      <c r="D203" s="114" t="s">
        <v>99</v>
      </c>
      <c r="E203" s="115" t="s">
        <v>179</v>
      </c>
      <c r="F203" s="123" t="s">
        <v>372</v>
      </c>
      <c r="G203" s="122"/>
      <c r="H203" s="122">
        <f>650000-150000</f>
        <v>500000</v>
      </c>
      <c r="I203" s="14">
        <f t="shared" si="11"/>
        <v>500000</v>
      </c>
      <c r="J203" s="189"/>
    </row>
    <row r="204" spans="1:11" s="42" customFormat="1" ht="57" customHeight="1">
      <c r="A204" s="91"/>
      <c r="B204" s="40" t="s">
        <v>468</v>
      </c>
      <c r="C204" s="40" t="s">
        <v>445</v>
      </c>
      <c r="D204" s="40"/>
      <c r="E204" s="28" t="s">
        <v>447</v>
      </c>
      <c r="F204" s="38"/>
      <c r="G204" s="44">
        <f>G205</f>
        <v>0</v>
      </c>
      <c r="H204" s="44">
        <f>H205</f>
        <v>324393</v>
      </c>
      <c r="I204" s="44">
        <f>I205</f>
        <v>324393</v>
      </c>
      <c r="J204" s="189"/>
      <c r="K204" s="63"/>
    </row>
    <row r="205" spans="1:11" s="42" customFormat="1" ht="180" customHeight="1">
      <c r="A205" s="91"/>
      <c r="B205" s="40" t="s">
        <v>469</v>
      </c>
      <c r="C205" s="40" t="s">
        <v>446</v>
      </c>
      <c r="D205" s="40" t="s">
        <v>6</v>
      </c>
      <c r="E205" s="38" t="s">
        <v>448</v>
      </c>
      <c r="F205" s="124" t="s">
        <v>372</v>
      </c>
      <c r="G205" s="44"/>
      <c r="H205" s="44">
        <f>289447+34946</f>
        <v>324393</v>
      </c>
      <c r="I205" s="44">
        <f>G205+H205</f>
        <v>324393</v>
      </c>
      <c r="J205" s="189"/>
      <c r="K205" s="63"/>
    </row>
    <row r="206" spans="1:11" s="42" customFormat="1" ht="66" customHeight="1">
      <c r="A206" s="91"/>
      <c r="B206" s="114">
        <v>1517440</v>
      </c>
      <c r="C206" s="27" t="s">
        <v>458</v>
      </c>
      <c r="D206" s="27"/>
      <c r="E206" s="28" t="s">
        <v>460</v>
      </c>
      <c r="F206" s="26"/>
      <c r="G206" s="122">
        <f>G207</f>
        <v>0</v>
      </c>
      <c r="H206" s="122">
        <f>H207</f>
        <v>73389.14</v>
      </c>
      <c r="I206" s="122">
        <f>I207</f>
        <v>73389.14</v>
      </c>
      <c r="J206" s="189"/>
      <c r="K206" s="63"/>
    </row>
    <row r="207" spans="1:11" s="42" customFormat="1" ht="159" customHeight="1">
      <c r="A207" s="91"/>
      <c r="B207" s="117" t="s">
        <v>457</v>
      </c>
      <c r="C207" s="40" t="s">
        <v>459</v>
      </c>
      <c r="D207" s="40" t="s">
        <v>403</v>
      </c>
      <c r="E207" s="38" t="s">
        <v>461</v>
      </c>
      <c r="F207" s="28" t="s">
        <v>327</v>
      </c>
      <c r="G207" s="125"/>
      <c r="H207" s="125">
        <v>73389.14</v>
      </c>
      <c r="I207" s="44">
        <f>G207+H207</f>
        <v>73389.14</v>
      </c>
      <c r="J207" s="189"/>
      <c r="K207" s="63"/>
    </row>
    <row r="208" spans="1:11" s="8" customFormat="1" ht="159" customHeight="1">
      <c r="A208" s="92"/>
      <c r="B208" s="114" t="s">
        <v>488</v>
      </c>
      <c r="C208" s="27" t="s">
        <v>489</v>
      </c>
      <c r="D208" s="27"/>
      <c r="E208" s="164" t="s">
        <v>490</v>
      </c>
      <c r="F208" s="28"/>
      <c r="G208" s="122">
        <f>G209</f>
        <v>0</v>
      </c>
      <c r="H208" s="122">
        <f>H209</f>
        <v>41900000</v>
      </c>
      <c r="I208" s="122">
        <f>I209</f>
        <v>41900000</v>
      </c>
      <c r="J208" s="189"/>
      <c r="K208" s="60"/>
    </row>
    <row r="209" spans="1:11" s="42" customFormat="1" ht="159" customHeight="1">
      <c r="A209" s="91"/>
      <c r="B209" s="117" t="s">
        <v>491</v>
      </c>
      <c r="C209" s="40" t="s">
        <v>492</v>
      </c>
      <c r="D209" s="40" t="s">
        <v>403</v>
      </c>
      <c r="E209" s="165" t="s">
        <v>493</v>
      </c>
      <c r="F209" s="124" t="s">
        <v>372</v>
      </c>
      <c r="G209" s="125"/>
      <c r="H209" s="125">
        <f>45900000-4000000</f>
        <v>41900000</v>
      </c>
      <c r="I209" s="44">
        <f>G209+H209</f>
        <v>41900000</v>
      </c>
      <c r="J209" s="189"/>
      <c r="K209" s="63"/>
    </row>
    <row r="210" spans="1:10" ht="169.5" customHeight="1">
      <c r="A210" s="89"/>
      <c r="B210" s="27" t="s">
        <v>297</v>
      </c>
      <c r="C210" s="27" t="s">
        <v>144</v>
      </c>
      <c r="D210" s="27" t="s">
        <v>30</v>
      </c>
      <c r="E210" s="28" t="s">
        <v>76</v>
      </c>
      <c r="F210" s="26" t="s">
        <v>116</v>
      </c>
      <c r="G210" s="14">
        <f>529155+160000-160000</f>
        <v>529155</v>
      </c>
      <c r="H210" s="14">
        <f>18557000+529155-160000+160000</f>
        <v>19086155</v>
      </c>
      <c r="I210" s="14">
        <f>G210+H210</f>
        <v>19615310</v>
      </c>
      <c r="J210" s="189"/>
    </row>
    <row r="211" spans="1:11" s="8" customFormat="1" ht="141.75" customHeight="1">
      <c r="A211" s="92"/>
      <c r="B211" s="27" t="s">
        <v>470</v>
      </c>
      <c r="C211" s="27" t="s">
        <v>466</v>
      </c>
      <c r="D211" s="27"/>
      <c r="E211" s="28" t="s">
        <v>467</v>
      </c>
      <c r="F211" s="31"/>
      <c r="G211" s="14">
        <f>G212+G213</f>
        <v>1415087.65</v>
      </c>
      <c r="H211" s="14">
        <f>H212+H213</f>
        <v>292359.4</v>
      </c>
      <c r="I211" s="14">
        <f>I212+I213</f>
        <v>1707447.0499999998</v>
      </c>
      <c r="J211" s="189"/>
      <c r="K211" s="60"/>
    </row>
    <row r="212" spans="1:11" s="42" customFormat="1" ht="92.25" customHeight="1">
      <c r="A212" s="91"/>
      <c r="B212" s="40" t="s">
        <v>464</v>
      </c>
      <c r="C212" s="40" t="s">
        <v>462</v>
      </c>
      <c r="D212" s="40" t="s">
        <v>5</v>
      </c>
      <c r="E212" s="38" t="s">
        <v>183</v>
      </c>
      <c r="F212" s="46" t="s">
        <v>341</v>
      </c>
      <c r="G212" s="44">
        <f>1415094-6.35</f>
        <v>1415087.65</v>
      </c>
      <c r="H212" s="44">
        <f>650810+311549.4</f>
        <v>962359.4</v>
      </c>
      <c r="I212" s="44">
        <f>G212+H212</f>
        <v>2377447.05</v>
      </c>
      <c r="J212" s="189"/>
      <c r="K212" s="63"/>
    </row>
    <row r="213" spans="1:11" s="42" customFormat="1" ht="116.25" customHeight="1">
      <c r="A213" s="91"/>
      <c r="B213" s="40" t="s">
        <v>465</v>
      </c>
      <c r="C213" s="40" t="s">
        <v>463</v>
      </c>
      <c r="D213" s="40" t="s">
        <v>5</v>
      </c>
      <c r="E213" s="38" t="s">
        <v>184</v>
      </c>
      <c r="F213" s="46" t="s">
        <v>341</v>
      </c>
      <c r="G213" s="14"/>
      <c r="H213" s="44">
        <f>-670000</f>
        <v>-670000</v>
      </c>
      <c r="I213" s="44">
        <f>G213+H213</f>
        <v>-670000</v>
      </c>
      <c r="J213" s="189"/>
      <c r="K213" s="63"/>
    </row>
    <row r="214" spans="1:10" ht="108" customHeight="1">
      <c r="A214" s="89"/>
      <c r="B214" s="27"/>
      <c r="C214" s="27"/>
      <c r="D214" s="27"/>
      <c r="E214" s="51" t="s">
        <v>298</v>
      </c>
      <c r="F214" s="31"/>
      <c r="G214" s="70">
        <f>G215+G216+G217+G218</f>
        <v>200000</v>
      </c>
      <c r="H214" s="70">
        <f>H215+H216+H217+H218</f>
        <v>463000</v>
      </c>
      <c r="I214" s="70">
        <f>I215+I216+I217+I218</f>
        <v>663000</v>
      </c>
      <c r="J214" s="189"/>
    </row>
    <row r="215" spans="1:10" ht="144" customHeight="1">
      <c r="A215" s="89"/>
      <c r="B215" s="27" t="s">
        <v>299</v>
      </c>
      <c r="C215" s="27" t="s">
        <v>121</v>
      </c>
      <c r="D215" s="27" t="s">
        <v>2</v>
      </c>
      <c r="E215" s="28" t="s">
        <v>122</v>
      </c>
      <c r="F215" s="26" t="s">
        <v>53</v>
      </c>
      <c r="G215" s="14">
        <v>50000</v>
      </c>
      <c r="H215" s="70"/>
      <c r="I215" s="14">
        <f>G215+H215</f>
        <v>50000</v>
      </c>
      <c r="J215" s="189"/>
    </row>
    <row r="216" spans="1:10" ht="177" customHeight="1">
      <c r="A216" s="89"/>
      <c r="B216" s="27" t="s">
        <v>404</v>
      </c>
      <c r="C216" s="27" t="s">
        <v>308</v>
      </c>
      <c r="D216" s="27" t="s">
        <v>332</v>
      </c>
      <c r="E216" s="148" t="s">
        <v>331</v>
      </c>
      <c r="F216" s="28" t="s">
        <v>327</v>
      </c>
      <c r="G216" s="14">
        <v>150000</v>
      </c>
      <c r="H216" s="70"/>
      <c r="I216" s="14">
        <f>G216+H216</f>
        <v>150000</v>
      </c>
      <c r="J216" s="189">
        <v>57</v>
      </c>
    </row>
    <row r="217" spans="1:10" ht="139.5" customHeight="1">
      <c r="A217" s="89"/>
      <c r="B217" s="95" t="s">
        <v>481</v>
      </c>
      <c r="C217" s="95" t="s">
        <v>482</v>
      </c>
      <c r="D217" s="95" t="s">
        <v>99</v>
      </c>
      <c r="E217" s="28" t="s">
        <v>483</v>
      </c>
      <c r="F217" s="123" t="s">
        <v>372</v>
      </c>
      <c r="G217" s="14"/>
      <c r="H217" s="14">
        <v>140000</v>
      </c>
      <c r="I217" s="14">
        <f>G217+H217</f>
        <v>140000</v>
      </c>
      <c r="J217" s="189"/>
    </row>
    <row r="218" spans="1:11" s="8" customFormat="1" ht="102" customHeight="1">
      <c r="A218" s="92"/>
      <c r="B218" s="94" t="s">
        <v>300</v>
      </c>
      <c r="C218" s="94" t="s">
        <v>135</v>
      </c>
      <c r="D218" s="95"/>
      <c r="E218" s="109" t="s">
        <v>136</v>
      </c>
      <c r="F218" s="26"/>
      <c r="G218" s="14">
        <f>G219</f>
        <v>0</v>
      </c>
      <c r="H218" s="14">
        <f>H219</f>
        <v>323000</v>
      </c>
      <c r="I218" s="14">
        <f>I219</f>
        <v>323000</v>
      </c>
      <c r="J218" s="189"/>
      <c r="K218" s="60"/>
    </row>
    <row r="219" spans="1:11" s="42" customFormat="1" ht="333" customHeight="1">
      <c r="A219" s="91"/>
      <c r="B219" s="88" t="s">
        <v>389</v>
      </c>
      <c r="C219" s="88" t="s">
        <v>388</v>
      </c>
      <c r="D219" s="88" t="s">
        <v>6</v>
      </c>
      <c r="E219" s="101" t="s">
        <v>412</v>
      </c>
      <c r="F219" s="38" t="s">
        <v>327</v>
      </c>
      <c r="G219" s="44"/>
      <c r="H219" s="44">
        <f>341539-18539</f>
        <v>323000</v>
      </c>
      <c r="I219" s="44">
        <f>G219+H219</f>
        <v>323000</v>
      </c>
      <c r="J219" s="189"/>
      <c r="K219" s="63"/>
    </row>
    <row r="220" spans="1:11" s="42" customFormat="1" ht="111" customHeight="1" hidden="1">
      <c r="A220" s="91"/>
      <c r="B220" s="27"/>
      <c r="C220" s="27"/>
      <c r="D220" s="27"/>
      <c r="E220" s="51" t="s">
        <v>317</v>
      </c>
      <c r="F220" s="26"/>
      <c r="G220" s="70">
        <f>G221</f>
        <v>0</v>
      </c>
      <c r="H220" s="70">
        <f>H221</f>
        <v>0</v>
      </c>
      <c r="I220" s="70">
        <f>I221</f>
        <v>0</v>
      </c>
      <c r="J220" s="189"/>
      <c r="K220" s="63"/>
    </row>
    <row r="221" spans="1:11" s="42" customFormat="1" ht="177" customHeight="1" hidden="1">
      <c r="A221" s="91"/>
      <c r="B221" s="27" t="s">
        <v>318</v>
      </c>
      <c r="C221" s="27" t="s">
        <v>121</v>
      </c>
      <c r="D221" s="27" t="s">
        <v>2</v>
      </c>
      <c r="E221" s="28" t="s">
        <v>122</v>
      </c>
      <c r="F221" s="26" t="s">
        <v>110</v>
      </c>
      <c r="G221" s="14"/>
      <c r="H221" s="14"/>
      <c r="I221" s="14">
        <f>G221+H221</f>
        <v>0</v>
      </c>
      <c r="J221" s="189"/>
      <c r="K221" s="63"/>
    </row>
    <row r="222" spans="1:10" ht="97.5" customHeight="1">
      <c r="A222" s="89"/>
      <c r="B222" s="50"/>
      <c r="C222" s="50"/>
      <c r="D222" s="50"/>
      <c r="E222" s="51" t="s">
        <v>289</v>
      </c>
      <c r="F222" s="52"/>
      <c r="G222" s="70">
        <f>G224+G225+G226+G227+G228+G230</f>
        <v>2486906</v>
      </c>
      <c r="H222" s="70">
        <f>H224+H225+H226+H227+H228+H230</f>
        <v>268343.33</v>
      </c>
      <c r="I222" s="70">
        <f>I224+I225+I226+I227+I228+I230</f>
        <v>2755249.33</v>
      </c>
      <c r="J222" s="189"/>
    </row>
    <row r="223" spans="1:10" ht="172.5" customHeight="1" hidden="1">
      <c r="A223" s="89"/>
      <c r="B223" s="27" t="s">
        <v>316</v>
      </c>
      <c r="C223" s="27" t="s">
        <v>121</v>
      </c>
      <c r="D223" s="27" t="s">
        <v>2</v>
      </c>
      <c r="E223" s="28" t="s">
        <v>122</v>
      </c>
      <c r="F223" s="26" t="s">
        <v>110</v>
      </c>
      <c r="G223" s="14"/>
      <c r="H223" s="14"/>
      <c r="I223" s="14">
        <f>G223+H223</f>
        <v>0</v>
      </c>
      <c r="J223" s="189"/>
    </row>
    <row r="224" spans="1:10" ht="235.5" customHeight="1">
      <c r="A224" s="89"/>
      <c r="B224" s="27" t="s">
        <v>290</v>
      </c>
      <c r="C224" s="27" t="s">
        <v>174</v>
      </c>
      <c r="D224" s="27" t="s">
        <v>29</v>
      </c>
      <c r="E224" s="28" t="s">
        <v>175</v>
      </c>
      <c r="F224" s="29" t="s">
        <v>118</v>
      </c>
      <c r="G224" s="14">
        <f>550000+50000+50000</f>
        <v>650000</v>
      </c>
      <c r="H224" s="14">
        <v>14343.33</v>
      </c>
      <c r="I224" s="14">
        <f>G224+H224</f>
        <v>664343.33</v>
      </c>
      <c r="J224" s="189"/>
    </row>
    <row r="225" spans="1:10" ht="163.5" customHeight="1">
      <c r="A225" s="89"/>
      <c r="B225" s="27" t="s">
        <v>291</v>
      </c>
      <c r="C225" s="27" t="s">
        <v>164</v>
      </c>
      <c r="D225" s="27" t="s">
        <v>7</v>
      </c>
      <c r="E225" s="28" t="s">
        <v>68</v>
      </c>
      <c r="F225" s="26" t="s">
        <v>94</v>
      </c>
      <c r="G225" s="14">
        <v>1085000</v>
      </c>
      <c r="H225" s="14"/>
      <c r="I225" s="14">
        <f>G225+H225</f>
        <v>1085000</v>
      </c>
      <c r="J225" s="189"/>
    </row>
    <row r="226" spans="1:10" ht="229.5" customHeight="1">
      <c r="A226" s="89"/>
      <c r="B226" s="27" t="s">
        <v>357</v>
      </c>
      <c r="C226" s="114" t="s">
        <v>356</v>
      </c>
      <c r="D226" s="114" t="s">
        <v>6</v>
      </c>
      <c r="E226" s="115" t="s">
        <v>358</v>
      </c>
      <c r="F226" s="126" t="s">
        <v>118</v>
      </c>
      <c r="G226" s="14"/>
      <c r="H226" s="14">
        <f>25000+25000</f>
        <v>50000</v>
      </c>
      <c r="I226" s="14">
        <f>G226+H226</f>
        <v>50000</v>
      </c>
      <c r="J226" s="189"/>
    </row>
    <row r="227" spans="1:10" ht="247.5" customHeight="1">
      <c r="A227" s="89"/>
      <c r="B227" s="114" t="s">
        <v>361</v>
      </c>
      <c r="C227" s="114" t="s">
        <v>362</v>
      </c>
      <c r="D227" s="114" t="s">
        <v>6</v>
      </c>
      <c r="E227" s="115" t="s">
        <v>363</v>
      </c>
      <c r="F227" s="126" t="s">
        <v>118</v>
      </c>
      <c r="G227" s="122"/>
      <c r="H227" s="122">
        <v>25000</v>
      </c>
      <c r="I227" s="14">
        <f>G227+H227</f>
        <v>25000</v>
      </c>
      <c r="J227" s="189"/>
    </row>
    <row r="228" spans="1:10" ht="241.5" customHeight="1">
      <c r="A228" s="89"/>
      <c r="B228" s="114" t="s">
        <v>359</v>
      </c>
      <c r="C228" s="114" t="s">
        <v>135</v>
      </c>
      <c r="D228" s="114"/>
      <c r="E228" s="115" t="s">
        <v>136</v>
      </c>
      <c r="F228" s="126" t="s">
        <v>118</v>
      </c>
      <c r="G228" s="122">
        <f>G229</f>
        <v>731906</v>
      </c>
      <c r="H228" s="122">
        <f>H229</f>
        <v>0</v>
      </c>
      <c r="I228" s="122">
        <f>I229</f>
        <v>731906</v>
      </c>
      <c r="J228" s="189"/>
    </row>
    <row r="229" spans="1:10" ht="235.5" customHeight="1">
      <c r="A229" s="89"/>
      <c r="B229" s="117" t="s">
        <v>360</v>
      </c>
      <c r="C229" s="117" t="s">
        <v>325</v>
      </c>
      <c r="D229" s="117" t="s">
        <v>6</v>
      </c>
      <c r="E229" s="118" t="s">
        <v>326</v>
      </c>
      <c r="F229" s="121" t="s">
        <v>118</v>
      </c>
      <c r="G229" s="125">
        <f>642000+89906</f>
        <v>731906</v>
      </c>
      <c r="H229" s="125"/>
      <c r="I229" s="14">
        <f>G229+H229</f>
        <v>731906</v>
      </c>
      <c r="J229" s="188">
        <v>58</v>
      </c>
    </row>
    <row r="230" spans="1:10" ht="160.5" customHeight="1">
      <c r="A230" s="89"/>
      <c r="B230" s="27" t="s">
        <v>456</v>
      </c>
      <c r="C230" s="27" t="s">
        <v>440</v>
      </c>
      <c r="D230" s="27" t="s">
        <v>31</v>
      </c>
      <c r="E230" s="106" t="s">
        <v>441</v>
      </c>
      <c r="F230" s="26" t="s">
        <v>94</v>
      </c>
      <c r="G230" s="14">
        <v>20000</v>
      </c>
      <c r="H230" s="14">
        <v>179000</v>
      </c>
      <c r="I230" s="14">
        <f>G230+H230</f>
        <v>199000</v>
      </c>
      <c r="J230" s="188"/>
    </row>
    <row r="231" spans="1:11" s="7" customFormat="1" ht="111.75" customHeight="1">
      <c r="A231" s="93"/>
      <c r="B231" s="27"/>
      <c r="C231" s="27"/>
      <c r="D231" s="27"/>
      <c r="E231" s="51" t="s">
        <v>302</v>
      </c>
      <c r="F231" s="31"/>
      <c r="G231" s="70">
        <f>G233+G234+G235+G236</f>
        <v>91900</v>
      </c>
      <c r="H231" s="70">
        <f>H233+H234+H235+H236</f>
        <v>4572800</v>
      </c>
      <c r="I231" s="70">
        <f>I233+I234+I235+I236</f>
        <v>4664700</v>
      </c>
      <c r="J231" s="188"/>
      <c r="K231" s="65"/>
    </row>
    <row r="232" spans="1:11" s="7" customFormat="1" ht="186.75" customHeight="1" hidden="1">
      <c r="A232" s="93"/>
      <c r="B232" s="27" t="s">
        <v>368</v>
      </c>
      <c r="C232" s="27" t="s">
        <v>121</v>
      </c>
      <c r="D232" s="27" t="s">
        <v>2</v>
      </c>
      <c r="E232" s="28" t="s">
        <v>122</v>
      </c>
      <c r="F232" s="26" t="s">
        <v>110</v>
      </c>
      <c r="G232" s="14"/>
      <c r="H232" s="14"/>
      <c r="I232" s="14">
        <f>G232+H232</f>
        <v>0</v>
      </c>
      <c r="J232" s="188"/>
      <c r="K232" s="65"/>
    </row>
    <row r="233" spans="1:11" s="7" customFormat="1" ht="186.75" customHeight="1">
      <c r="A233" s="93"/>
      <c r="B233" s="114" t="s">
        <v>364</v>
      </c>
      <c r="C233" s="114" t="s">
        <v>144</v>
      </c>
      <c r="D233" s="114" t="s">
        <v>30</v>
      </c>
      <c r="E233" s="115" t="s">
        <v>76</v>
      </c>
      <c r="F233" s="116" t="s">
        <v>116</v>
      </c>
      <c r="G233" s="122">
        <v>75000</v>
      </c>
      <c r="H233" s="14"/>
      <c r="I233" s="14">
        <f>G233+H233</f>
        <v>75000</v>
      </c>
      <c r="J233" s="188"/>
      <c r="K233" s="65"/>
    </row>
    <row r="234" spans="1:10" ht="171.75" customHeight="1">
      <c r="A234" s="89"/>
      <c r="B234" s="27" t="s">
        <v>303</v>
      </c>
      <c r="C234" s="27" t="s">
        <v>133</v>
      </c>
      <c r="D234" s="27" t="s">
        <v>14</v>
      </c>
      <c r="E234" s="28" t="s">
        <v>134</v>
      </c>
      <c r="F234" s="29" t="s">
        <v>117</v>
      </c>
      <c r="G234" s="14"/>
      <c r="H234" s="14">
        <v>20000</v>
      </c>
      <c r="I234" s="14">
        <f>G234+H234</f>
        <v>20000</v>
      </c>
      <c r="J234" s="188"/>
    </row>
    <row r="235" spans="1:10" ht="243" customHeight="1">
      <c r="A235" s="89"/>
      <c r="B235" s="27" t="s">
        <v>496</v>
      </c>
      <c r="C235" s="27" t="s">
        <v>497</v>
      </c>
      <c r="D235" s="27" t="s">
        <v>31</v>
      </c>
      <c r="E235" s="169" t="s">
        <v>498</v>
      </c>
      <c r="F235" s="123" t="s">
        <v>372</v>
      </c>
      <c r="G235" s="14"/>
      <c r="H235" s="14">
        <v>4000000</v>
      </c>
      <c r="I235" s="14">
        <f>G235+H235</f>
        <v>4000000</v>
      </c>
      <c r="J235" s="188"/>
    </row>
    <row r="236" spans="1:10" ht="171.75" customHeight="1">
      <c r="A236" s="89"/>
      <c r="B236" s="27" t="s">
        <v>418</v>
      </c>
      <c r="C236" s="27" t="s">
        <v>131</v>
      </c>
      <c r="D236" s="27" t="s">
        <v>31</v>
      </c>
      <c r="E236" s="28" t="s">
        <v>132</v>
      </c>
      <c r="F236" s="123" t="s">
        <v>372</v>
      </c>
      <c r="G236" s="14">
        <f>4900+12000</f>
        <v>16900</v>
      </c>
      <c r="H236" s="14">
        <f>500000+14800+38000</f>
        <v>552800</v>
      </c>
      <c r="I236" s="14">
        <f>G236+H236</f>
        <v>569700</v>
      </c>
      <c r="J236" s="188"/>
    </row>
    <row r="237" spans="1:11" ht="54.75" customHeight="1">
      <c r="A237" s="89"/>
      <c r="B237" s="18"/>
      <c r="C237" s="19"/>
      <c r="D237" s="18"/>
      <c r="E237" s="35" t="s">
        <v>3</v>
      </c>
      <c r="F237" s="36"/>
      <c r="G237" s="71">
        <f>G8+G63+G97+G120+G145+G148+G157+G188+G190+G214+G220+G222+G231</f>
        <v>413735023.04999995</v>
      </c>
      <c r="H237" s="71">
        <f>H8+H63+H97+H120+H145+H148+H157+H188+H190+H214+H220+H222+H231</f>
        <v>514377594.12999994</v>
      </c>
      <c r="I237" s="71">
        <f>I8+I63+I97+I120+I145+I148+I157+I188+I190+I214+I220+I222+I231</f>
        <v>928112617.18</v>
      </c>
      <c r="J237" s="188"/>
      <c r="K237" s="58">
        <f>G237+H237-I237</f>
        <v>0</v>
      </c>
    </row>
    <row r="238" spans="1:11" ht="223.5" customHeight="1">
      <c r="A238" s="89"/>
      <c r="B238" s="21"/>
      <c r="C238" s="20"/>
      <c r="D238" s="21"/>
      <c r="E238" s="75"/>
      <c r="F238" s="76"/>
      <c r="G238" s="77"/>
      <c r="H238" s="77"/>
      <c r="I238" s="77"/>
      <c r="J238" s="188"/>
      <c r="K238" s="58"/>
    </row>
    <row r="239" spans="1:11" ht="67.5" customHeight="1">
      <c r="A239" s="89"/>
      <c r="B239" s="171" t="s">
        <v>502</v>
      </c>
      <c r="C239" s="172"/>
      <c r="D239" s="172"/>
      <c r="E239" s="173"/>
      <c r="F239" s="174"/>
      <c r="G239" s="175"/>
      <c r="H239" s="174"/>
      <c r="I239" s="77"/>
      <c r="J239" s="188"/>
      <c r="K239" s="58"/>
    </row>
    <row r="240" spans="2:11" ht="63.75" customHeight="1">
      <c r="B240" s="176" t="s">
        <v>501</v>
      </c>
      <c r="C240" s="177"/>
      <c r="D240" s="177"/>
      <c r="E240" s="178"/>
      <c r="F240" s="174"/>
      <c r="G240" s="174"/>
      <c r="H240" s="175" t="s">
        <v>503</v>
      </c>
      <c r="I240" s="58"/>
      <c r="J240" s="188"/>
      <c r="K240" s="58"/>
    </row>
    <row r="241" spans="2:11" ht="63.75" customHeight="1">
      <c r="B241" s="203"/>
      <c r="C241" s="203"/>
      <c r="D241" s="203"/>
      <c r="E241" s="80"/>
      <c r="F241" s="76"/>
      <c r="G241" s="77"/>
      <c r="H241" s="77"/>
      <c r="I241" s="58"/>
      <c r="J241" s="188"/>
      <c r="K241" s="58"/>
    </row>
    <row r="242" spans="2:11" ht="54.75" customHeight="1">
      <c r="B242" s="170"/>
      <c r="C242" s="82"/>
      <c r="D242" s="82"/>
      <c r="E242" s="82"/>
      <c r="F242" s="76"/>
      <c r="G242" s="77"/>
      <c r="H242" s="77"/>
      <c r="I242" s="77"/>
      <c r="J242" s="188"/>
      <c r="K242" s="58"/>
    </row>
    <row r="243" spans="2:11" ht="54.75" customHeight="1">
      <c r="B243" s="79"/>
      <c r="C243" s="79"/>
      <c r="D243" s="79"/>
      <c r="E243" s="22"/>
      <c r="F243" s="23"/>
      <c r="G243" s="72"/>
      <c r="H243" s="72"/>
      <c r="I243" s="77"/>
      <c r="J243" s="188"/>
      <c r="K243" s="58"/>
    </row>
    <row r="244" spans="2:10" ht="45.75" customHeight="1">
      <c r="B244" s="79"/>
      <c r="C244" s="79"/>
      <c r="D244" s="79"/>
      <c r="E244" s="22"/>
      <c r="F244" s="23"/>
      <c r="G244" s="72"/>
      <c r="H244" s="72"/>
      <c r="I244" s="72"/>
      <c r="J244" s="188"/>
    </row>
    <row r="245" spans="2:10" ht="91.5" customHeight="1">
      <c r="B245" s="218"/>
      <c r="C245" s="218"/>
      <c r="D245" s="218"/>
      <c r="E245" s="82"/>
      <c r="F245" s="82"/>
      <c r="G245" s="221"/>
      <c r="H245" s="221"/>
      <c r="I245" s="221"/>
      <c r="J245" s="166"/>
    </row>
    <row r="246" spans="2:10" ht="91.5" customHeight="1">
      <c r="B246" s="73"/>
      <c r="C246" s="73"/>
      <c r="D246" s="73"/>
      <c r="E246" s="79"/>
      <c r="F246" s="79"/>
      <c r="G246" s="160">
        <f>G237-G9-G10-G11-G13-G14-G15-G17-G19-G20-G22-G23-G24-G25-G27-G28-G30-G31-G33-G34-G36-G37-G39-G42-G43-G44-G45-G46-G47-G48-G50-G51-G53-G54-G55-G56-G57-G58-G59-G60-G61-G62-G64-G65-G66-G67-G68-G69-G70-G71-G73-G74-G76-G77-G78-G79-G80-G82-G83-G84-G85-G86-G87-G89-G91-G92-G93-G94-G95-G96-G98-G99-G100-G101-G103-G104-G106-G109-G110-G111-G112-G114-G115-G117-G118-G119-G121-G123-G124-G125-G126-G127-G130-G131-G132-G134-G135-G136-G137-G138-G140-G141-G142-G143-G144-G147-G149-G150-G151-G153-G154-G155-G156-G158-G159-G160-G162-G163-G164-G165-G166-G167-G168-G169-G170-G171-G172-G173-G174-G175-G176-G178-G179-G180-G182-G183-G184-G186-G187-G189-G191-G192-G194-G195-G196-G198-G199-G200-G201-G202-G203-G205-G207-G209-G210-G212-G213-G215-G216-G217-G219-G224-G225-G226-G227-G229-G230-G233-G234-G235-G236</f>
        <v>-2.9336661100387573E-08</v>
      </c>
      <c r="H246" s="160">
        <f>H237-H9-H10-H11-H13-H14-H15-H17-H19-H20-H22-H23-H24-H25-H27-H28-H30-H31-H33-H34-H36-H37-H39-H42-H43-H44-H45-H46-H47-H48-H50-H51-H53-H54-H55-H56-H57-H58-H59-H60-H61-H62-H64-H65-H66-H67-H68-H69-H70-H71-H73-H74-H76-H77-H78-H79-H80-H82-H83-H84-H85-H86-H87-H89-H91-H92-H93-H94-H95-H96-H98-H99-H100-H101-H103-H104-H106-H109-H110-H111-H112-H114-H115-H117-H118-H119-H121-H123-H124-H125-H126-H127-H130-H131-H132-H134-H135-H136-H137-H138-H140-H141-H142-H143-H144-H147-H149-H150-H151-H153-H154-H155-H156-H158-H159-H160-H162-H163-H164-H165-H166-H167-H168-H169-H170-H171-H172-H173-H174-H175-H176-H178-H179-H180-H182-H183-H184-H186-H187-H189-H191-H192-H194-H195-H196-H198-H199-H200-H201-H202-H203-H205-H207-H209-H210-H212-H213-H215-H216-H217-H219-H224-H225-H226-H227-H229-H230-H233-H234-H235-H236</f>
        <v>-8.568167686462402E-08</v>
      </c>
      <c r="I246" s="160">
        <f>I237-I9-I10-I11-I13-I14-I15-I17-I19-I20-I22-I23-I24-I25-I27-I28-I30-I31-I33-I34-I36-I37-I39-I42-I43-I44-I45-I46-I47-I48-I50-I51-I53-I54-I55-I56-I57-I58-I59-I60-I61-I62-I64-I65-I66-I67-I68-I69-I70-I71-I73-I74-I76-I77-I78-I79-I80-I82-I83-I84-I85-I86-I87-I89-I91-I92-I93-I94-I95-I96-I98-I99-I100-I101-I103-I104-I106-I109-I110-I111-I112-I114-I115-I117-I118-I119-I121-I123-I124-I125-I126-I127-I130-I131-I132-I134-I135-I136-I137-I138-I140-I141-I142-I143-I144-I147-I149-I150-I151-I153-I154-I155-I156-I158-I159-I160-I162-I163-I164-I165-I166-I167-I168-I169-I170-I171-I172-I173-I174-I175-I176-I178-I179-I180-I182-I183-I184-I186-I187-I189-I191-I192-I194-I195-I196-I198-I199-I200-I201-I202-I203-I205-I207-I209-I210-I212-I213-I215-I216-I217-I219-I224-I225-I226-I227-I229-I230-I233-I234-I235-I236</f>
        <v>1.0244548320770264E-08</v>
      </c>
      <c r="J246" s="160"/>
    </row>
    <row r="247" spans="2:10" ht="55.5" customHeight="1">
      <c r="B247" s="218"/>
      <c r="C247" s="218"/>
      <c r="D247" s="218"/>
      <c r="E247" s="80"/>
      <c r="F247" s="80"/>
      <c r="G247" s="136"/>
      <c r="H247" s="136"/>
      <c r="I247" s="136"/>
      <c r="J247" s="166"/>
    </row>
    <row r="248" spans="2:10" ht="59.25" customHeight="1">
      <c r="B248" s="73"/>
      <c r="C248" s="73"/>
      <c r="D248" s="73"/>
      <c r="E248" s="81"/>
      <c r="G248" s="69"/>
      <c r="H248" s="69"/>
      <c r="I248" s="69"/>
      <c r="J248" s="166"/>
    </row>
    <row r="249" spans="2:10" ht="72.75" customHeight="1">
      <c r="B249" s="220"/>
      <c r="C249" s="220"/>
      <c r="D249" s="220"/>
      <c r="E249" s="220"/>
      <c r="F249" s="78"/>
      <c r="G249" s="136"/>
      <c r="H249" s="219"/>
      <c r="I249" s="219"/>
      <c r="J249" s="166"/>
    </row>
    <row r="250" spans="1:17" s="13" customFormat="1" ht="69.75" customHeight="1">
      <c r="A250" s="10"/>
      <c r="B250" s="73"/>
      <c r="C250" s="73"/>
      <c r="D250" s="25"/>
      <c r="E250" s="24"/>
      <c r="F250" s="25"/>
      <c r="G250" s="141"/>
      <c r="H250" s="141"/>
      <c r="I250" s="141"/>
      <c r="J250" s="166"/>
      <c r="K250" s="57"/>
      <c r="L250" s="11"/>
      <c r="M250" s="11"/>
      <c r="N250" s="11"/>
      <c r="O250" s="12"/>
      <c r="P250" s="12"/>
      <c r="Q250" s="9"/>
    </row>
    <row r="251" spans="2:12" ht="50.25">
      <c r="B251" s="73"/>
      <c r="C251" s="73"/>
      <c r="G251" s="69"/>
      <c r="H251" s="69"/>
      <c r="I251" s="69"/>
      <c r="J251" s="166"/>
      <c r="K251" s="69"/>
      <c r="L251" s="69"/>
    </row>
    <row r="252" spans="2:10" ht="44.25">
      <c r="B252" s="73"/>
      <c r="C252" s="73"/>
      <c r="I252" s="68"/>
      <c r="J252" s="166"/>
    </row>
    <row r="253" spans="2:10" ht="131.25" customHeight="1">
      <c r="B253" s="73"/>
      <c r="C253" s="73"/>
      <c r="I253" s="68"/>
      <c r="J253" s="166"/>
    </row>
    <row r="254" spans="9:10" ht="131.25" customHeight="1">
      <c r="I254" s="68"/>
      <c r="J254" s="166"/>
    </row>
    <row r="255" ht="131.25" customHeight="1">
      <c r="J255" s="166"/>
    </row>
    <row r="258" spans="7:10" ht="64.5" customHeight="1">
      <c r="G258" s="143"/>
      <c r="H258" s="143"/>
      <c r="I258" s="217"/>
      <c r="J258" s="217"/>
    </row>
    <row r="259" spans="7:10" ht="64.5">
      <c r="G259" s="144"/>
      <c r="H259" s="144"/>
      <c r="I259" s="137"/>
      <c r="J259" s="154"/>
    </row>
    <row r="260" spans="7:10" ht="63.75">
      <c r="G260" s="145"/>
      <c r="H260" s="145"/>
      <c r="I260" s="136"/>
      <c r="J260" s="154"/>
    </row>
    <row r="261" spans="7:10" ht="50.25">
      <c r="G261" s="146"/>
      <c r="H261" s="147"/>
      <c r="I261" s="69"/>
      <c r="J261" s="152"/>
    </row>
  </sheetData>
  <sheetProtection/>
  <mergeCells count="152">
    <mergeCell ref="D131:D132"/>
    <mergeCell ref="E134:E135"/>
    <mergeCell ref="E9:E10"/>
    <mergeCell ref="D9:D10"/>
    <mergeCell ref="B60:B62"/>
    <mergeCell ref="B48:B49"/>
    <mergeCell ref="B50:B51"/>
    <mergeCell ref="D14:D15"/>
    <mergeCell ref="C23:C24"/>
    <mergeCell ref="E23:E24"/>
    <mergeCell ref="C91:C92"/>
    <mergeCell ref="B95:B96"/>
    <mergeCell ref="C95:C96"/>
    <mergeCell ref="B79:B80"/>
    <mergeCell ref="C79:C80"/>
    <mergeCell ref="B85:B87"/>
    <mergeCell ref="B91:B92"/>
    <mergeCell ref="C105:C106"/>
    <mergeCell ref="C99:C101"/>
    <mergeCell ref="B102:B104"/>
    <mergeCell ref="C102:C104"/>
    <mergeCell ref="B105:B106"/>
    <mergeCell ref="G1:I1"/>
    <mergeCell ref="B99:B101"/>
    <mergeCell ref="C50:C51"/>
    <mergeCell ref="B82:B83"/>
    <mergeCell ref="D82:D83"/>
    <mergeCell ref="C69:C74"/>
    <mergeCell ref="B69:B74"/>
    <mergeCell ref="B65:B68"/>
    <mergeCell ref="G3:I3"/>
    <mergeCell ref="C9:C10"/>
    <mergeCell ref="D23:D24"/>
    <mergeCell ref="E14:E15"/>
    <mergeCell ref="C14:C15"/>
    <mergeCell ref="C168:C169"/>
    <mergeCell ref="E168:E169"/>
    <mergeCell ref="D76:D78"/>
    <mergeCell ref="D48:D49"/>
    <mergeCell ref="E69:E72"/>
    <mergeCell ref="E102:E104"/>
    <mergeCell ref="C114:C115"/>
    <mergeCell ref="B23:B24"/>
    <mergeCell ref="B9:B10"/>
    <mergeCell ref="B76:B78"/>
    <mergeCell ref="C65:C68"/>
    <mergeCell ref="B14:B15"/>
    <mergeCell ref="C48:C49"/>
    <mergeCell ref="B58:B59"/>
    <mergeCell ref="C58:C59"/>
    <mergeCell ref="B134:B135"/>
    <mergeCell ref="B140:B141"/>
    <mergeCell ref="C82:C83"/>
    <mergeCell ref="D50:D51"/>
    <mergeCell ref="C60:C62"/>
    <mergeCell ref="D69:D74"/>
    <mergeCell ref="D60:D62"/>
    <mergeCell ref="D85:D87"/>
    <mergeCell ref="D99:D101"/>
    <mergeCell ref="C140:C141"/>
    <mergeCell ref="I258:J258"/>
    <mergeCell ref="B245:D245"/>
    <mergeCell ref="E131:E132"/>
    <mergeCell ref="H249:I249"/>
    <mergeCell ref="B249:E249"/>
    <mergeCell ref="B247:D247"/>
    <mergeCell ref="B168:B169"/>
    <mergeCell ref="G245:I245"/>
    <mergeCell ref="C131:C132"/>
    <mergeCell ref="B131:B132"/>
    <mergeCell ref="B111:B112"/>
    <mergeCell ref="C108:C110"/>
    <mergeCell ref="C111:C112"/>
    <mergeCell ref="B108:B110"/>
    <mergeCell ref="E108:E110"/>
    <mergeCell ref="D170:D171"/>
    <mergeCell ref="B159:B160"/>
    <mergeCell ref="B154:B155"/>
    <mergeCell ref="C154:C155"/>
    <mergeCell ref="C159:C160"/>
    <mergeCell ref="D159:D160"/>
    <mergeCell ref="D154:D155"/>
    <mergeCell ref="B114:B115"/>
    <mergeCell ref="B143:B144"/>
    <mergeCell ref="E91:E92"/>
    <mergeCell ref="E105:E106"/>
    <mergeCell ref="E99:E101"/>
    <mergeCell ref="E95:E96"/>
    <mergeCell ref="G2:I2"/>
    <mergeCell ref="E85:E87"/>
    <mergeCell ref="E50:E51"/>
    <mergeCell ref="E60:E62"/>
    <mergeCell ref="E79:E80"/>
    <mergeCell ref="E82:E83"/>
    <mergeCell ref="E48:E49"/>
    <mergeCell ref="E76:E78"/>
    <mergeCell ref="E65:E68"/>
    <mergeCell ref="B5:I5"/>
    <mergeCell ref="D58:D59"/>
    <mergeCell ref="E58:E59"/>
    <mergeCell ref="C85:C87"/>
    <mergeCell ref="C76:C78"/>
    <mergeCell ref="D79:D80"/>
    <mergeCell ref="D65:D68"/>
    <mergeCell ref="D91:D92"/>
    <mergeCell ref="D105:D106"/>
    <mergeCell ref="D95:D96"/>
    <mergeCell ref="B241:D241"/>
    <mergeCell ref="B198:B199"/>
    <mergeCell ref="C198:C199"/>
    <mergeCell ref="D198:D199"/>
    <mergeCell ref="D102:D104"/>
    <mergeCell ref="D108:D110"/>
    <mergeCell ref="C143:C144"/>
    <mergeCell ref="D168:D169"/>
    <mergeCell ref="E170:E171"/>
    <mergeCell ref="C173:C174"/>
    <mergeCell ref="D111:D112"/>
    <mergeCell ref="D143:D144"/>
    <mergeCell ref="C134:C135"/>
    <mergeCell ref="D114:D115"/>
    <mergeCell ref="E140:E141"/>
    <mergeCell ref="D140:D141"/>
    <mergeCell ref="D134:D135"/>
    <mergeCell ref="B170:B171"/>
    <mergeCell ref="C170:C171"/>
    <mergeCell ref="E173:E174"/>
    <mergeCell ref="D173:D174"/>
    <mergeCell ref="B173:B174"/>
    <mergeCell ref="E198:E199"/>
    <mergeCell ref="E159:E160"/>
    <mergeCell ref="E111:E112"/>
    <mergeCell ref="E154:E155"/>
    <mergeCell ref="E114:E115"/>
    <mergeCell ref="E143:E144"/>
    <mergeCell ref="J1:J17"/>
    <mergeCell ref="J18:J35"/>
    <mergeCell ref="J36:J51"/>
    <mergeCell ref="J52:J64"/>
    <mergeCell ref="J65:J78"/>
    <mergeCell ref="J79:J90"/>
    <mergeCell ref="J91:J101"/>
    <mergeCell ref="J103:J116"/>
    <mergeCell ref="J117:J130"/>
    <mergeCell ref="J131:J146"/>
    <mergeCell ref="J147:J158"/>
    <mergeCell ref="J159:J172"/>
    <mergeCell ref="J229:J244"/>
    <mergeCell ref="J173:J185"/>
    <mergeCell ref="J186:J199"/>
    <mergeCell ref="J200:J215"/>
    <mergeCell ref="J216:J228"/>
  </mergeCells>
  <printOptions horizontalCentered="1"/>
  <pageMargins left="0.2755905511811024" right="0.1968503937007874" top="0.63" bottom="0.56" header="0.3937007874015748" footer="0.37"/>
  <pageSetup firstPageNumber="1" useFirstPageNumber="1" fitToHeight="17" horizontalDpi="600" verticalDpi="600" orientation="landscape" paperSize="9" scale="21" r:id="rId1"/>
  <headerFooter alignWithMargins="0">
    <oddHeader>&amp;L &amp;R&amp;50Продовження додатку 5</oddHeader>
  </headerFooter>
  <rowBreaks count="5" manualBreakCount="5">
    <brk id="90" min="1" max="9" man="1"/>
    <brk id="102" min="1" max="9" man="1"/>
    <brk id="130" min="1" max="9" man="1"/>
    <brk id="146" min="1" max="9" man="1"/>
    <brk id="15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2018-06-13T11:39:30Z</cp:lastPrinted>
  <dcterms:created xsi:type="dcterms:W3CDTF">2014-01-17T10:52:16Z</dcterms:created>
  <dcterms:modified xsi:type="dcterms:W3CDTF">2018-06-21T14:01:23Z</dcterms:modified>
  <cp:category/>
  <cp:version/>
  <cp:contentType/>
  <cp:contentStatus/>
</cp:coreProperties>
</file>