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615" tabRatio="125" activeTab="0"/>
  </bookViews>
  <sheets>
    <sheet name="Лист1" sheetId="1" r:id="rId1"/>
    <sheet name="Лист4" sheetId="2" r:id="rId2"/>
    <sheet name="Лист3" sheetId="3" r:id="rId3"/>
    <sheet name="Додаток 5" sheetId="4" r:id="rId4"/>
    <sheet name="Лист2" sheetId="5" r:id="rId5"/>
  </sheets>
  <definedNames>
    <definedName name="_xlnm.Print_Area" localSheetId="0">'Лист1'!$A$1:$V$291</definedName>
  </definedNames>
  <calcPr fullCalcOnLoad="1"/>
</workbook>
</file>

<file path=xl/sharedStrings.xml><?xml version="1.0" encoding="utf-8"?>
<sst xmlns="http://schemas.openxmlformats.org/spreadsheetml/2006/main" count="305" uniqueCount="139">
  <si>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</si>
  <si>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</si>
  <si>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</si>
  <si>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</si>
  <si>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</si>
  <si>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</si>
  <si>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</si>
  <si>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</si>
  <si>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Мета-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</si>
  <si>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</si>
  <si>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</si>
  <si>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КТКВК 180107 "Фінансування енергозберігаючих заходів", тис. грн.</t>
  </si>
  <si>
    <t>Показники виконання</t>
  </si>
  <si>
    <t>Показники затрат:</t>
  </si>
  <si>
    <t>обсяг видатків, тис грн.</t>
  </si>
  <si>
    <t>загальна кількість будівель, в яких впроваджуються заходи</t>
  </si>
  <si>
    <t>Показник продукту:</t>
  </si>
  <si>
    <t>Показник ефективності</t>
  </si>
  <si>
    <t>Показник якості</t>
  </si>
  <si>
    <t>Відповідальний виконавець: управління освіти і науки Сумської міської ради</t>
  </si>
  <si>
    <t>КТКВК 180107 "Фінансування енергозберігаючих заходів", тис грн</t>
  </si>
  <si>
    <t>Показник затрат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</si>
  <si>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</si>
  <si>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</si>
  <si>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</si>
  <si>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</si>
  <si>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</si>
  <si>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</si>
  <si>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</si>
  <si>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</si>
  <si>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</si>
  <si>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КТКВК 150101 "Капітальні вкладення", тис грн</t>
  </si>
  <si>
    <t>обсяг видатків, тис грн</t>
  </si>
  <si>
    <t>обсяг річної економії електричної енергії, МВтгод</t>
  </si>
  <si>
    <t>КТКВК 180107 Фінансування енергозберігаючих заходів", тис. грн.</t>
  </si>
  <si>
    <t>кількість закладів, у яких проводиться капітальний ремонт системи опалення, од.</t>
  </si>
  <si>
    <t>КТКВК 180107 "Фінансування енергозберігаючих заходів", тис грн.</t>
  </si>
  <si>
    <t>кількість встановленого обладнання, тис грн/од</t>
  </si>
  <si>
    <t>відсоток обєктів галузі "Освіта", в яких впроваджено систему моніторингу енергоспоживання на кінець року,%</t>
  </si>
  <si>
    <t>середні витрати на обслуговування системи моніторингу в одному закладі, тис грн/заклад</t>
  </si>
  <si>
    <t>відсоток обєктів бюджетної сфери, в яких впроваджено систему моніторингу, %</t>
  </si>
  <si>
    <t>Відповідальний виконавець: відділ охорони здоровя Сумської міської ради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</si>
  <si>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</si>
  <si>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</si>
  <si>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КТКВК 180107 "Фінансування енергозберігаючих заходів", тис.грн.</t>
  </si>
  <si>
    <t>КТКВК 250404 "Інші видатки", тис грн</t>
  </si>
  <si>
    <t>кількість проведених заходів з популяризації знань з енергозбереження, од</t>
  </si>
  <si>
    <t>середні витрати на проведення заходів з популяризації знань з енергозбереження, тис грн/од</t>
  </si>
  <si>
    <t>Економія електричної енергії, МВтгод</t>
  </si>
  <si>
    <t>Спец фонд</t>
  </si>
  <si>
    <t>Спец. фонд</t>
  </si>
  <si>
    <t>Заг. фонд</t>
  </si>
  <si>
    <t>середні витрати на модернізацію теплопунктів для впровадження заходу на обєкті, тис грн/од</t>
  </si>
  <si>
    <t xml:space="preserve">кількість </t>
  </si>
  <si>
    <t>обсяг річної економії природного газу, МВтгод/рік</t>
  </si>
  <si>
    <t>середні витрати на модернізацію одного закладу, тис грн/од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</si>
  <si>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</si>
  <si>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</si>
  <si>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</si>
  <si>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обєктах галузі Освіта")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</si>
  <si>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</si>
  <si>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</si>
  <si>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кількість закладів, в яких впроваджується захід, од</t>
  </si>
  <si>
    <t>Галузь "Освіта"</t>
  </si>
  <si>
    <t>кількість обєктів, у яких проводиться захід, од</t>
  </si>
  <si>
    <t>Галузь "Культура"</t>
  </si>
  <si>
    <t>Галузь "Соціальний захист"</t>
  </si>
  <si>
    <t>Відповідальний виконавець: виконавчий комітет  Сумської міської ради</t>
  </si>
  <si>
    <t>Економія природного газу</t>
  </si>
  <si>
    <t>Економія теплової енергії, МВтгод/рік</t>
  </si>
  <si>
    <t>обсяг річної економії електричної енергії 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</si>
  <si>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</si>
  <si>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</si>
  <si>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</si>
  <si>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</si>
  <si>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кільіксть закладів, в яких проводитиметься встановлення прогодних регуляторів теплового потоку, од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</si>
  <si>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</si>
  <si>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</si>
  <si>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</si>
  <si>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</si>
  <si>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</si>
  <si>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Відповідальні виконавці, код тимчасової класифікації видатків та кредитування (КТКВК), завдання програми, результативні показники</t>
  </si>
  <si>
    <t>Код програмної класифікації видатків та кредитування (КПКВК)</t>
  </si>
  <si>
    <t>КТКВК 180107" Фінансування енергозберігаючих заходів", тис грн</t>
  </si>
  <si>
    <t>Відповідальний виконавець: виконавчий комітет Сумської міської ради</t>
  </si>
  <si>
    <t>Завдання 14. Популяризація ідеї сталого енергетичного розвитку міста (проведення Днів Сталої енергії у місті Суми)</t>
  </si>
  <si>
    <t>кількість виготовлених інформаційних пакетів, од</t>
  </si>
  <si>
    <t>середні витрати на виготовлення інформаційного пакету, грн/од</t>
  </si>
  <si>
    <t>сесредні витрати на капітальний ремонт 1-го елеваторного вузла, тис грн/од</t>
  </si>
  <si>
    <t>кількість об'єктів, в яких створюється система моніторингу, од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</si>
  <si>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</si>
  <si>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</si>
  <si>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</si>
  <si>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</si>
  <si>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</si>
  <si>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</si>
  <si>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</si>
  <si>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КТКВК 180107 "Фінансування енергозберігаю-чих заходів",                тис грн</t>
  </si>
  <si>
    <t>КТКВК 180107 "Фінансування енергозберігаючих заходів",                   тис. грн.</t>
  </si>
  <si>
    <t>у тому числі  інші джерела коштів</t>
  </si>
  <si>
    <t>Завдання 14. Популяризація ідеї сталого енергетичного розвитку міста (виготовлення інформаційного пакету "План дій сталого енергетичного розвитку міста Суми                                                                      до 2025 року")</t>
  </si>
  <si>
    <r>
      <t>площа замінених огороджуючих конструкцій (вікна, дверні полотна), м</t>
    </r>
    <r>
      <rPr>
        <vertAlign val="superscript"/>
        <sz val="14"/>
        <color indexed="8"/>
        <rFont val="Times New Roman"/>
        <family val="1"/>
      </rPr>
      <t>2</t>
    </r>
  </si>
  <si>
    <r>
      <t>Завдання 2.</t>
    </r>
    <r>
      <rPr>
        <sz val="14"/>
        <color indexed="8"/>
        <rFont val="Times New Roman"/>
        <family val="1"/>
      </rPr>
      <t xml:space="preserve"> Модернізація систем освітлення</t>
    </r>
  </si>
  <si>
    <r>
      <t>площа замінених віконних блоків, 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</si>
  <si>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зовнішніх стін, грн/м2</t>
    </r>
  </si>
  <si>
    <r>
      <t>середні витрати на утеплення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зовнішніх стін, грн/м</t>
    </r>
    <r>
      <rPr>
        <vertAlign val="superscript"/>
        <sz val="14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</si>
  <si>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</si>
  <si>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</si>
  <si>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площі зовнішніх стін</t>
    </r>
  </si>
  <si>
    <r>
      <t>площа утеплення зовнішніх конструкцій, 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</si>
  <si>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віконних блоків, тис грн/м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</si>
  <si>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заміну віконних блоків, грн/м</t>
    </r>
    <r>
      <rPr>
        <vertAlign val="superscript"/>
        <sz val="14"/>
        <color indexed="8"/>
        <rFont val="Times New Roman"/>
        <family val="1"/>
      </rPr>
      <t>2</t>
    </r>
  </si>
  <si>
    <t>загальна кількість будівель, в яких впроваджуються заходи, од</t>
  </si>
  <si>
    <r>
      <t>середні витрати на заміну 1 м</t>
    </r>
    <r>
      <rPr>
        <vertAlign val="superscript"/>
        <sz val="16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6"/>
        <color indexed="8"/>
        <rFont val="Times New Roman"/>
        <family val="1"/>
      </rPr>
      <t>2</t>
    </r>
  </si>
  <si>
    <r>
      <t>площа замінених віконних блоків, м</t>
    </r>
    <r>
      <rPr>
        <vertAlign val="superscript"/>
        <sz val="16"/>
        <color indexed="8"/>
        <rFont val="Times New Roman"/>
        <family val="1"/>
      </rPr>
      <t>2</t>
    </r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</si>
  <si>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</si>
  <si>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</si>
  <si>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Завдання 7. Модернізація систем освітлення</t>
  </si>
  <si>
    <t>Завдання 8. Термомодернізація будівель (капітальний ремонт будівель (заміна віконних блоків))</t>
  </si>
  <si>
    <t>Завдання 9. Термомодернізція будівель (капітальний ремонт будівель (заміна віконних блоків))</t>
  </si>
  <si>
    <t>Завдання 10. Модернізація систем опалення</t>
  </si>
  <si>
    <t>Завдання 11. Капітальний ремонт будівлі</t>
  </si>
  <si>
    <t>КТКВК 180107 " Фінансування енергозберігаючих заходів", тис грн</t>
  </si>
  <si>
    <t>0318606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</si>
  <si>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</si>
  <si>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кількість об`єктів, у яких проводиться модернізація системи опалення, од</t>
  </si>
  <si>
    <t>кількістьмодульних котелень, од</t>
  </si>
  <si>
    <t>середні витрати на проведення робіт з модернізації системи опалення (завершення будівництва), грн/об`єкт</t>
  </si>
  <si>
    <t>Завдання 13. Участь у Добровільному об` єднанні органів місцевого самоврядування  Асоціації "Енергоефективні міста України"</t>
  </si>
  <si>
    <t>КТКВК 150101" Капітальні вкладення", тис грн</t>
  </si>
  <si>
    <t>Завдання 9. Термомодернізація будівель (капітальний ремонт будівель (утеплення фасаду)</t>
  </si>
  <si>
    <t>середні витрати на капітальний ремонт 1-ого елеваторного вузла, тис грн/од</t>
  </si>
  <si>
    <t>середні витрати на придбання твердопаливного котла, тис грн/од</t>
  </si>
  <si>
    <t>-</t>
  </si>
  <si>
    <t>Завдання 3. Термомодернізація будівель (придбання енергозберігаючих віконних блоків для ДНЗ № 15)</t>
  </si>
  <si>
    <t>Додаток 3</t>
  </si>
  <si>
    <t>В.о. директора департаменту фінансів, економіки та інвестицій Сумської міської ради</t>
  </si>
  <si>
    <t>Л.І. Співакова</t>
  </si>
  <si>
    <t>до рішення виконавчого комітету                                     від 15.08.2017 № 454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</si>
</sst>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name val="Times New Roman"/>
      <family val="1"/>
    </font>
    <font>
      <vertAlign val="superscript"/>
      <sz val="16"/>
      <color indexed="8"/>
      <name val="Times New Roman"/>
      <family val="1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180" fontId="10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14" fillId="0" borderId="0" xfId="0" applyFont="1" applyAlignment="1">
      <alignment horizontal="center" vertical="center" textRotation="180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16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textRotation="90" wrapText="1"/>
    </xf>
    <xf numFmtId="0" fontId="2" fillId="33" borderId="10" xfId="0" applyFont="1" applyFill="1" applyBorder="1" applyAlignment="1">
      <alignment vertical="center" textRotation="90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vertical="center" wrapText="1"/>
    </xf>
    <xf numFmtId="0" fontId="16" fillId="33" borderId="16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1" fontId="16" fillId="33" borderId="10" xfId="0" applyNumberFormat="1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16" fillId="33" borderId="18" xfId="0" applyFont="1" applyFill="1" applyBorder="1" applyAlignment="1">
      <alignment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16" fillId="33" borderId="18" xfId="0" applyFont="1" applyFill="1" applyBorder="1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justify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textRotation="90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80" fontId="16" fillId="33" borderId="18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80" fontId="16" fillId="33" borderId="10" xfId="0" applyNumberFormat="1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justify" vertical="center" wrapText="1"/>
    </xf>
    <xf numFmtId="2" fontId="16" fillId="33" borderId="10" xfId="0" applyNumberFormat="1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justify" vertical="center"/>
    </xf>
    <xf numFmtId="180" fontId="2" fillId="33" borderId="10" xfId="0" applyNumberFormat="1" applyFont="1" applyFill="1" applyBorder="1" applyAlignment="1">
      <alignment horizontal="justify" vertical="center"/>
    </xf>
    <xf numFmtId="0" fontId="2" fillId="33" borderId="18" xfId="0" applyFont="1" applyFill="1" applyBorder="1" applyAlignment="1">
      <alignment horizontal="justify" vertical="center"/>
    </xf>
    <xf numFmtId="180" fontId="2" fillId="33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6" fillId="33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6" fillId="33" borderId="21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19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textRotation="180" wrapText="1"/>
    </xf>
    <xf numFmtId="0" fontId="7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 textRotation="180" wrapText="1"/>
    </xf>
    <xf numFmtId="0" fontId="0" fillId="0" borderId="22" xfId="0" applyBorder="1" applyAlignment="1">
      <alignment horizontal="center" vertical="center" textRotation="18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33" borderId="20" xfId="0" applyFont="1" applyFill="1" applyBorder="1" applyAlignment="1">
      <alignment vertical="center"/>
    </xf>
    <xf numFmtId="180" fontId="6" fillId="0" borderId="0" xfId="0" applyNumberFormat="1" applyFont="1" applyAlignment="1">
      <alignment/>
    </xf>
    <xf numFmtId="1" fontId="2" fillId="33" borderId="18" xfId="0" applyNumberFormat="1" applyFont="1" applyFill="1" applyBorder="1" applyAlignment="1">
      <alignment horizontal="center" vertical="center"/>
    </xf>
    <xf numFmtId="180" fontId="14" fillId="0" borderId="0" xfId="0" applyNumberFormat="1" applyFont="1" applyAlignment="1">
      <alignment horizontal="center" vertical="center" textRotation="45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textRotation="18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10" fillId="33" borderId="0" xfId="0" applyNumberFormat="1" applyFont="1" applyFill="1" applyAlignment="1">
      <alignment/>
    </xf>
    <xf numFmtId="0" fontId="20" fillId="33" borderId="10" xfId="0" applyFont="1" applyFill="1" applyBorder="1" applyAlignment="1">
      <alignment horizontal="center" textRotation="90" wrapText="1"/>
    </xf>
    <xf numFmtId="0" fontId="21" fillId="0" borderId="0" xfId="0" applyFont="1" applyAlignment="1">
      <alignment horizontal="center" vertical="center" textRotation="180"/>
    </xf>
    <xf numFmtId="0" fontId="21" fillId="0" borderId="22" xfId="0" applyFont="1" applyBorder="1" applyAlignment="1">
      <alignment horizontal="center" vertical="center" textRotation="180"/>
    </xf>
    <xf numFmtId="0" fontId="21" fillId="0" borderId="0" xfId="0" applyFont="1" applyBorder="1" applyAlignment="1">
      <alignment horizontal="center" vertical="center" textRotation="180"/>
    </xf>
    <xf numFmtId="0" fontId="1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5" fillId="0" borderId="0" xfId="0" applyFont="1" applyAlignment="1">
      <alignment horizontal="left" vertical="top"/>
    </xf>
    <xf numFmtId="0" fontId="21" fillId="0" borderId="22" xfId="0" applyFont="1" applyBorder="1" applyAlignment="1">
      <alignment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6" fillId="33" borderId="26" xfId="0" applyFont="1" applyFill="1" applyBorder="1" applyAlignment="1">
      <alignment horizontal="center" vertical="center" textRotation="90" wrapText="1"/>
    </xf>
    <xf numFmtId="0" fontId="16" fillId="33" borderId="17" xfId="0" applyFont="1" applyFill="1" applyBorder="1" applyAlignment="1">
      <alignment horizontal="center" vertical="center" textRotation="90" wrapText="1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16" fillId="33" borderId="27" xfId="0" applyFont="1" applyFill="1" applyBorder="1" applyAlignment="1">
      <alignment horizontal="justify" vertical="center"/>
    </xf>
    <xf numFmtId="0" fontId="2" fillId="33" borderId="20" xfId="0" applyFont="1" applyFill="1" applyBorder="1" applyAlignment="1">
      <alignment horizontal="justify" vertical="center"/>
    </xf>
    <xf numFmtId="0" fontId="2" fillId="33" borderId="16" xfId="0" applyFont="1" applyFill="1" applyBorder="1" applyAlignment="1">
      <alignment horizontal="justify" vertical="center"/>
    </xf>
    <xf numFmtId="0" fontId="16" fillId="33" borderId="27" xfId="0" applyFont="1" applyFill="1" applyBorder="1" applyAlignment="1">
      <alignment horizontal="justify" vertical="center" wrapText="1"/>
    </xf>
    <xf numFmtId="0" fontId="2" fillId="0" borderId="20" xfId="0" applyFont="1" applyBorder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textRotation="90" wrapText="1"/>
    </xf>
    <xf numFmtId="0" fontId="2" fillId="33" borderId="28" xfId="0" applyFont="1" applyFill="1" applyBorder="1" applyAlignment="1">
      <alignment horizontal="center" vertical="center" textRotation="90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3" borderId="20" xfId="0" applyFont="1" applyFill="1" applyBorder="1" applyAlignment="1">
      <alignment horizontal="justify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33" borderId="27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6" fillId="33" borderId="20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16" fillId="33" borderId="21" xfId="0" applyFont="1" applyFill="1" applyBorder="1" applyAlignment="1">
      <alignment horizontal="justify" vertical="center"/>
    </xf>
    <xf numFmtId="0" fontId="16" fillId="33" borderId="29" xfId="0" applyFont="1" applyFill="1" applyBorder="1" applyAlignment="1">
      <alignment vertical="center" wrapText="1"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/>
    </xf>
    <xf numFmtId="0" fontId="16" fillId="33" borderId="20" xfId="0" applyFont="1" applyFill="1" applyBorder="1" applyAlignment="1">
      <alignment horizontal="justify" vertical="center"/>
    </xf>
    <xf numFmtId="0" fontId="16" fillId="33" borderId="16" xfId="0" applyFont="1" applyFill="1" applyBorder="1" applyAlignment="1">
      <alignment horizontal="justify" vertical="center"/>
    </xf>
    <xf numFmtId="0" fontId="16" fillId="33" borderId="31" xfId="0" applyFont="1" applyFill="1" applyBorder="1" applyAlignment="1">
      <alignment horizontal="justify" vertical="center" wrapText="1"/>
    </xf>
    <xf numFmtId="0" fontId="16" fillId="33" borderId="32" xfId="0" applyFont="1" applyFill="1" applyBorder="1" applyAlignment="1">
      <alignment horizontal="justify" vertical="center" wrapText="1"/>
    </xf>
    <xf numFmtId="0" fontId="16" fillId="33" borderId="33" xfId="0" applyFont="1" applyFill="1" applyBorder="1" applyAlignment="1">
      <alignment horizontal="justify" vertical="center" wrapText="1"/>
    </xf>
    <xf numFmtId="0" fontId="16" fillId="33" borderId="21" xfId="0" applyFont="1" applyFill="1" applyBorder="1" applyAlignment="1">
      <alignment horizontal="justify" vertical="center" wrapText="1"/>
    </xf>
    <xf numFmtId="0" fontId="16" fillId="33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14" fontId="12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6" fillId="0" borderId="21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6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6" fillId="0" borderId="21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3"/>
  <sheetViews>
    <sheetView tabSelected="1" view="pageBreakPreview" zoomScale="69" zoomScaleSheetLayoutView="69" zoomScalePageLayoutView="0" workbookViewId="0" topLeftCell="A1">
      <selection activeCell="L2" sqref="L2:T2"/>
    </sheetView>
  </sheetViews>
  <sheetFormatPr defaultColWidth="9.140625" defaultRowHeight="15"/>
  <cols>
    <col min="1" max="1" width="23.8515625" style="0" customWidth="1"/>
    <col min="2" max="2" width="15.140625" style="0" bestFit="1" customWidth="1"/>
    <col min="3" max="3" width="13.421875" style="0" customWidth="1"/>
    <col min="4" max="4" width="13.57421875" style="0" customWidth="1"/>
    <col min="5" max="5" width="14.8515625" style="0" customWidth="1"/>
    <col min="6" max="6" width="8.00390625" style="0" customWidth="1"/>
    <col min="7" max="7" width="11.140625" style="0" customWidth="1"/>
    <col min="8" max="8" width="14.140625" style="0" customWidth="1"/>
    <col min="9" max="9" width="10.8515625" style="0" customWidth="1"/>
    <col min="10" max="10" width="15.00390625" style="0" customWidth="1"/>
    <col min="11" max="11" width="10.57421875" style="0" customWidth="1"/>
    <col min="12" max="12" width="10.28125" style="0" customWidth="1"/>
    <col min="13" max="13" width="12.8515625" style="0" customWidth="1"/>
    <col min="14" max="14" width="10.00390625" style="0" customWidth="1"/>
    <col min="15" max="15" width="11.140625" style="0" customWidth="1"/>
    <col min="16" max="16" width="13.8515625" style="0" hidden="1" customWidth="1"/>
    <col min="17" max="17" width="9.57421875" style="0" hidden="1" customWidth="1"/>
    <col min="18" max="18" width="9.57421875" style="0" customWidth="1"/>
    <col min="19" max="19" width="10.7109375" style="0" customWidth="1"/>
    <col min="20" max="20" width="6.8515625" style="0" customWidth="1"/>
    <col min="21" max="21" width="2.57421875" style="110" customWidth="1"/>
    <col min="22" max="22" width="9.140625" style="110" customWidth="1"/>
  </cols>
  <sheetData>
    <row r="1" spans="5:20" ht="35.25" customHeight="1">
      <c r="E1" s="94"/>
      <c r="K1" s="102"/>
      <c r="L1" s="97"/>
      <c r="M1" s="97"/>
      <c r="N1" s="122" t="s">
        <v>135</v>
      </c>
      <c r="O1" s="122"/>
      <c r="P1" s="122"/>
      <c r="Q1" s="122"/>
      <c r="R1" s="122"/>
      <c r="S1" s="122"/>
      <c r="T1" s="122"/>
    </row>
    <row r="2" spans="4:20" ht="102.75" customHeight="1">
      <c r="D2" s="94"/>
      <c r="E2" s="94"/>
      <c r="G2" s="94"/>
      <c r="K2" s="103"/>
      <c r="L2" s="120" t="s">
        <v>138</v>
      </c>
      <c r="M2" s="121"/>
      <c r="N2" s="121"/>
      <c r="O2" s="121"/>
      <c r="P2" s="121"/>
      <c r="Q2" s="121"/>
      <c r="R2" s="121"/>
      <c r="S2" s="121"/>
      <c r="T2" s="121"/>
    </row>
    <row r="3" spans="15:20" ht="15.75" customHeight="1">
      <c r="O3" s="2"/>
      <c r="P3" s="2"/>
      <c r="Q3" s="2"/>
      <c r="R3" s="2"/>
      <c r="S3" s="2"/>
      <c r="T3" s="25"/>
    </row>
    <row r="4" spans="3:22" s="1" customFormat="1" ht="48.75" customHeight="1">
      <c r="C4" s="127" t="s">
        <v>124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T4" s="107"/>
      <c r="U4" s="111"/>
      <c r="V4" s="111"/>
    </row>
    <row r="5" spans="3:22" s="1" customFormat="1" ht="15" customHeight="1" thickBot="1">
      <c r="C5" s="105"/>
      <c r="T5" s="98"/>
      <c r="U5" s="111"/>
      <c r="V5" s="111"/>
    </row>
    <row r="6" spans="1:22" s="3" customFormat="1" ht="20.25" customHeight="1">
      <c r="A6" s="128" t="s">
        <v>81</v>
      </c>
      <c r="B6" s="124" t="s">
        <v>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  <c r="T6" s="100"/>
      <c r="U6" s="99"/>
      <c r="V6" s="99"/>
    </row>
    <row r="7" spans="1:22" s="3" customFormat="1" ht="18.75">
      <c r="A7" s="129"/>
      <c r="B7" s="32"/>
      <c r="C7" s="88" t="s">
        <v>1</v>
      </c>
      <c r="D7" s="104"/>
      <c r="E7" s="104"/>
      <c r="F7" s="68"/>
      <c r="G7" s="69"/>
      <c r="H7" s="132" t="s">
        <v>2</v>
      </c>
      <c r="I7" s="133"/>
      <c r="J7" s="133"/>
      <c r="K7" s="134"/>
      <c r="L7" s="135"/>
      <c r="M7" s="149" t="s">
        <v>3</v>
      </c>
      <c r="N7" s="149"/>
      <c r="O7" s="149"/>
      <c r="P7" s="149"/>
      <c r="Q7" s="149"/>
      <c r="R7" s="149"/>
      <c r="S7" s="149"/>
      <c r="T7" s="101"/>
      <c r="U7" s="99"/>
      <c r="V7" s="99"/>
    </row>
    <row r="8" spans="1:22" s="3" customFormat="1" ht="58.5" customHeight="1">
      <c r="A8" s="129"/>
      <c r="B8" s="150" t="s">
        <v>82</v>
      </c>
      <c r="C8" s="154" t="s">
        <v>4</v>
      </c>
      <c r="D8" s="144" t="s">
        <v>5</v>
      </c>
      <c r="E8" s="144"/>
      <c r="F8" s="152" t="s">
        <v>10</v>
      </c>
      <c r="G8" s="153"/>
      <c r="H8" s="154" t="s">
        <v>4</v>
      </c>
      <c r="I8" s="165" t="s">
        <v>5</v>
      </c>
      <c r="J8" s="165"/>
      <c r="K8" s="145" t="s">
        <v>10</v>
      </c>
      <c r="L8" s="135"/>
      <c r="M8" s="154" t="s">
        <v>4</v>
      </c>
      <c r="N8" s="144" t="s">
        <v>5</v>
      </c>
      <c r="O8" s="144"/>
      <c r="P8" s="144" t="s">
        <v>6</v>
      </c>
      <c r="Q8" s="144"/>
      <c r="R8" s="166" t="s">
        <v>99</v>
      </c>
      <c r="S8" s="167"/>
      <c r="T8" s="101"/>
      <c r="U8" s="99"/>
      <c r="V8" s="99"/>
    </row>
    <row r="9" spans="1:22" s="3" customFormat="1" ht="87.75" customHeight="1">
      <c r="A9" s="129"/>
      <c r="B9" s="151"/>
      <c r="C9" s="154"/>
      <c r="D9" s="33" t="s">
        <v>51</v>
      </c>
      <c r="E9" s="33" t="s">
        <v>50</v>
      </c>
      <c r="F9" s="33" t="s">
        <v>51</v>
      </c>
      <c r="G9" s="33" t="s">
        <v>49</v>
      </c>
      <c r="H9" s="154"/>
      <c r="I9" s="33" t="s">
        <v>51</v>
      </c>
      <c r="J9" s="33" t="s">
        <v>50</v>
      </c>
      <c r="K9" s="33" t="s">
        <v>51</v>
      </c>
      <c r="L9" s="33" t="s">
        <v>49</v>
      </c>
      <c r="M9" s="154"/>
      <c r="N9" s="33" t="s">
        <v>51</v>
      </c>
      <c r="O9" s="34" t="s">
        <v>50</v>
      </c>
      <c r="P9" s="33" t="s">
        <v>51</v>
      </c>
      <c r="Q9" s="34" t="s">
        <v>50</v>
      </c>
      <c r="R9" s="34" t="s">
        <v>51</v>
      </c>
      <c r="S9" s="33" t="s">
        <v>49</v>
      </c>
      <c r="T9" s="101"/>
      <c r="U9" s="99"/>
      <c r="V9" s="112">
        <v>8</v>
      </c>
    </row>
    <row r="10" spans="1:22" s="3" customFormat="1" ht="18.75">
      <c r="A10" s="35">
        <v>1</v>
      </c>
      <c r="B10" s="32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6">
        <v>16</v>
      </c>
      <c r="S10" s="36">
        <v>17</v>
      </c>
      <c r="T10" s="118"/>
      <c r="U10" s="99"/>
      <c r="V10" s="99"/>
    </row>
    <row r="11" spans="1:22" s="3" customFormat="1" ht="105" customHeight="1">
      <c r="A11" s="37" t="s">
        <v>7</v>
      </c>
      <c r="B11" s="38">
        <f>C11+H11+M11</f>
        <v>165713.91</v>
      </c>
      <c r="C11" s="64">
        <f>D11+E11+G11+F11</f>
        <v>73463.31000000001</v>
      </c>
      <c r="D11" s="39">
        <f>D34+D126+D141+D152+D165+D255+D281+D247+D193+D61+D179</f>
        <v>1163.65</v>
      </c>
      <c r="E11" s="39">
        <f>E16+E48+E73+E86+E113+E126+E179+E193+E206+E234+E17+E102+E219</f>
        <v>34007.56</v>
      </c>
      <c r="F11" s="40">
        <f>F48+F61</f>
        <v>230.8</v>
      </c>
      <c r="G11" s="72">
        <f>G16+G17+G48+G179+G73</f>
        <v>38061.3</v>
      </c>
      <c r="H11" s="41">
        <f>I11+J11+L11</f>
        <v>42917.6</v>
      </c>
      <c r="I11" s="42">
        <f>I34+I126+I141+I152+I165+I255+I247</f>
        <v>816</v>
      </c>
      <c r="J11" s="39">
        <f>J16+J48+J113+J126+J179+J206+J219</f>
        <v>10792.8</v>
      </c>
      <c r="K11" s="40"/>
      <c r="L11" s="40">
        <v>31308.8</v>
      </c>
      <c r="M11" s="43">
        <f>S11+O11+N11</f>
        <v>49333</v>
      </c>
      <c r="N11" s="44">
        <f>N34+N126+N141+N152+N165+N255+N247</f>
        <v>641</v>
      </c>
      <c r="O11" s="45">
        <f>O16+O48+O113+O126+O219</f>
        <v>10429.5</v>
      </c>
      <c r="P11" s="46"/>
      <c r="Q11" s="47"/>
      <c r="R11" s="47"/>
      <c r="S11" s="45">
        <v>38262.5</v>
      </c>
      <c r="T11" s="118"/>
      <c r="U11" s="99"/>
      <c r="V11" s="99"/>
    </row>
    <row r="12" spans="1:22" s="3" customFormat="1" ht="63" customHeight="1">
      <c r="A12" s="159" t="s">
        <v>8</v>
      </c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2"/>
      <c r="T12" s="118"/>
      <c r="U12" s="99"/>
      <c r="V12" s="99"/>
    </row>
    <row r="13" spans="1:20" s="20" customFormat="1" ht="36.75" customHeight="1">
      <c r="A13" s="142" t="s">
        <v>63</v>
      </c>
      <c r="B13" s="143"/>
      <c r="C13" s="143"/>
      <c r="D13" s="14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118"/>
    </row>
    <row r="14" spans="1:22" s="3" customFormat="1" ht="19.5" customHeight="1" hidden="1">
      <c r="A14" s="142" t="s">
        <v>76</v>
      </c>
      <c r="B14" s="155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  <c r="T14" s="118"/>
      <c r="U14" s="99"/>
      <c r="V14" s="99"/>
    </row>
    <row r="15" spans="1:22" s="3" customFormat="1" ht="22.5" customHeight="1" hidden="1">
      <c r="A15" s="168" t="s">
        <v>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2"/>
      <c r="T15" s="118"/>
      <c r="U15" s="99"/>
      <c r="V15" s="99"/>
    </row>
    <row r="16" spans="1:23" s="11" customFormat="1" ht="112.5" customHeight="1" hidden="1">
      <c r="A16" s="50" t="s">
        <v>11</v>
      </c>
      <c r="B16" s="51">
        <v>4717410</v>
      </c>
      <c r="C16" s="36">
        <f>E16+G16</f>
        <v>30918.4</v>
      </c>
      <c r="D16" s="52"/>
      <c r="E16" s="47">
        <v>5153.1</v>
      </c>
      <c r="F16" s="47"/>
      <c r="G16" s="47">
        <f>25765.3</f>
        <v>25765.3</v>
      </c>
      <c r="H16" s="36">
        <f>J16+L16</f>
        <v>37570.6</v>
      </c>
      <c r="I16" s="40"/>
      <c r="J16" s="47">
        <v>6261.8</v>
      </c>
      <c r="K16" s="47"/>
      <c r="L16" s="47">
        <f>L11</f>
        <v>31308.8</v>
      </c>
      <c r="M16" s="36">
        <f>O16+S16</f>
        <v>45915</v>
      </c>
      <c r="N16" s="40"/>
      <c r="O16" s="45">
        <v>7652.5</v>
      </c>
      <c r="P16" s="45"/>
      <c r="Q16" s="45"/>
      <c r="R16" s="45"/>
      <c r="S16" s="45">
        <v>38262.5</v>
      </c>
      <c r="T16" s="118"/>
      <c r="U16" s="108"/>
      <c r="V16" s="108"/>
      <c r="W16" s="22"/>
    </row>
    <row r="17" spans="1:23" s="11" customFormat="1" ht="90" customHeight="1" hidden="1">
      <c r="A17" s="50" t="s">
        <v>31</v>
      </c>
      <c r="B17" s="51">
        <v>4716310</v>
      </c>
      <c r="C17" s="36">
        <f>E17+G17</f>
        <v>6846</v>
      </c>
      <c r="D17" s="52"/>
      <c r="E17" s="47">
        <v>2500</v>
      </c>
      <c r="F17" s="47"/>
      <c r="G17" s="47">
        <v>4346</v>
      </c>
      <c r="H17" s="36"/>
      <c r="I17" s="40"/>
      <c r="J17" s="47"/>
      <c r="K17" s="47"/>
      <c r="L17" s="47"/>
      <c r="M17" s="36"/>
      <c r="N17" s="40"/>
      <c r="O17" s="45"/>
      <c r="P17" s="45"/>
      <c r="Q17" s="45"/>
      <c r="R17" s="45"/>
      <c r="S17" s="45"/>
      <c r="T17" s="118"/>
      <c r="U17" s="108"/>
      <c r="V17" s="108"/>
      <c r="W17" s="22"/>
    </row>
    <row r="18" spans="1:22" s="3" customFormat="1" ht="37.5" customHeight="1" hidden="1">
      <c r="A18" s="54" t="s">
        <v>12</v>
      </c>
      <c r="B18" s="51"/>
      <c r="C18" s="36"/>
      <c r="D18" s="53"/>
      <c r="E18" s="47"/>
      <c r="F18" s="47"/>
      <c r="G18" s="47"/>
      <c r="H18" s="36"/>
      <c r="I18" s="40"/>
      <c r="J18" s="47"/>
      <c r="K18" s="47"/>
      <c r="L18" s="47"/>
      <c r="M18" s="36"/>
      <c r="N18" s="40"/>
      <c r="O18" s="45"/>
      <c r="P18" s="45"/>
      <c r="Q18" s="45"/>
      <c r="R18" s="45"/>
      <c r="S18" s="45"/>
      <c r="T18" s="118"/>
      <c r="U18" s="99"/>
      <c r="V18" s="99"/>
    </row>
    <row r="19" spans="1:22" s="3" customFormat="1" ht="37.5" customHeight="1" hidden="1">
      <c r="A19" s="51" t="s">
        <v>13</v>
      </c>
      <c r="B19" s="51"/>
      <c r="C19" s="36"/>
      <c r="D19" s="53"/>
      <c r="E19" s="47"/>
      <c r="F19" s="47"/>
      <c r="G19" s="47"/>
      <c r="H19" s="36"/>
      <c r="I19" s="40"/>
      <c r="J19" s="47"/>
      <c r="K19" s="47"/>
      <c r="L19" s="47"/>
      <c r="M19" s="36"/>
      <c r="N19" s="40"/>
      <c r="O19" s="45"/>
      <c r="P19" s="45"/>
      <c r="Q19" s="45"/>
      <c r="R19" s="45"/>
      <c r="S19" s="45"/>
      <c r="T19" s="118"/>
      <c r="U19" s="99"/>
      <c r="V19" s="99"/>
    </row>
    <row r="20" spans="1:22" s="3" customFormat="1" ht="57.75" customHeight="1" hidden="1">
      <c r="A20" s="54" t="s">
        <v>14</v>
      </c>
      <c r="B20" s="51"/>
      <c r="C20" s="36">
        <f>E20+G20</f>
        <v>35324.4</v>
      </c>
      <c r="D20" s="53"/>
      <c r="E20" s="47">
        <f>5183.1+30</f>
        <v>5213.1</v>
      </c>
      <c r="F20" s="47"/>
      <c r="G20" s="47">
        <f>G16+G17</f>
        <v>30111.3</v>
      </c>
      <c r="H20" s="36"/>
      <c r="I20" s="40"/>
      <c r="J20" s="47"/>
      <c r="K20" s="47"/>
      <c r="L20" s="47"/>
      <c r="M20" s="36"/>
      <c r="N20" s="40"/>
      <c r="O20" s="45"/>
      <c r="P20" s="45"/>
      <c r="Q20" s="45"/>
      <c r="R20" s="45"/>
      <c r="S20" s="45"/>
      <c r="T20" s="118"/>
      <c r="U20" s="99"/>
      <c r="V20" s="99"/>
    </row>
    <row r="21" spans="1:22" s="3" customFormat="1" ht="100.5" customHeight="1" hidden="1">
      <c r="A21" s="54" t="s">
        <v>15</v>
      </c>
      <c r="B21" s="51"/>
      <c r="C21" s="40">
        <v>7</v>
      </c>
      <c r="D21" s="53"/>
      <c r="E21" s="47"/>
      <c r="F21" s="47"/>
      <c r="G21" s="47"/>
      <c r="H21" s="36">
        <v>7</v>
      </c>
      <c r="I21" s="40"/>
      <c r="J21" s="47"/>
      <c r="K21" s="47"/>
      <c r="L21" s="47"/>
      <c r="M21" s="36">
        <v>7</v>
      </c>
      <c r="N21" s="40"/>
      <c r="O21" s="45"/>
      <c r="P21" s="45"/>
      <c r="Q21" s="45"/>
      <c r="R21" s="45"/>
      <c r="S21" s="45"/>
      <c r="T21" s="118"/>
      <c r="U21" s="99"/>
      <c r="V21" s="99"/>
    </row>
    <row r="22" spans="1:22" s="3" customFormat="1" ht="37.5" hidden="1">
      <c r="A22" s="51" t="s">
        <v>16</v>
      </c>
      <c r="B22" s="51"/>
      <c r="C22" s="36"/>
      <c r="D22" s="53"/>
      <c r="E22" s="47"/>
      <c r="F22" s="47"/>
      <c r="G22" s="47"/>
      <c r="H22" s="36"/>
      <c r="I22" s="40"/>
      <c r="J22" s="47"/>
      <c r="K22" s="47"/>
      <c r="L22" s="47"/>
      <c r="M22" s="36"/>
      <c r="N22" s="40"/>
      <c r="O22" s="45"/>
      <c r="P22" s="45"/>
      <c r="Q22" s="45"/>
      <c r="R22" s="45"/>
      <c r="S22" s="45"/>
      <c r="T22" s="118"/>
      <c r="U22" s="99"/>
      <c r="V22" s="99"/>
    </row>
    <row r="23" spans="1:22" s="3" customFormat="1" ht="97.5" hidden="1">
      <c r="A23" s="54" t="s">
        <v>101</v>
      </c>
      <c r="B23" s="51"/>
      <c r="C23" s="36">
        <v>2503</v>
      </c>
      <c r="D23" s="53"/>
      <c r="E23" s="47"/>
      <c r="F23" s="47"/>
      <c r="G23" s="47"/>
      <c r="H23" s="36">
        <v>3856</v>
      </c>
      <c r="I23" s="40"/>
      <c r="J23" s="47"/>
      <c r="K23" s="47"/>
      <c r="L23" s="47"/>
      <c r="M23" s="36">
        <v>2574</v>
      </c>
      <c r="N23" s="40"/>
      <c r="O23" s="45"/>
      <c r="P23" s="45"/>
      <c r="Q23" s="45"/>
      <c r="R23" s="45"/>
      <c r="S23" s="45"/>
      <c r="T23" s="118"/>
      <c r="U23" s="99"/>
      <c r="V23" s="99"/>
    </row>
    <row r="24" spans="1:22" s="3" customFormat="1" ht="147" customHeight="1" hidden="1">
      <c r="A24" s="54" t="s">
        <v>75</v>
      </c>
      <c r="B24" s="51"/>
      <c r="C24" s="36">
        <v>3</v>
      </c>
      <c r="D24" s="53"/>
      <c r="E24" s="47"/>
      <c r="F24" s="47"/>
      <c r="G24" s="47"/>
      <c r="H24" s="36">
        <v>7</v>
      </c>
      <c r="I24" s="40"/>
      <c r="J24" s="47"/>
      <c r="K24" s="47"/>
      <c r="L24" s="47"/>
      <c r="M24" s="36">
        <v>7</v>
      </c>
      <c r="N24" s="40"/>
      <c r="O24" s="45"/>
      <c r="P24" s="45"/>
      <c r="Q24" s="45"/>
      <c r="R24" s="45"/>
      <c r="S24" s="45"/>
      <c r="T24" s="118"/>
      <c r="U24" s="99"/>
      <c r="V24" s="99"/>
    </row>
    <row r="25" spans="1:22" s="3" customFormat="1" ht="37.5" hidden="1">
      <c r="A25" s="51" t="s">
        <v>17</v>
      </c>
      <c r="B25" s="51"/>
      <c r="C25" s="36"/>
      <c r="D25" s="53"/>
      <c r="E25" s="47"/>
      <c r="F25" s="47"/>
      <c r="G25" s="47"/>
      <c r="H25" s="36"/>
      <c r="I25" s="40"/>
      <c r="J25" s="47"/>
      <c r="K25" s="47"/>
      <c r="L25" s="47"/>
      <c r="M25" s="36"/>
      <c r="N25" s="40"/>
      <c r="O25" s="45"/>
      <c r="P25" s="45"/>
      <c r="Q25" s="45"/>
      <c r="R25" s="45"/>
      <c r="S25" s="45"/>
      <c r="T25" s="118"/>
      <c r="U25" s="99"/>
      <c r="V25" s="112">
        <v>9</v>
      </c>
    </row>
    <row r="26" spans="1:22" s="3" customFormat="1" ht="99" customHeight="1" hidden="1">
      <c r="A26" s="54" t="s">
        <v>55</v>
      </c>
      <c r="B26" s="54"/>
      <c r="C26" s="42">
        <f>C20/C21</f>
        <v>5046.342857142858</v>
      </c>
      <c r="D26" s="53"/>
      <c r="E26" s="45"/>
      <c r="F26" s="45"/>
      <c r="G26" s="45"/>
      <c r="H26" s="42">
        <f>H16/H21</f>
        <v>5367.228571428571</v>
      </c>
      <c r="I26" s="40"/>
      <c r="J26" s="45"/>
      <c r="K26" s="45"/>
      <c r="L26" s="45"/>
      <c r="M26" s="42">
        <f>M16/M21</f>
        <v>6559.285714285715</v>
      </c>
      <c r="N26" s="40"/>
      <c r="O26" s="45"/>
      <c r="P26" s="45"/>
      <c r="Q26" s="45"/>
      <c r="R26" s="45"/>
      <c r="S26" s="45"/>
      <c r="T26" s="118"/>
      <c r="U26" s="99"/>
      <c r="V26" s="99"/>
    </row>
    <row r="27" spans="1:22" s="3" customFormat="1" ht="18.75" hidden="1">
      <c r="A27" s="51" t="s">
        <v>18</v>
      </c>
      <c r="B27" s="54"/>
      <c r="C27" s="40"/>
      <c r="D27" s="53"/>
      <c r="E27" s="45"/>
      <c r="F27" s="45"/>
      <c r="G27" s="45"/>
      <c r="H27" s="40"/>
      <c r="I27" s="40"/>
      <c r="J27" s="45"/>
      <c r="K27" s="45"/>
      <c r="L27" s="45"/>
      <c r="M27" s="40"/>
      <c r="N27" s="40"/>
      <c r="O27" s="45"/>
      <c r="P27" s="45"/>
      <c r="Q27" s="45"/>
      <c r="R27" s="45"/>
      <c r="S27" s="45"/>
      <c r="T27" s="118"/>
      <c r="U27" s="99"/>
      <c r="V27" s="99"/>
    </row>
    <row r="28" spans="1:22" s="3" customFormat="1" ht="91.5" customHeight="1" hidden="1">
      <c r="A28" s="54" t="s">
        <v>70</v>
      </c>
      <c r="B28" s="54"/>
      <c r="C28" s="40">
        <v>33</v>
      </c>
      <c r="D28" s="53"/>
      <c r="E28" s="45"/>
      <c r="F28" s="45"/>
      <c r="G28" s="45"/>
      <c r="H28" s="40">
        <v>55</v>
      </c>
      <c r="I28" s="40"/>
      <c r="J28" s="45"/>
      <c r="K28" s="45"/>
      <c r="L28" s="45"/>
      <c r="M28" s="40">
        <v>24</v>
      </c>
      <c r="N28" s="40"/>
      <c r="O28" s="45"/>
      <c r="P28" s="45"/>
      <c r="Q28" s="45"/>
      <c r="R28" s="45"/>
      <c r="S28" s="45"/>
      <c r="T28" s="118"/>
      <c r="U28" s="99"/>
      <c r="V28" s="99"/>
    </row>
    <row r="29" spans="1:22" s="3" customFormat="1" ht="90.75" customHeight="1" hidden="1">
      <c r="A29" s="54" t="s">
        <v>54</v>
      </c>
      <c r="B29" s="54"/>
      <c r="C29" s="40">
        <v>367.4</v>
      </c>
      <c r="D29" s="53"/>
      <c r="E29" s="45"/>
      <c r="F29" s="45"/>
      <c r="G29" s="45"/>
      <c r="H29" s="40"/>
      <c r="I29" s="40"/>
      <c r="J29" s="45"/>
      <c r="K29" s="45"/>
      <c r="L29" s="45"/>
      <c r="M29" s="40"/>
      <c r="N29" s="40"/>
      <c r="O29" s="45"/>
      <c r="P29" s="45"/>
      <c r="Q29" s="45"/>
      <c r="R29" s="45"/>
      <c r="S29" s="45"/>
      <c r="T29" s="118"/>
      <c r="U29" s="99"/>
      <c r="V29" s="99"/>
    </row>
    <row r="30" spans="1:22" s="3" customFormat="1" ht="64.5" customHeight="1" hidden="1">
      <c r="A30" s="55" t="s">
        <v>71</v>
      </c>
      <c r="B30" s="56"/>
      <c r="C30" s="57">
        <f>2126+545</f>
        <v>2671</v>
      </c>
      <c r="D30" s="58"/>
      <c r="E30" s="59"/>
      <c r="F30" s="59"/>
      <c r="G30" s="59"/>
      <c r="H30" s="57">
        <v>2802</v>
      </c>
      <c r="I30" s="60"/>
      <c r="J30" s="59"/>
      <c r="K30" s="59"/>
      <c r="L30" s="59"/>
      <c r="M30" s="57">
        <v>2239</v>
      </c>
      <c r="N30" s="60"/>
      <c r="O30" s="61"/>
      <c r="P30" s="61"/>
      <c r="Q30" s="61"/>
      <c r="R30" s="61"/>
      <c r="S30" s="61"/>
      <c r="T30" s="118"/>
      <c r="U30" s="99"/>
      <c r="V30" s="112"/>
    </row>
    <row r="31" spans="1:23" s="4" customFormat="1" ht="37.5" hidden="1">
      <c r="A31" s="54" t="s">
        <v>57</v>
      </c>
      <c r="B31" s="51"/>
      <c r="C31" s="62">
        <f>C20/(0.001*(C28*1000*2.364*1.09+C29*9379.22*1.14/9.39+C30*0.86*1416*1.1235))</f>
        <v>8.496086831737218</v>
      </c>
      <c r="D31" s="53"/>
      <c r="E31" s="47"/>
      <c r="F31" s="47"/>
      <c r="G31" s="47"/>
      <c r="H31" s="62">
        <f>H16/3566.059</f>
        <v>10.53560807603015</v>
      </c>
      <c r="I31" s="40"/>
      <c r="J31" s="47"/>
      <c r="K31" s="47"/>
      <c r="L31" s="47"/>
      <c r="M31" s="62">
        <f>M16/3609.274</f>
        <v>12.721394939813381</v>
      </c>
      <c r="N31" s="40"/>
      <c r="O31" s="45"/>
      <c r="P31" s="45"/>
      <c r="Q31" s="45"/>
      <c r="R31" s="45"/>
      <c r="S31" s="45"/>
      <c r="T31" s="118"/>
      <c r="U31" s="99"/>
      <c r="V31" s="99"/>
      <c r="W31" s="21"/>
    </row>
    <row r="32" spans="1:22" s="3" customFormat="1" ht="18.75" hidden="1">
      <c r="A32" s="142" t="s">
        <v>102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6"/>
      <c r="T32" s="118"/>
      <c r="U32" s="99"/>
      <c r="V32" s="99"/>
    </row>
    <row r="33" spans="1:22" s="3" customFormat="1" ht="18.75" customHeight="1" hidden="1">
      <c r="A33" s="139" t="s">
        <v>19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1"/>
      <c r="T33" s="118"/>
      <c r="U33" s="99"/>
      <c r="V33" s="99"/>
    </row>
    <row r="34" spans="1:22" s="3" customFormat="1" ht="112.5" customHeight="1" hidden="1">
      <c r="A34" s="63" t="s">
        <v>97</v>
      </c>
      <c r="B34" s="38">
        <v>1017410</v>
      </c>
      <c r="C34" s="36">
        <v>413.5</v>
      </c>
      <c r="D34" s="40">
        <v>413.5</v>
      </c>
      <c r="E34" s="47"/>
      <c r="F34" s="47"/>
      <c r="G34" s="47"/>
      <c r="H34" s="36">
        <v>509</v>
      </c>
      <c r="I34" s="40">
        <f>H34</f>
        <v>509</v>
      </c>
      <c r="J34" s="47"/>
      <c r="K34" s="47"/>
      <c r="L34" s="47"/>
      <c r="M34" s="36">
        <v>352</v>
      </c>
      <c r="N34" s="40">
        <f>M34</f>
        <v>352</v>
      </c>
      <c r="O34" s="45"/>
      <c r="P34" s="45"/>
      <c r="Q34" s="45"/>
      <c r="R34" s="45"/>
      <c r="S34" s="45"/>
      <c r="T34" s="118"/>
      <c r="U34" s="99"/>
      <c r="V34" s="99"/>
    </row>
    <row r="35" spans="1:22" s="3" customFormat="1" ht="45" customHeight="1" hidden="1">
      <c r="A35" s="51" t="s">
        <v>12</v>
      </c>
      <c r="B35" s="38"/>
      <c r="C35" s="36"/>
      <c r="D35" s="40"/>
      <c r="E35" s="47"/>
      <c r="F35" s="47"/>
      <c r="G35" s="47"/>
      <c r="H35" s="36"/>
      <c r="I35" s="40"/>
      <c r="J35" s="47"/>
      <c r="K35" s="47"/>
      <c r="L35" s="47"/>
      <c r="M35" s="36"/>
      <c r="N35" s="40"/>
      <c r="O35" s="45"/>
      <c r="P35" s="45"/>
      <c r="Q35" s="45"/>
      <c r="R35" s="45"/>
      <c r="S35" s="45"/>
      <c r="T35" s="118"/>
      <c r="U35" s="99"/>
      <c r="V35" s="99"/>
    </row>
    <row r="36" spans="1:22" s="3" customFormat="1" ht="45" customHeight="1" hidden="1">
      <c r="A36" s="51" t="s">
        <v>21</v>
      </c>
      <c r="B36" s="38"/>
      <c r="C36" s="36"/>
      <c r="D36" s="40"/>
      <c r="E36" s="47"/>
      <c r="F36" s="47"/>
      <c r="G36" s="47"/>
      <c r="H36" s="36"/>
      <c r="I36" s="40"/>
      <c r="J36" s="47"/>
      <c r="K36" s="47"/>
      <c r="L36" s="47"/>
      <c r="M36" s="36"/>
      <c r="N36" s="40"/>
      <c r="O36" s="45"/>
      <c r="P36" s="45"/>
      <c r="Q36" s="45"/>
      <c r="R36" s="45"/>
      <c r="S36" s="45"/>
      <c r="T36" s="118"/>
      <c r="U36" s="99"/>
      <c r="V36" s="99"/>
    </row>
    <row r="37" spans="1:22" s="3" customFormat="1" ht="60" customHeight="1" hidden="1">
      <c r="A37" s="54" t="s">
        <v>14</v>
      </c>
      <c r="B37" s="38"/>
      <c r="C37" s="36">
        <f>D34</f>
        <v>413.5</v>
      </c>
      <c r="D37" s="40"/>
      <c r="E37" s="47"/>
      <c r="F37" s="47"/>
      <c r="G37" s="47"/>
      <c r="H37" s="36">
        <f>I34</f>
        <v>509</v>
      </c>
      <c r="I37" s="40"/>
      <c r="J37" s="47"/>
      <c r="K37" s="47"/>
      <c r="L37" s="47"/>
      <c r="M37" s="36">
        <f>N34</f>
        <v>352</v>
      </c>
      <c r="N37" s="40"/>
      <c r="O37" s="45"/>
      <c r="P37" s="45"/>
      <c r="Q37" s="45"/>
      <c r="R37" s="45"/>
      <c r="S37" s="45"/>
      <c r="T37" s="118"/>
      <c r="U37" s="99"/>
      <c r="V37" s="99"/>
    </row>
    <row r="38" spans="1:22" s="3" customFormat="1" ht="37.5" hidden="1">
      <c r="A38" s="51" t="s">
        <v>16</v>
      </c>
      <c r="B38" s="38"/>
      <c r="C38" s="36"/>
      <c r="D38" s="40"/>
      <c r="E38" s="47"/>
      <c r="F38" s="47"/>
      <c r="G38" s="47"/>
      <c r="H38" s="36"/>
      <c r="I38" s="40"/>
      <c r="J38" s="47"/>
      <c r="K38" s="47"/>
      <c r="L38" s="47"/>
      <c r="M38" s="36"/>
      <c r="N38" s="40"/>
      <c r="O38" s="45"/>
      <c r="P38" s="45"/>
      <c r="Q38" s="45"/>
      <c r="R38" s="45"/>
      <c r="S38" s="45"/>
      <c r="T38" s="118"/>
      <c r="U38" s="99"/>
      <c r="V38" s="99"/>
    </row>
    <row r="39" spans="1:22" s="3" customFormat="1" ht="75" hidden="1">
      <c r="A39" s="54" t="s">
        <v>22</v>
      </c>
      <c r="B39" s="38"/>
      <c r="C39" s="36">
        <v>3181</v>
      </c>
      <c r="D39" s="40"/>
      <c r="E39" s="47"/>
      <c r="F39" s="47"/>
      <c r="G39" s="47"/>
      <c r="H39" s="36">
        <v>3258</v>
      </c>
      <c r="I39" s="40"/>
      <c r="J39" s="47"/>
      <c r="K39" s="47"/>
      <c r="L39" s="47"/>
      <c r="M39" s="36">
        <v>1876</v>
      </c>
      <c r="N39" s="40"/>
      <c r="O39" s="45"/>
      <c r="P39" s="45"/>
      <c r="Q39" s="45"/>
      <c r="R39" s="45"/>
      <c r="S39" s="45"/>
      <c r="T39" s="118"/>
      <c r="U39" s="99"/>
      <c r="V39" s="99"/>
    </row>
    <row r="40" spans="1:22" s="3" customFormat="1" ht="56.25" hidden="1">
      <c r="A40" s="54" t="s">
        <v>64</v>
      </c>
      <c r="B40" s="38"/>
      <c r="C40" s="36">
        <v>5</v>
      </c>
      <c r="D40" s="40"/>
      <c r="E40" s="47"/>
      <c r="F40" s="47"/>
      <c r="G40" s="47"/>
      <c r="H40" s="36">
        <v>6</v>
      </c>
      <c r="I40" s="40"/>
      <c r="J40" s="47"/>
      <c r="K40" s="47"/>
      <c r="L40" s="47"/>
      <c r="M40" s="36">
        <v>6</v>
      </c>
      <c r="N40" s="40"/>
      <c r="O40" s="45"/>
      <c r="P40" s="45"/>
      <c r="Q40" s="45"/>
      <c r="R40" s="45"/>
      <c r="S40" s="45"/>
      <c r="T40" s="118"/>
      <c r="U40" s="99"/>
      <c r="V40" s="112"/>
    </row>
    <row r="41" spans="1:22" s="3" customFormat="1" ht="37.5" hidden="1">
      <c r="A41" s="51" t="s">
        <v>23</v>
      </c>
      <c r="B41" s="38"/>
      <c r="C41" s="36"/>
      <c r="D41" s="40"/>
      <c r="E41" s="47"/>
      <c r="F41" s="47"/>
      <c r="G41" s="47"/>
      <c r="H41" s="36"/>
      <c r="I41" s="40"/>
      <c r="J41" s="47"/>
      <c r="K41" s="47"/>
      <c r="L41" s="47"/>
      <c r="M41" s="36"/>
      <c r="N41" s="40"/>
      <c r="O41" s="45"/>
      <c r="P41" s="45"/>
      <c r="Q41" s="45"/>
      <c r="R41" s="45"/>
      <c r="S41" s="45"/>
      <c r="T41" s="118"/>
      <c r="U41" s="99"/>
      <c r="V41" s="99"/>
    </row>
    <row r="42" spans="1:22" s="3" customFormat="1" ht="117" customHeight="1" hidden="1">
      <c r="A42" s="54" t="s">
        <v>24</v>
      </c>
      <c r="B42" s="38"/>
      <c r="C42" s="64">
        <f>C34/C39</f>
        <v>0.12999056900345804</v>
      </c>
      <c r="D42" s="40"/>
      <c r="E42" s="47"/>
      <c r="F42" s="47"/>
      <c r="G42" s="47"/>
      <c r="H42" s="64">
        <f>H34/H39</f>
        <v>0.15623081645181092</v>
      </c>
      <c r="I42" s="40"/>
      <c r="J42" s="47"/>
      <c r="K42" s="47"/>
      <c r="L42" s="47"/>
      <c r="M42" s="64">
        <f>M34/M39</f>
        <v>0.18763326226012794</v>
      </c>
      <c r="N42" s="40"/>
      <c r="O42" s="45"/>
      <c r="P42" s="45"/>
      <c r="Q42" s="45"/>
      <c r="R42" s="45"/>
      <c r="S42" s="45"/>
      <c r="T42" s="118"/>
      <c r="U42" s="99"/>
      <c r="V42" s="99"/>
    </row>
    <row r="43" spans="1:22" s="3" customFormat="1" ht="18.75" hidden="1">
      <c r="A43" s="51" t="s">
        <v>25</v>
      </c>
      <c r="B43" s="38"/>
      <c r="C43" s="36"/>
      <c r="D43" s="40"/>
      <c r="E43" s="47"/>
      <c r="F43" s="47"/>
      <c r="G43" s="47"/>
      <c r="H43" s="36"/>
      <c r="I43" s="40"/>
      <c r="J43" s="47"/>
      <c r="K43" s="47"/>
      <c r="L43" s="47"/>
      <c r="M43" s="36"/>
      <c r="N43" s="40"/>
      <c r="O43" s="45"/>
      <c r="P43" s="45"/>
      <c r="Q43" s="45"/>
      <c r="R43" s="45"/>
      <c r="S43" s="45"/>
      <c r="T43" s="118"/>
      <c r="U43" s="99"/>
      <c r="V43" s="99"/>
    </row>
    <row r="44" spans="1:22" s="3" customFormat="1" ht="78" customHeight="1" hidden="1">
      <c r="A44" s="54" t="s">
        <v>72</v>
      </c>
      <c r="B44" s="65"/>
      <c r="C44" s="57">
        <v>128</v>
      </c>
      <c r="D44" s="60"/>
      <c r="E44" s="59"/>
      <c r="F44" s="59"/>
      <c r="G44" s="59"/>
      <c r="H44" s="57">
        <v>165</v>
      </c>
      <c r="I44" s="60"/>
      <c r="J44" s="59"/>
      <c r="K44" s="59"/>
      <c r="L44" s="59"/>
      <c r="M44" s="57">
        <v>88</v>
      </c>
      <c r="N44" s="60"/>
      <c r="O44" s="61"/>
      <c r="P44" s="61"/>
      <c r="Q44" s="61"/>
      <c r="R44" s="61"/>
      <c r="S44" s="61"/>
      <c r="T44" s="118"/>
      <c r="U44" s="99"/>
      <c r="V44" s="99"/>
    </row>
    <row r="45" spans="1:23" s="4" customFormat="1" ht="18" customHeight="1" hidden="1">
      <c r="A45" s="54" t="s">
        <v>57</v>
      </c>
      <c r="B45" s="51"/>
      <c r="C45" s="41">
        <f>C34/(C44*2.577)</f>
        <v>1.2535773185875048</v>
      </c>
      <c r="D45" s="40"/>
      <c r="E45" s="47"/>
      <c r="F45" s="47"/>
      <c r="G45" s="47"/>
      <c r="H45" s="41">
        <f>H34/(H44*2.751)</f>
        <v>1.1213553198286024</v>
      </c>
      <c r="I45" s="40"/>
      <c r="J45" s="47"/>
      <c r="K45" s="47"/>
      <c r="L45" s="47"/>
      <c r="M45" s="41">
        <f>M34/(M44*2.895)</f>
        <v>1.381692573402418</v>
      </c>
      <c r="N45" s="40"/>
      <c r="O45" s="45"/>
      <c r="P45" s="45"/>
      <c r="Q45" s="45"/>
      <c r="R45" s="45"/>
      <c r="S45" s="45"/>
      <c r="T45" s="118"/>
      <c r="U45" s="99"/>
      <c r="V45" s="99"/>
      <c r="W45" s="21"/>
    </row>
    <row r="46" spans="1:22" s="5" customFormat="1" ht="22.5" customHeight="1">
      <c r="A46" s="142" t="s">
        <v>77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6"/>
      <c r="T46" s="118"/>
      <c r="U46" s="109"/>
      <c r="V46" s="109"/>
    </row>
    <row r="47" spans="1:22" s="3" customFormat="1" ht="18.75">
      <c r="A47" s="139" t="s">
        <v>19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1"/>
      <c r="T47" s="118"/>
      <c r="U47" s="99"/>
      <c r="V47" s="99"/>
    </row>
    <row r="48" spans="1:22" s="3" customFormat="1" ht="100.5" customHeight="1">
      <c r="A48" s="116" t="s">
        <v>98</v>
      </c>
      <c r="B48" s="38">
        <v>1017410</v>
      </c>
      <c r="C48" s="36">
        <f>C51</f>
        <v>9985.66</v>
      </c>
      <c r="D48" s="66"/>
      <c r="E48" s="40">
        <f>1557.36+9+9+24.75+41.85+41.7+41.7+80.5</f>
        <v>1805.86</v>
      </c>
      <c r="F48" s="47">
        <f>100+80.8</f>
        <v>180.8</v>
      </c>
      <c r="G48" s="47">
        <f>600+825+1395+1390+1390</f>
        <v>5600</v>
      </c>
      <c r="H48" s="36">
        <f>J48</f>
        <v>2399</v>
      </c>
      <c r="I48" s="40"/>
      <c r="J48" s="47">
        <v>2399</v>
      </c>
      <c r="K48" s="47"/>
      <c r="L48" s="47"/>
      <c r="M48" s="36">
        <f>O48</f>
        <v>1726</v>
      </c>
      <c r="N48" s="40"/>
      <c r="O48" s="45">
        <v>1726</v>
      </c>
      <c r="P48" s="45"/>
      <c r="Q48" s="45"/>
      <c r="R48" s="45"/>
      <c r="S48" s="45"/>
      <c r="T48" s="118"/>
      <c r="U48" s="99"/>
      <c r="V48" s="112"/>
    </row>
    <row r="49" spans="1:22" s="3" customFormat="1" ht="39" customHeight="1">
      <c r="A49" s="51" t="s">
        <v>26</v>
      </c>
      <c r="B49" s="38"/>
      <c r="C49" s="36"/>
      <c r="D49" s="40"/>
      <c r="E49" s="47"/>
      <c r="F49" s="47"/>
      <c r="G49" s="47"/>
      <c r="H49" s="36"/>
      <c r="I49" s="40"/>
      <c r="J49" s="47"/>
      <c r="K49" s="47"/>
      <c r="L49" s="47"/>
      <c r="M49" s="36"/>
      <c r="N49" s="40"/>
      <c r="O49" s="45"/>
      <c r="P49" s="45"/>
      <c r="Q49" s="45"/>
      <c r="R49" s="45"/>
      <c r="S49" s="45"/>
      <c r="T49" s="118"/>
      <c r="U49" s="99"/>
      <c r="V49" s="99"/>
    </row>
    <row r="50" spans="1:22" s="3" customFormat="1" ht="41.25" customHeight="1">
      <c r="A50" s="51" t="s">
        <v>27</v>
      </c>
      <c r="B50" s="38"/>
      <c r="C50" s="36"/>
      <c r="D50" s="40"/>
      <c r="E50" s="47"/>
      <c r="F50" s="47"/>
      <c r="G50" s="47"/>
      <c r="H50" s="36"/>
      <c r="I50" s="40"/>
      <c r="J50" s="47"/>
      <c r="K50" s="47"/>
      <c r="L50" s="47"/>
      <c r="M50" s="36"/>
      <c r="N50" s="40"/>
      <c r="O50" s="45"/>
      <c r="P50" s="45"/>
      <c r="Q50" s="45"/>
      <c r="R50" s="45"/>
      <c r="S50" s="45"/>
      <c r="T50" s="118"/>
      <c r="U50" s="99"/>
      <c r="V50" s="99"/>
    </row>
    <row r="51" spans="1:22" s="3" customFormat="1" ht="54" customHeight="1">
      <c r="A51" s="54" t="s">
        <v>14</v>
      </c>
      <c r="B51" s="38"/>
      <c r="C51" s="36">
        <f>E51+F51+G51+H51</f>
        <v>9985.66</v>
      </c>
      <c r="D51" s="40"/>
      <c r="E51" s="47">
        <f>E48</f>
        <v>1805.86</v>
      </c>
      <c r="F51" s="47">
        <f>F48</f>
        <v>180.8</v>
      </c>
      <c r="G51" s="47">
        <f>G48</f>
        <v>5600</v>
      </c>
      <c r="H51" s="36">
        <v>2399</v>
      </c>
      <c r="I51" s="40"/>
      <c r="J51" s="47">
        <f>J48</f>
        <v>2399</v>
      </c>
      <c r="K51" s="47"/>
      <c r="L51" s="47"/>
      <c r="M51" s="36">
        <v>1726</v>
      </c>
      <c r="N51" s="40"/>
      <c r="O51" s="45">
        <v>1726</v>
      </c>
      <c r="P51" s="45"/>
      <c r="Q51" s="45"/>
      <c r="R51" s="45"/>
      <c r="S51" s="45"/>
      <c r="T51" s="118"/>
      <c r="U51" s="99"/>
      <c r="V51" s="99"/>
    </row>
    <row r="52" spans="1:22" s="3" customFormat="1" ht="37.5">
      <c r="A52" s="51" t="s">
        <v>16</v>
      </c>
      <c r="B52" s="38"/>
      <c r="C52" s="36"/>
      <c r="D52" s="40"/>
      <c r="E52" s="47"/>
      <c r="F52" s="47"/>
      <c r="G52" s="47"/>
      <c r="H52" s="36"/>
      <c r="I52" s="40"/>
      <c r="J52" s="47"/>
      <c r="K52" s="47"/>
      <c r="L52" s="47"/>
      <c r="M52" s="36"/>
      <c r="N52" s="40"/>
      <c r="O52" s="45"/>
      <c r="P52" s="45"/>
      <c r="Q52" s="45"/>
      <c r="R52" s="45"/>
      <c r="S52" s="45"/>
      <c r="T52" s="118"/>
      <c r="U52" s="99"/>
      <c r="V52" s="99"/>
    </row>
    <row r="53" spans="1:22" s="3" customFormat="1" ht="60">
      <c r="A53" s="54" t="s">
        <v>103</v>
      </c>
      <c r="B53" s="38"/>
      <c r="C53" s="36">
        <f>1038.24+304</f>
        <v>1342.24</v>
      </c>
      <c r="D53" s="40"/>
      <c r="E53" s="47"/>
      <c r="F53" s="47"/>
      <c r="G53" s="47"/>
      <c r="H53" s="36">
        <v>1499.61</v>
      </c>
      <c r="I53" s="40"/>
      <c r="J53" s="47"/>
      <c r="K53" s="47"/>
      <c r="L53" s="47"/>
      <c r="M53" s="36">
        <v>1046.52</v>
      </c>
      <c r="N53" s="40"/>
      <c r="O53" s="45"/>
      <c r="P53" s="45"/>
      <c r="Q53" s="45"/>
      <c r="R53" s="45"/>
      <c r="S53" s="45"/>
      <c r="T53" s="118"/>
      <c r="U53" s="99"/>
      <c r="V53" s="99"/>
    </row>
    <row r="54" spans="1:22" s="3" customFormat="1" ht="37.5">
      <c r="A54" s="51" t="s">
        <v>23</v>
      </c>
      <c r="B54" s="38"/>
      <c r="C54" s="36"/>
      <c r="D54" s="40"/>
      <c r="E54" s="47"/>
      <c r="F54" s="47"/>
      <c r="G54" s="47"/>
      <c r="H54" s="36"/>
      <c r="I54" s="40"/>
      <c r="J54" s="47"/>
      <c r="K54" s="47"/>
      <c r="L54" s="47"/>
      <c r="M54" s="36"/>
      <c r="N54" s="40"/>
      <c r="O54" s="45"/>
      <c r="P54" s="45"/>
      <c r="Q54" s="45"/>
      <c r="R54" s="45"/>
      <c r="S54" s="45"/>
      <c r="T54" s="118"/>
      <c r="U54" s="99"/>
      <c r="V54" s="112"/>
    </row>
    <row r="55" spans="1:22" s="3" customFormat="1" ht="82.5" customHeight="1">
      <c r="A55" s="54" t="s">
        <v>110</v>
      </c>
      <c r="B55" s="38"/>
      <c r="C55" s="41">
        <f>C48/C53</f>
        <v>7.439548813922994</v>
      </c>
      <c r="D55" s="40"/>
      <c r="E55" s="47"/>
      <c r="F55" s="47"/>
      <c r="G55" s="47"/>
      <c r="H55" s="41">
        <f>H51/H53</f>
        <v>1.5997492681430507</v>
      </c>
      <c r="I55" s="40"/>
      <c r="J55" s="47"/>
      <c r="K55" s="47"/>
      <c r="L55" s="47"/>
      <c r="M55" s="64">
        <f>M51/M53</f>
        <v>1.6492756946833314</v>
      </c>
      <c r="N55" s="40"/>
      <c r="O55" s="45"/>
      <c r="P55" s="45"/>
      <c r="Q55" s="45"/>
      <c r="R55" s="45"/>
      <c r="S55" s="45"/>
      <c r="T55" s="118"/>
      <c r="U55" s="99"/>
      <c r="V55" s="99"/>
    </row>
    <row r="56" spans="1:22" s="3" customFormat="1" ht="33" customHeight="1">
      <c r="A56" s="54" t="s">
        <v>25</v>
      </c>
      <c r="B56" s="51"/>
      <c r="C56" s="36"/>
      <c r="D56" s="40"/>
      <c r="E56" s="47"/>
      <c r="F56" s="47"/>
      <c r="G56" s="47"/>
      <c r="H56" s="41"/>
      <c r="I56" s="40"/>
      <c r="J56" s="47"/>
      <c r="K56" s="47"/>
      <c r="L56" s="47"/>
      <c r="M56" s="64"/>
      <c r="N56" s="40"/>
      <c r="O56" s="45"/>
      <c r="P56" s="45"/>
      <c r="Q56" s="45"/>
      <c r="R56" s="45"/>
      <c r="S56" s="45"/>
      <c r="T56" s="119"/>
      <c r="U56" s="99"/>
      <c r="V56" s="99"/>
    </row>
    <row r="57" spans="1:22" s="3" customFormat="1" ht="56.25">
      <c r="A57" s="54" t="s">
        <v>73</v>
      </c>
      <c r="B57" s="56"/>
      <c r="C57" s="57">
        <f>132.04+326.3</f>
        <v>458.34000000000003</v>
      </c>
      <c r="D57" s="60"/>
      <c r="E57" s="59"/>
      <c r="F57" s="59"/>
      <c r="G57" s="59"/>
      <c r="H57" s="67">
        <v>144.2</v>
      </c>
      <c r="I57" s="60"/>
      <c r="J57" s="59"/>
      <c r="K57" s="59"/>
      <c r="L57" s="59"/>
      <c r="M57" s="67">
        <v>100.6</v>
      </c>
      <c r="N57" s="60"/>
      <c r="O57" s="61"/>
      <c r="P57" s="61"/>
      <c r="Q57" s="61"/>
      <c r="R57" s="61"/>
      <c r="S57" s="61"/>
      <c r="T57" s="119"/>
      <c r="U57" s="99"/>
      <c r="V57" s="112">
        <v>9</v>
      </c>
    </row>
    <row r="58" spans="1:23" s="4" customFormat="1" ht="37.5">
      <c r="A58" s="54" t="s">
        <v>57</v>
      </c>
      <c r="B58" s="51"/>
      <c r="C58" s="62">
        <f>C48/(C57*0.86*1591.105*0.001)</f>
        <v>15.921783807684067</v>
      </c>
      <c r="D58" s="40"/>
      <c r="E58" s="47"/>
      <c r="F58" s="47"/>
      <c r="G58" s="47"/>
      <c r="H58" s="62">
        <f>H48/(H57*0.86*1604.896*0.001)</f>
        <v>12.053679556960565</v>
      </c>
      <c r="I58" s="40"/>
      <c r="J58" s="47"/>
      <c r="K58" s="47"/>
      <c r="L58" s="47"/>
      <c r="M58" s="62">
        <f>M51/(M57*1787.664*0.001)</f>
        <v>9.597473380946056</v>
      </c>
      <c r="N58" s="40"/>
      <c r="O58" s="45"/>
      <c r="P58" s="45"/>
      <c r="Q58" s="45"/>
      <c r="R58" s="45"/>
      <c r="S58" s="45"/>
      <c r="T58" s="119"/>
      <c r="U58" s="99"/>
      <c r="V58" s="99"/>
      <c r="W58" s="21"/>
    </row>
    <row r="59" spans="1:20" s="99" customFormat="1" ht="16.5">
      <c r="A59" s="146" t="s">
        <v>134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8"/>
      <c r="T59" s="119"/>
    </row>
    <row r="60" spans="1:20" s="99" customFormat="1" ht="16.5">
      <c r="A60" s="146" t="s">
        <v>19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8"/>
      <c r="T60" s="119"/>
    </row>
    <row r="61" spans="1:20" s="99" customFormat="1" ht="75">
      <c r="A61" s="54" t="s">
        <v>83</v>
      </c>
      <c r="B61" s="51">
        <v>1017410</v>
      </c>
      <c r="C61" s="62">
        <f>D61+F61</f>
        <v>125</v>
      </c>
      <c r="D61" s="40">
        <v>75</v>
      </c>
      <c r="E61" s="47"/>
      <c r="F61" s="47">
        <v>50</v>
      </c>
      <c r="G61" s="47"/>
      <c r="H61" s="62"/>
      <c r="I61" s="40"/>
      <c r="J61" s="47"/>
      <c r="K61" s="47"/>
      <c r="L61" s="47"/>
      <c r="M61" s="62"/>
      <c r="N61" s="40"/>
      <c r="O61" s="45"/>
      <c r="P61" s="45"/>
      <c r="Q61" s="45"/>
      <c r="R61" s="45"/>
      <c r="S61" s="45"/>
      <c r="T61" s="119"/>
    </row>
    <row r="62" spans="1:20" s="99" customFormat="1" ht="37.5">
      <c r="A62" s="54" t="s">
        <v>28</v>
      </c>
      <c r="B62" s="51"/>
      <c r="C62" s="62"/>
      <c r="D62" s="40"/>
      <c r="E62" s="47"/>
      <c r="F62" s="47"/>
      <c r="G62" s="47"/>
      <c r="H62" s="62"/>
      <c r="I62" s="40"/>
      <c r="J62" s="47"/>
      <c r="K62" s="47"/>
      <c r="L62" s="47"/>
      <c r="M62" s="62"/>
      <c r="N62" s="40"/>
      <c r="O62" s="45"/>
      <c r="P62" s="45"/>
      <c r="Q62" s="45"/>
      <c r="R62" s="45"/>
      <c r="S62" s="45"/>
      <c r="T62" s="119"/>
    </row>
    <row r="63" spans="1:22" s="99" customFormat="1" ht="37.5">
      <c r="A63" s="54" t="s">
        <v>29</v>
      </c>
      <c r="B63" s="51"/>
      <c r="C63" s="62">
        <f>C61</f>
        <v>125</v>
      </c>
      <c r="D63" s="40">
        <f>D61</f>
        <v>75</v>
      </c>
      <c r="E63" s="47"/>
      <c r="F63" s="47">
        <v>50</v>
      </c>
      <c r="G63" s="47"/>
      <c r="H63" s="62"/>
      <c r="I63" s="40"/>
      <c r="J63" s="47"/>
      <c r="K63" s="47"/>
      <c r="L63" s="47"/>
      <c r="M63" s="62"/>
      <c r="N63" s="40"/>
      <c r="O63" s="45"/>
      <c r="P63" s="45"/>
      <c r="Q63" s="45"/>
      <c r="R63" s="45"/>
      <c r="S63" s="45"/>
      <c r="T63" s="119"/>
      <c r="V63" s="112"/>
    </row>
    <row r="64" spans="1:20" s="99" customFormat="1" ht="37.5">
      <c r="A64" s="51" t="s">
        <v>16</v>
      </c>
      <c r="B64" s="51"/>
      <c r="C64" s="62"/>
      <c r="D64" s="40"/>
      <c r="E64" s="47"/>
      <c r="F64" s="47"/>
      <c r="G64" s="47"/>
      <c r="H64" s="62"/>
      <c r="I64" s="40"/>
      <c r="J64" s="47"/>
      <c r="K64" s="47"/>
      <c r="L64" s="47"/>
      <c r="M64" s="62"/>
      <c r="N64" s="40"/>
      <c r="O64" s="45"/>
      <c r="P64" s="45"/>
      <c r="Q64" s="45"/>
      <c r="R64" s="45"/>
      <c r="S64" s="45"/>
      <c r="T64" s="119"/>
    </row>
    <row r="65" spans="1:20" s="99" customFormat="1" ht="60">
      <c r="A65" s="54" t="s">
        <v>103</v>
      </c>
      <c r="B65" s="51"/>
      <c r="C65" s="62">
        <v>60.01</v>
      </c>
      <c r="D65" s="40"/>
      <c r="E65" s="47"/>
      <c r="F65" s="47"/>
      <c r="G65" s="47"/>
      <c r="H65" s="62"/>
      <c r="I65" s="40"/>
      <c r="J65" s="47"/>
      <c r="K65" s="47"/>
      <c r="L65" s="47"/>
      <c r="M65" s="62"/>
      <c r="N65" s="40"/>
      <c r="O65" s="45"/>
      <c r="P65" s="45"/>
      <c r="Q65" s="45"/>
      <c r="R65" s="45"/>
      <c r="S65" s="45"/>
      <c r="T65" s="119"/>
    </row>
    <row r="66" spans="1:20" s="99" customFormat="1" ht="37.5">
      <c r="A66" s="54" t="s">
        <v>23</v>
      </c>
      <c r="B66" s="51"/>
      <c r="C66" s="62"/>
      <c r="D66" s="40"/>
      <c r="E66" s="47"/>
      <c r="F66" s="47"/>
      <c r="G66" s="47"/>
      <c r="H66" s="62"/>
      <c r="I66" s="40"/>
      <c r="J66" s="47"/>
      <c r="K66" s="47"/>
      <c r="L66" s="47"/>
      <c r="M66" s="62"/>
      <c r="N66" s="40"/>
      <c r="O66" s="45"/>
      <c r="P66" s="45"/>
      <c r="Q66" s="45"/>
      <c r="R66" s="45"/>
      <c r="S66" s="45"/>
      <c r="T66" s="119"/>
    </row>
    <row r="67" spans="1:20" s="99" customFormat="1" ht="82.5">
      <c r="A67" s="54" t="s">
        <v>110</v>
      </c>
      <c r="B67" s="51"/>
      <c r="C67" s="41">
        <f>C61/C65</f>
        <v>2.0829861689718383</v>
      </c>
      <c r="D67" s="40"/>
      <c r="E67" s="47"/>
      <c r="F67" s="47"/>
      <c r="G67" s="47"/>
      <c r="H67" s="62"/>
      <c r="I67" s="40"/>
      <c r="J67" s="47"/>
      <c r="K67" s="47"/>
      <c r="L67" s="47"/>
      <c r="M67" s="62"/>
      <c r="N67" s="40"/>
      <c r="O67" s="45"/>
      <c r="P67" s="45"/>
      <c r="Q67" s="45"/>
      <c r="R67" s="45"/>
      <c r="S67" s="45"/>
      <c r="T67" s="119"/>
    </row>
    <row r="68" spans="1:20" s="99" customFormat="1" ht="18.75">
      <c r="A68" s="54" t="s">
        <v>25</v>
      </c>
      <c r="B68" s="51"/>
      <c r="C68" s="62"/>
      <c r="D68" s="40"/>
      <c r="E68" s="47"/>
      <c r="F68" s="47"/>
      <c r="G68" s="47"/>
      <c r="H68" s="62"/>
      <c r="I68" s="40"/>
      <c r="J68" s="47"/>
      <c r="K68" s="47"/>
      <c r="L68" s="47"/>
      <c r="M68" s="62"/>
      <c r="N68" s="40"/>
      <c r="O68" s="45"/>
      <c r="P68" s="45"/>
      <c r="Q68" s="45"/>
      <c r="R68" s="45"/>
      <c r="S68" s="45"/>
      <c r="T68" s="119"/>
    </row>
    <row r="69" spans="1:20" s="99" customFormat="1" ht="56.25">
      <c r="A69" s="54" t="s">
        <v>73</v>
      </c>
      <c r="B69" s="51"/>
      <c r="C69" s="41">
        <v>9.3</v>
      </c>
      <c r="D69" s="40"/>
      <c r="E69" s="47"/>
      <c r="F69" s="47"/>
      <c r="G69" s="47"/>
      <c r="H69" s="62"/>
      <c r="I69" s="40"/>
      <c r="J69" s="47"/>
      <c r="K69" s="47"/>
      <c r="L69" s="47"/>
      <c r="M69" s="62"/>
      <c r="N69" s="40"/>
      <c r="O69" s="45"/>
      <c r="P69" s="45"/>
      <c r="Q69" s="45"/>
      <c r="R69" s="45"/>
      <c r="S69" s="45"/>
      <c r="T69" s="119"/>
    </row>
    <row r="70" spans="1:20" s="99" customFormat="1" ht="56.25" customHeight="1">
      <c r="A70" s="54" t="s">
        <v>57</v>
      </c>
      <c r="B70" s="51"/>
      <c r="C70" s="41">
        <f>C61/((C69*1.42028*0.86))</f>
        <v>11.004102871832808</v>
      </c>
      <c r="D70" s="40"/>
      <c r="E70" s="47"/>
      <c r="F70" s="47"/>
      <c r="G70" s="47"/>
      <c r="H70" s="62"/>
      <c r="I70" s="40"/>
      <c r="J70" s="47"/>
      <c r="K70" s="47"/>
      <c r="L70" s="47"/>
      <c r="M70" s="62"/>
      <c r="N70" s="40"/>
      <c r="O70" s="45"/>
      <c r="P70" s="45"/>
      <c r="Q70" s="45"/>
      <c r="R70" s="45"/>
      <c r="S70" s="45"/>
      <c r="T70" s="119"/>
    </row>
    <row r="71" spans="1:22" s="3" customFormat="1" ht="18.75">
      <c r="A71" s="136" t="s">
        <v>58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8"/>
      <c r="T71" s="118"/>
      <c r="U71" s="99"/>
      <c r="V71" s="99"/>
    </row>
    <row r="72" spans="1:22" s="3" customFormat="1" ht="18.75">
      <c r="A72" s="88" t="s">
        <v>19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9"/>
      <c r="T72" s="118"/>
      <c r="U72" s="99"/>
      <c r="V72" s="99"/>
    </row>
    <row r="73" spans="1:22" s="3" customFormat="1" ht="131.25" customHeight="1">
      <c r="A73" s="51" t="s">
        <v>83</v>
      </c>
      <c r="B73" s="51">
        <v>1017410</v>
      </c>
      <c r="C73" s="41">
        <f>E73+G73</f>
        <v>1948.5</v>
      </c>
      <c r="D73" s="40"/>
      <c r="E73" s="70">
        <f>970+28.5</f>
        <v>998.5</v>
      </c>
      <c r="F73" s="47"/>
      <c r="G73" s="47">
        <f>950</f>
        <v>950</v>
      </c>
      <c r="H73" s="36"/>
      <c r="I73" s="40"/>
      <c r="J73" s="47"/>
      <c r="K73" s="47"/>
      <c r="L73" s="47"/>
      <c r="M73" s="36"/>
      <c r="N73" s="40"/>
      <c r="O73" s="45"/>
      <c r="P73" s="45"/>
      <c r="Q73" s="45"/>
      <c r="R73" s="45"/>
      <c r="S73" s="45"/>
      <c r="T73" s="118"/>
      <c r="U73" s="99"/>
      <c r="V73" s="99"/>
    </row>
    <row r="74" spans="1:22" s="3" customFormat="1" ht="37.5">
      <c r="A74" s="51" t="s">
        <v>28</v>
      </c>
      <c r="B74" s="51"/>
      <c r="C74" s="36"/>
      <c r="D74" s="40"/>
      <c r="E74" s="47"/>
      <c r="F74" s="47"/>
      <c r="G74" s="47"/>
      <c r="H74" s="36"/>
      <c r="I74" s="40"/>
      <c r="J74" s="47"/>
      <c r="K74" s="47"/>
      <c r="L74" s="47"/>
      <c r="M74" s="36"/>
      <c r="N74" s="40"/>
      <c r="O74" s="45"/>
      <c r="P74" s="45"/>
      <c r="Q74" s="45"/>
      <c r="R74" s="45"/>
      <c r="S74" s="45"/>
      <c r="T74" s="118"/>
      <c r="U74" s="99"/>
      <c r="V74" s="99"/>
    </row>
    <row r="75" spans="1:22" s="3" customFormat="1" ht="18.75">
      <c r="A75" s="51" t="s">
        <v>27</v>
      </c>
      <c r="B75" s="51"/>
      <c r="C75" s="36"/>
      <c r="D75" s="40"/>
      <c r="E75" s="47"/>
      <c r="F75" s="47"/>
      <c r="G75" s="47"/>
      <c r="H75" s="36"/>
      <c r="I75" s="40"/>
      <c r="J75" s="47"/>
      <c r="K75" s="47"/>
      <c r="L75" s="47"/>
      <c r="M75" s="36"/>
      <c r="N75" s="40"/>
      <c r="O75" s="45"/>
      <c r="P75" s="45"/>
      <c r="Q75" s="45"/>
      <c r="R75" s="45"/>
      <c r="S75" s="45"/>
      <c r="T75" s="118"/>
      <c r="U75" s="99"/>
      <c r="V75" s="99"/>
    </row>
    <row r="76" spans="1:22" s="3" customFormat="1" ht="42.75" customHeight="1">
      <c r="A76" s="54" t="s">
        <v>29</v>
      </c>
      <c r="B76" s="51"/>
      <c r="C76" s="41">
        <f>E76+G76</f>
        <v>1948.5</v>
      </c>
      <c r="D76" s="40"/>
      <c r="E76" s="70">
        <f>E73</f>
        <v>998.5</v>
      </c>
      <c r="F76" s="47"/>
      <c r="G76" s="47">
        <v>950</v>
      </c>
      <c r="H76" s="36"/>
      <c r="I76" s="40"/>
      <c r="J76" s="47"/>
      <c r="K76" s="47"/>
      <c r="L76" s="47"/>
      <c r="M76" s="36"/>
      <c r="N76" s="40"/>
      <c r="O76" s="45"/>
      <c r="P76" s="45"/>
      <c r="Q76" s="45"/>
      <c r="R76" s="45"/>
      <c r="S76" s="45"/>
      <c r="T76" s="118"/>
      <c r="U76" s="99"/>
      <c r="V76" s="99"/>
    </row>
    <row r="77" spans="1:22" s="3" customFormat="1" ht="46.5" customHeight="1">
      <c r="A77" s="51" t="s">
        <v>16</v>
      </c>
      <c r="B77" s="51"/>
      <c r="C77" s="36"/>
      <c r="D77" s="40"/>
      <c r="E77" s="47"/>
      <c r="F77" s="47"/>
      <c r="G77" s="47"/>
      <c r="H77" s="36"/>
      <c r="I77" s="40"/>
      <c r="J77" s="47"/>
      <c r="K77" s="47"/>
      <c r="L77" s="47"/>
      <c r="M77" s="36"/>
      <c r="N77" s="40"/>
      <c r="O77" s="45"/>
      <c r="P77" s="45"/>
      <c r="Q77" s="45"/>
      <c r="R77" s="45"/>
      <c r="S77" s="45"/>
      <c r="T77" s="118"/>
      <c r="U77" s="99"/>
      <c r="V77" s="112">
        <v>10</v>
      </c>
    </row>
    <row r="78" spans="1:22" s="3" customFormat="1" ht="41.25">
      <c r="A78" s="54" t="s">
        <v>106</v>
      </c>
      <c r="B78" s="51"/>
      <c r="C78" s="36">
        <f>E78+G78</f>
        <v>1610</v>
      </c>
      <c r="D78" s="40"/>
      <c r="E78" s="47">
        <v>850</v>
      </c>
      <c r="F78" s="47"/>
      <c r="G78" s="47">
        <v>760</v>
      </c>
      <c r="H78" s="36"/>
      <c r="I78" s="40"/>
      <c r="J78" s="47"/>
      <c r="K78" s="47"/>
      <c r="L78" s="47"/>
      <c r="M78" s="36"/>
      <c r="N78" s="40"/>
      <c r="O78" s="45"/>
      <c r="P78" s="45"/>
      <c r="Q78" s="45"/>
      <c r="R78" s="45"/>
      <c r="S78" s="45"/>
      <c r="T78" s="118"/>
      <c r="U78" s="99"/>
      <c r="V78" s="99"/>
    </row>
    <row r="79" spans="1:22" s="3" customFormat="1" ht="37.5">
      <c r="A79" s="51" t="s">
        <v>23</v>
      </c>
      <c r="B79" s="51"/>
      <c r="C79" s="36"/>
      <c r="D79" s="40"/>
      <c r="E79" s="47"/>
      <c r="F79" s="47"/>
      <c r="G79" s="47"/>
      <c r="H79" s="36"/>
      <c r="I79" s="40"/>
      <c r="J79" s="47"/>
      <c r="K79" s="47"/>
      <c r="L79" s="47"/>
      <c r="M79" s="36"/>
      <c r="N79" s="40"/>
      <c r="O79" s="45"/>
      <c r="P79" s="45"/>
      <c r="Q79" s="45"/>
      <c r="R79" s="45"/>
      <c r="S79" s="45"/>
      <c r="T79" s="118"/>
      <c r="U79" s="99"/>
      <c r="V79" s="99"/>
    </row>
    <row r="80" spans="1:22" s="3" customFormat="1" ht="78.75">
      <c r="A80" s="54" t="s">
        <v>104</v>
      </c>
      <c r="B80" s="51"/>
      <c r="C80" s="41">
        <f>C76/C78</f>
        <v>1.210248447204969</v>
      </c>
      <c r="D80" s="40"/>
      <c r="E80" s="47"/>
      <c r="F80" s="47"/>
      <c r="G80" s="47"/>
      <c r="H80" s="36"/>
      <c r="I80" s="40"/>
      <c r="J80" s="47"/>
      <c r="K80" s="47"/>
      <c r="L80" s="47"/>
      <c r="M80" s="36"/>
      <c r="N80" s="40"/>
      <c r="O80" s="45"/>
      <c r="P80" s="45"/>
      <c r="Q80" s="45"/>
      <c r="R80" s="45"/>
      <c r="S80" s="45"/>
      <c r="T80" s="118"/>
      <c r="U80" s="99"/>
      <c r="V80" s="99"/>
    </row>
    <row r="81" spans="1:22" s="3" customFormat="1" ht="18.75">
      <c r="A81" s="51" t="s">
        <v>25</v>
      </c>
      <c r="B81" s="51"/>
      <c r="C81" s="36"/>
      <c r="D81" s="40"/>
      <c r="E81" s="47"/>
      <c r="F81" s="47"/>
      <c r="G81" s="47"/>
      <c r="H81" s="36"/>
      <c r="I81" s="40"/>
      <c r="J81" s="47"/>
      <c r="K81" s="47"/>
      <c r="L81" s="47"/>
      <c r="M81" s="36"/>
      <c r="N81" s="40"/>
      <c r="O81" s="45"/>
      <c r="P81" s="45"/>
      <c r="Q81" s="45"/>
      <c r="R81" s="45"/>
      <c r="S81" s="45"/>
      <c r="T81" s="118"/>
      <c r="U81" s="99"/>
      <c r="V81" s="99"/>
    </row>
    <row r="82" spans="1:22" s="3" customFormat="1" ht="75">
      <c r="A82" s="54" t="s">
        <v>71</v>
      </c>
      <c r="B82" s="56"/>
      <c r="C82" s="57">
        <f>52+146</f>
        <v>198</v>
      </c>
      <c r="D82" s="60"/>
      <c r="E82" s="59"/>
      <c r="F82" s="59"/>
      <c r="G82" s="59"/>
      <c r="H82" s="57"/>
      <c r="I82" s="60"/>
      <c r="J82" s="59"/>
      <c r="K82" s="59"/>
      <c r="L82" s="59"/>
      <c r="M82" s="57"/>
      <c r="N82" s="60"/>
      <c r="O82" s="61"/>
      <c r="P82" s="61"/>
      <c r="Q82" s="61"/>
      <c r="R82" s="61"/>
      <c r="S82" s="61"/>
      <c r="T82" s="118"/>
      <c r="U82" s="99"/>
      <c r="V82" s="99"/>
    </row>
    <row r="83" spans="1:23" s="4" customFormat="1" ht="70.5" customHeight="1">
      <c r="A83" s="54" t="s">
        <v>57</v>
      </c>
      <c r="B83" s="51"/>
      <c r="C83" s="62">
        <f>C73/(C82*0.86*1591.105*0.001)</f>
        <v>7.191805410434075</v>
      </c>
      <c r="D83" s="40"/>
      <c r="E83" s="47"/>
      <c r="F83" s="47"/>
      <c r="G83" s="47"/>
      <c r="H83" s="36"/>
      <c r="I83" s="40"/>
      <c r="J83" s="47"/>
      <c r="K83" s="47"/>
      <c r="L83" s="47"/>
      <c r="M83" s="36"/>
      <c r="N83" s="40"/>
      <c r="O83" s="45"/>
      <c r="P83" s="45"/>
      <c r="Q83" s="45"/>
      <c r="R83" s="45"/>
      <c r="S83" s="45"/>
      <c r="T83" s="118"/>
      <c r="U83" s="99"/>
      <c r="V83" s="99"/>
      <c r="W83" s="21"/>
    </row>
    <row r="84" spans="1:22" s="5" customFormat="1" ht="18.75" hidden="1">
      <c r="A84" s="142" t="s">
        <v>78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6"/>
      <c r="T84" s="118"/>
      <c r="U84" s="109"/>
      <c r="V84" s="109"/>
    </row>
    <row r="85" spans="1:22" s="3" customFormat="1" ht="18.75" hidden="1">
      <c r="A85" s="168" t="s">
        <v>30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1"/>
      <c r="T85" s="118"/>
      <c r="U85" s="99"/>
      <c r="V85" s="99"/>
    </row>
    <row r="86" spans="1:22" s="3" customFormat="1" ht="93.75" hidden="1">
      <c r="A86" s="51" t="s">
        <v>122</v>
      </c>
      <c r="B86" s="71">
        <v>4717410</v>
      </c>
      <c r="C86" s="41">
        <f>16524</f>
        <v>16524</v>
      </c>
      <c r="D86" s="40"/>
      <c r="E86" s="72">
        <f>C86</f>
        <v>16524</v>
      </c>
      <c r="F86" s="47"/>
      <c r="G86" s="47"/>
      <c r="H86" s="36"/>
      <c r="I86" s="40"/>
      <c r="J86" s="47"/>
      <c r="K86" s="47"/>
      <c r="L86" s="47"/>
      <c r="M86" s="36"/>
      <c r="N86" s="40"/>
      <c r="O86" s="45"/>
      <c r="P86" s="45"/>
      <c r="Q86" s="45"/>
      <c r="R86" s="45"/>
      <c r="S86" s="45"/>
      <c r="T86" s="118"/>
      <c r="U86" s="99"/>
      <c r="V86" s="99"/>
    </row>
    <row r="87" spans="1:22" s="3" customFormat="1" ht="37.5" hidden="1">
      <c r="A87" s="51" t="s">
        <v>28</v>
      </c>
      <c r="B87" s="71"/>
      <c r="C87" s="36"/>
      <c r="D87" s="40"/>
      <c r="E87" s="47"/>
      <c r="F87" s="47"/>
      <c r="G87" s="47"/>
      <c r="H87" s="36"/>
      <c r="I87" s="40"/>
      <c r="J87" s="47"/>
      <c r="K87" s="47"/>
      <c r="L87" s="47"/>
      <c r="M87" s="36"/>
      <c r="N87" s="40"/>
      <c r="O87" s="45"/>
      <c r="P87" s="45"/>
      <c r="Q87" s="45"/>
      <c r="R87" s="45"/>
      <c r="S87" s="45"/>
      <c r="T87" s="118"/>
      <c r="U87" s="99"/>
      <c r="V87" s="99"/>
    </row>
    <row r="88" spans="1:22" s="3" customFormat="1" ht="18.75" hidden="1">
      <c r="A88" s="51" t="s">
        <v>27</v>
      </c>
      <c r="B88" s="71"/>
      <c r="C88" s="36"/>
      <c r="D88" s="40"/>
      <c r="E88" s="47"/>
      <c r="F88" s="47"/>
      <c r="G88" s="47"/>
      <c r="H88" s="36"/>
      <c r="I88" s="40"/>
      <c r="J88" s="47"/>
      <c r="K88" s="47"/>
      <c r="L88" s="47"/>
      <c r="M88" s="36"/>
      <c r="N88" s="40"/>
      <c r="O88" s="45"/>
      <c r="P88" s="45"/>
      <c r="Q88" s="45"/>
      <c r="R88" s="45"/>
      <c r="S88" s="45"/>
      <c r="T88" s="118"/>
      <c r="U88" s="99"/>
      <c r="V88" s="99"/>
    </row>
    <row r="89" spans="1:22" s="3" customFormat="1" ht="37.5" hidden="1">
      <c r="A89" s="54" t="s">
        <v>32</v>
      </c>
      <c r="B89" s="71"/>
      <c r="C89" s="41">
        <f>C86</f>
        <v>16524</v>
      </c>
      <c r="D89" s="40"/>
      <c r="E89" s="70">
        <f>E86</f>
        <v>16524</v>
      </c>
      <c r="F89" s="47"/>
      <c r="G89" s="47"/>
      <c r="H89" s="36"/>
      <c r="I89" s="40"/>
      <c r="J89" s="47"/>
      <c r="K89" s="47"/>
      <c r="L89" s="47"/>
      <c r="M89" s="36"/>
      <c r="N89" s="40"/>
      <c r="O89" s="45"/>
      <c r="P89" s="45"/>
      <c r="Q89" s="45"/>
      <c r="R89" s="45"/>
      <c r="S89" s="45"/>
      <c r="T89" s="118"/>
      <c r="U89" s="99"/>
      <c r="V89" s="99"/>
    </row>
    <row r="90" spans="1:22" s="3" customFormat="1" ht="142.5" customHeight="1" hidden="1">
      <c r="A90" s="54" t="s">
        <v>79</v>
      </c>
      <c r="B90" s="73"/>
      <c r="C90" s="36">
        <v>5</v>
      </c>
      <c r="D90" s="40"/>
      <c r="E90" s="47"/>
      <c r="F90" s="47"/>
      <c r="G90" s="47"/>
      <c r="H90" s="36"/>
      <c r="I90" s="40"/>
      <c r="J90" s="47"/>
      <c r="K90" s="47"/>
      <c r="L90" s="47"/>
      <c r="M90" s="36"/>
      <c r="N90" s="40"/>
      <c r="O90" s="45"/>
      <c r="P90" s="45"/>
      <c r="Q90" s="45"/>
      <c r="R90" s="45"/>
      <c r="S90" s="45"/>
      <c r="T90" s="118"/>
      <c r="U90" s="99"/>
      <c r="V90" s="99"/>
    </row>
    <row r="91" spans="1:22" s="3" customFormat="1" ht="44.25" customHeight="1" hidden="1">
      <c r="A91" s="51" t="s">
        <v>16</v>
      </c>
      <c r="B91" s="73"/>
      <c r="C91" s="36"/>
      <c r="D91" s="40"/>
      <c r="E91" s="47"/>
      <c r="F91" s="47"/>
      <c r="G91" s="47"/>
      <c r="H91" s="36"/>
      <c r="I91" s="40"/>
      <c r="J91" s="47"/>
      <c r="K91" s="47"/>
      <c r="L91" s="47"/>
      <c r="M91" s="36"/>
      <c r="N91" s="40"/>
      <c r="O91" s="45"/>
      <c r="P91" s="45"/>
      <c r="Q91" s="45"/>
      <c r="R91" s="45"/>
      <c r="S91" s="45"/>
      <c r="T91" s="118"/>
      <c r="U91" s="99"/>
      <c r="V91" s="99"/>
    </row>
    <row r="92" spans="1:22" s="3" customFormat="1" ht="60" hidden="1">
      <c r="A92" s="54" t="s">
        <v>109</v>
      </c>
      <c r="B92" s="73"/>
      <c r="C92" s="36">
        <v>7834</v>
      </c>
      <c r="D92" s="40"/>
      <c r="E92" s="47"/>
      <c r="F92" s="47"/>
      <c r="G92" s="47"/>
      <c r="H92" s="36"/>
      <c r="I92" s="40"/>
      <c r="J92" s="47"/>
      <c r="K92" s="47"/>
      <c r="L92" s="47"/>
      <c r="M92" s="36"/>
      <c r="N92" s="40"/>
      <c r="O92" s="45"/>
      <c r="P92" s="45"/>
      <c r="Q92" s="45"/>
      <c r="R92" s="45"/>
      <c r="S92" s="45"/>
      <c r="T92" s="118"/>
      <c r="U92" s="99"/>
      <c r="V92" s="99"/>
    </row>
    <row r="93" spans="1:22" s="3" customFormat="1" ht="60" hidden="1">
      <c r="A93" s="54" t="s">
        <v>103</v>
      </c>
      <c r="B93" s="73"/>
      <c r="C93" s="36">
        <v>2116</v>
      </c>
      <c r="D93" s="40"/>
      <c r="E93" s="47"/>
      <c r="F93" s="47"/>
      <c r="G93" s="47"/>
      <c r="H93" s="36"/>
      <c r="I93" s="40"/>
      <c r="J93" s="47"/>
      <c r="K93" s="47"/>
      <c r="L93" s="47"/>
      <c r="M93" s="36"/>
      <c r="N93" s="40"/>
      <c r="O93" s="45"/>
      <c r="P93" s="45"/>
      <c r="Q93" s="45"/>
      <c r="R93" s="45"/>
      <c r="S93" s="45"/>
      <c r="T93" s="118"/>
      <c r="U93" s="99"/>
      <c r="V93" s="99"/>
    </row>
    <row r="94" spans="1:22" s="3" customFormat="1" ht="47.25" customHeight="1" hidden="1">
      <c r="A94" s="51" t="s">
        <v>23</v>
      </c>
      <c r="B94" s="73"/>
      <c r="C94" s="36"/>
      <c r="D94" s="40"/>
      <c r="E94" s="47"/>
      <c r="F94" s="47"/>
      <c r="G94" s="47"/>
      <c r="H94" s="36"/>
      <c r="I94" s="40"/>
      <c r="J94" s="47"/>
      <c r="K94" s="47"/>
      <c r="L94" s="47"/>
      <c r="M94" s="36"/>
      <c r="N94" s="40"/>
      <c r="O94" s="45"/>
      <c r="P94" s="45"/>
      <c r="Q94" s="45"/>
      <c r="R94" s="45"/>
      <c r="S94" s="45"/>
      <c r="T94" s="118"/>
      <c r="U94" s="99"/>
      <c r="V94" s="99"/>
    </row>
    <row r="95" spans="1:22" s="3" customFormat="1" ht="78.75" hidden="1">
      <c r="A95" s="54" t="s">
        <v>108</v>
      </c>
      <c r="B95" s="73"/>
      <c r="C95" s="36">
        <v>1.2</v>
      </c>
      <c r="D95" s="40"/>
      <c r="E95" s="47"/>
      <c r="F95" s="47"/>
      <c r="G95" s="47"/>
      <c r="H95" s="36"/>
      <c r="I95" s="40"/>
      <c r="J95" s="47"/>
      <c r="K95" s="47"/>
      <c r="L95" s="47"/>
      <c r="M95" s="36"/>
      <c r="N95" s="40"/>
      <c r="O95" s="45"/>
      <c r="P95" s="45"/>
      <c r="Q95" s="45"/>
      <c r="R95" s="45"/>
      <c r="S95" s="45"/>
      <c r="T95" s="118"/>
      <c r="U95" s="99"/>
      <c r="V95" s="99"/>
    </row>
    <row r="96" spans="1:22" s="3" customFormat="1" ht="60" customHeight="1" hidden="1">
      <c r="A96" s="54" t="s">
        <v>111</v>
      </c>
      <c r="B96" s="73"/>
      <c r="C96" s="36">
        <v>1.5</v>
      </c>
      <c r="D96" s="40"/>
      <c r="E96" s="47"/>
      <c r="F96" s="47"/>
      <c r="G96" s="47"/>
      <c r="H96" s="36"/>
      <c r="I96" s="40"/>
      <c r="J96" s="47"/>
      <c r="K96" s="47"/>
      <c r="L96" s="47"/>
      <c r="M96" s="36"/>
      <c r="N96" s="40"/>
      <c r="O96" s="45"/>
      <c r="P96" s="45"/>
      <c r="Q96" s="45"/>
      <c r="R96" s="45"/>
      <c r="S96" s="45"/>
      <c r="T96" s="118"/>
      <c r="U96" s="99"/>
      <c r="V96" s="99"/>
    </row>
    <row r="97" spans="1:22" s="3" customFormat="1" ht="18.75" hidden="1">
      <c r="A97" s="51" t="s">
        <v>25</v>
      </c>
      <c r="B97" s="73"/>
      <c r="C97" s="36"/>
      <c r="D97" s="40"/>
      <c r="E97" s="47"/>
      <c r="F97" s="47"/>
      <c r="G97" s="47"/>
      <c r="H97" s="36"/>
      <c r="I97" s="40"/>
      <c r="J97" s="47"/>
      <c r="K97" s="47"/>
      <c r="L97" s="47"/>
      <c r="M97" s="36"/>
      <c r="N97" s="40"/>
      <c r="O97" s="45"/>
      <c r="P97" s="45"/>
      <c r="Q97" s="45"/>
      <c r="R97" s="45"/>
      <c r="S97" s="45"/>
      <c r="T97" s="118"/>
      <c r="U97" s="99"/>
      <c r="V97" s="99"/>
    </row>
    <row r="98" spans="1:22" s="3" customFormat="1" ht="66" customHeight="1" hidden="1">
      <c r="A98" s="54" t="s">
        <v>33</v>
      </c>
      <c r="B98" s="73"/>
      <c r="C98" s="36"/>
      <c r="D98" s="40"/>
      <c r="E98" s="47"/>
      <c r="F98" s="47"/>
      <c r="G98" s="47"/>
      <c r="H98" s="36"/>
      <c r="I98" s="40"/>
      <c r="J98" s="47"/>
      <c r="K98" s="47"/>
      <c r="L98" s="47"/>
      <c r="M98" s="36"/>
      <c r="N98" s="40"/>
      <c r="O98" s="45"/>
      <c r="P98" s="45"/>
      <c r="Q98" s="45"/>
      <c r="R98" s="45"/>
      <c r="S98" s="45"/>
      <c r="T98" s="118"/>
      <c r="U98" s="99"/>
      <c r="V98" s="99"/>
    </row>
    <row r="99" spans="1:22" s="3" customFormat="1" ht="75" hidden="1">
      <c r="A99" s="54" t="s">
        <v>71</v>
      </c>
      <c r="B99" s="74"/>
      <c r="C99" s="57">
        <v>861</v>
      </c>
      <c r="D99" s="60"/>
      <c r="E99" s="59"/>
      <c r="F99" s="59"/>
      <c r="G99" s="59"/>
      <c r="H99" s="57"/>
      <c r="I99" s="60"/>
      <c r="J99" s="59"/>
      <c r="K99" s="59"/>
      <c r="L99" s="59"/>
      <c r="M99" s="57"/>
      <c r="N99" s="60"/>
      <c r="O99" s="61"/>
      <c r="P99" s="61"/>
      <c r="Q99" s="61"/>
      <c r="R99" s="61"/>
      <c r="S99" s="61"/>
      <c r="T99" s="118"/>
      <c r="U99" s="99"/>
      <c r="V99" s="99"/>
    </row>
    <row r="100" spans="1:23" s="4" customFormat="1" ht="56.25" hidden="1">
      <c r="A100" s="54" t="s">
        <v>56</v>
      </c>
      <c r="B100" s="73"/>
      <c r="C100" s="62">
        <f>C89/(C99*0.86*1591.105*0.001)</f>
        <v>14.025383434828072</v>
      </c>
      <c r="D100" s="40"/>
      <c r="E100" s="47"/>
      <c r="F100" s="47"/>
      <c r="G100" s="47"/>
      <c r="H100" s="36"/>
      <c r="I100" s="40"/>
      <c r="J100" s="47"/>
      <c r="K100" s="47"/>
      <c r="L100" s="47"/>
      <c r="M100" s="36"/>
      <c r="N100" s="40"/>
      <c r="O100" s="45"/>
      <c r="P100" s="45"/>
      <c r="Q100" s="45"/>
      <c r="R100" s="45"/>
      <c r="S100" s="45"/>
      <c r="T100" s="118"/>
      <c r="U100" s="99"/>
      <c r="V100" s="99"/>
      <c r="W100" s="21"/>
    </row>
    <row r="101" spans="1:22" s="3" customFormat="1" ht="18.75" hidden="1">
      <c r="A101" s="142" t="s">
        <v>115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6"/>
      <c r="T101" s="118"/>
      <c r="U101" s="99"/>
      <c r="V101" s="99"/>
    </row>
    <row r="102" spans="1:22" s="3" customFormat="1" ht="75" hidden="1">
      <c r="A102" s="51" t="s">
        <v>129</v>
      </c>
      <c r="B102" s="71">
        <v>4716310</v>
      </c>
      <c r="C102" s="41">
        <v>1000</v>
      </c>
      <c r="D102" s="40"/>
      <c r="E102" s="72">
        <f>C102</f>
        <v>1000</v>
      </c>
      <c r="F102" s="47"/>
      <c r="G102" s="47"/>
      <c r="H102" s="36"/>
      <c r="I102" s="40"/>
      <c r="J102" s="47"/>
      <c r="K102" s="47"/>
      <c r="L102" s="47"/>
      <c r="M102" s="36"/>
      <c r="N102" s="40"/>
      <c r="O102" s="45"/>
      <c r="P102" s="45"/>
      <c r="Q102" s="45"/>
      <c r="R102" s="45"/>
      <c r="S102" s="45"/>
      <c r="T102" s="118"/>
      <c r="U102" s="99"/>
      <c r="V102" s="99"/>
    </row>
    <row r="103" spans="1:22" s="3" customFormat="1" ht="37.5" hidden="1">
      <c r="A103" s="51" t="s">
        <v>28</v>
      </c>
      <c r="B103" s="71"/>
      <c r="C103" s="36"/>
      <c r="D103" s="40"/>
      <c r="E103" s="47"/>
      <c r="F103" s="47"/>
      <c r="G103" s="47"/>
      <c r="H103" s="36"/>
      <c r="I103" s="40"/>
      <c r="J103" s="47"/>
      <c r="K103" s="47"/>
      <c r="L103" s="47"/>
      <c r="M103" s="36"/>
      <c r="N103" s="40"/>
      <c r="O103" s="45"/>
      <c r="P103" s="45"/>
      <c r="Q103" s="45"/>
      <c r="R103" s="45"/>
      <c r="S103" s="45"/>
      <c r="T103" s="118"/>
      <c r="U103" s="99"/>
      <c r="V103" s="99"/>
    </row>
    <row r="104" spans="1:22" s="3" customFormat="1" ht="18.75" hidden="1">
      <c r="A104" s="51" t="s">
        <v>27</v>
      </c>
      <c r="B104" s="71"/>
      <c r="C104" s="36"/>
      <c r="D104" s="40"/>
      <c r="E104" s="47"/>
      <c r="F104" s="47"/>
      <c r="G104" s="47"/>
      <c r="H104" s="36"/>
      <c r="I104" s="40"/>
      <c r="J104" s="47"/>
      <c r="K104" s="47"/>
      <c r="L104" s="47"/>
      <c r="M104" s="36"/>
      <c r="N104" s="40"/>
      <c r="O104" s="45"/>
      <c r="P104" s="45"/>
      <c r="Q104" s="45"/>
      <c r="R104" s="45"/>
      <c r="S104" s="45"/>
      <c r="T104" s="118"/>
      <c r="U104" s="99"/>
      <c r="V104" s="99"/>
    </row>
    <row r="105" spans="1:22" s="3" customFormat="1" ht="37.5" hidden="1">
      <c r="A105" s="54" t="s">
        <v>32</v>
      </c>
      <c r="B105" s="71"/>
      <c r="C105" s="41">
        <f>C102</f>
        <v>1000</v>
      </c>
      <c r="D105" s="40"/>
      <c r="E105" s="70">
        <f>E102</f>
        <v>1000</v>
      </c>
      <c r="F105" s="47"/>
      <c r="G105" s="47"/>
      <c r="H105" s="36"/>
      <c r="I105" s="40"/>
      <c r="J105" s="47"/>
      <c r="K105" s="47"/>
      <c r="L105" s="47"/>
      <c r="M105" s="36"/>
      <c r="N105" s="40"/>
      <c r="O105" s="45"/>
      <c r="P105" s="45"/>
      <c r="Q105" s="45"/>
      <c r="R105" s="45"/>
      <c r="S105" s="45"/>
      <c r="T105" s="118"/>
      <c r="U105" s="99"/>
      <c r="V105" s="99"/>
    </row>
    <row r="106" spans="1:22" s="3" customFormat="1" ht="142.5" customHeight="1" hidden="1">
      <c r="A106" s="54" t="s">
        <v>125</v>
      </c>
      <c r="B106" s="73"/>
      <c r="C106" s="36">
        <v>2</v>
      </c>
      <c r="D106" s="40"/>
      <c r="E106" s="47"/>
      <c r="F106" s="47"/>
      <c r="G106" s="47"/>
      <c r="H106" s="36"/>
      <c r="I106" s="40"/>
      <c r="J106" s="47"/>
      <c r="K106" s="47"/>
      <c r="L106" s="47"/>
      <c r="M106" s="36"/>
      <c r="N106" s="40"/>
      <c r="O106" s="45"/>
      <c r="P106" s="45"/>
      <c r="Q106" s="45"/>
      <c r="R106" s="45"/>
      <c r="S106" s="45"/>
      <c r="T106" s="118"/>
      <c r="U106" s="99"/>
      <c r="V106" s="99"/>
    </row>
    <row r="107" spans="1:22" s="3" customFormat="1" ht="44.25" customHeight="1" hidden="1">
      <c r="A107" s="51" t="s">
        <v>16</v>
      </c>
      <c r="B107" s="73"/>
      <c r="C107" s="36"/>
      <c r="D107" s="40"/>
      <c r="E107" s="47"/>
      <c r="F107" s="47"/>
      <c r="G107" s="47"/>
      <c r="H107" s="36"/>
      <c r="I107" s="40"/>
      <c r="J107" s="47"/>
      <c r="K107" s="47"/>
      <c r="L107" s="47"/>
      <c r="M107" s="36"/>
      <c r="N107" s="40"/>
      <c r="O107" s="45"/>
      <c r="P107" s="45"/>
      <c r="Q107" s="45"/>
      <c r="R107" s="45"/>
      <c r="S107" s="45"/>
      <c r="T107" s="118"/>
      <c r="U107" s="99"/>
      <c r="V107" s="99"/>
    </row>
    <row r="108" spans="1:22" s="3" customFormat="1" ht="37.5" hidden="1">
      <c r="A108" s="54" t="s">
        <v>126</v>
      </c>
      <c r="B108" s="73"/>
      <c r="C108" s="36">
        <v>1</v>
      </c>
      <c r="D108" s="40"/>
      <c r="E108" s="47"/>
      <c r="F108" s="47"/>
      <c r="G108" s="47"/>
      <c r="H108" s="36"/>
      <c r="I108" s="40"/>
      <c r="J108" s="47"/>
      <c r="K108" s="47"/>
      <c r="L108" s="47"/>
      <c r="M108" s="36"/>
      <c r="N108" s="40"/>
      <c r="O108" s="45"/>
      <c r="P108" s="45"/>
      <c r="Q108" s="45"/>
      <c r="R108" s="45"/>
      <c r="S108" s="45"/>
      <c r="T108" s="118"/>
      <c r="U108" s="99"/>
      <c r="V108" s="99"/>
    </row>
    <row r="109" spans="1:22" s="3" customFormat="1" ht="47.25" customHeight="1" hidden="1">
      <c r="A109" s="51" t="s">
        <v>23</v>
      </c>
      <c r="B109" s="73"/>
      <c r="C109" s="36"/>
      <c r="D109" s="40"/>
      <c r="E109" s="47"/>
      <c r="F109" s="47"/>
      <c r="G109" s="47"/>
      <c r="H109" s="36"/>
      <c r="I109" s="40"/>
      <c r="J109" s="47"/>
      <c r="K109" s="47"/>
      <c r="L109" s="47"/>
      <c r="M109" s="36"/>
      <c r="N109" s="40"/>
      <c r="O109" s="45"/>
      <c r="P109" s="45"/>
      <c r="Q109" s="45"/>
      <c r="R109" s="45"/>
      <c r="S109" s="45"/>
      <c r="T109" s="118"/>
      <c r="U109" s="99"/>
      <c r="V109" s="99"/>
    </row>
    <row r="110" spans="1:22" s="3" customFormat="1" ht="131.25" hidden="1">
      <c r="A110" s="54" t="s">
        <v>127</v>
      </c>
      <c r="B110" s="73"/>
      <c r="C110" s="36">
        <v>500</v>
      </c>
      <c r="D110" s="40"/>
      <c r="E110" s="47"/>
      <c r="F110" s="47"/>
      <c r="G110" s="47"/>
      <c r="H110" s="36"/>
      <c r="I110" s="40"/>
      <c r="J110" s="47"/>
      <c r="K110" s="47"/>
      <c r="L110" s="47"/>
      <c r="M110" s="36"/>
      <c r="N110" s="40"/>
      <c r="O110" s="45"/>
      <c r="P110" s="45"/>
      <c r="Q110" s="45"/>
      <c r="R110" s="45"/>
      <c r="S110" s="45"/>
      <c r="T110" s="118"/>
      <c r="U110" s="99"/>
      <c r="V110" s="99"/>
    </row>
    <row r="111" spans="1:22" s="3" customFormat="1" ht="66" customHeight="1" hidden="1">
      <c r="A111" s="54" t="s">
        <v>33</v>
      </c>
      <c r="B111" s="73"/>
      <c r="C111" s="36"/>
      <c r="D111" s="40"/>
      <c r="E111" s="47"/>
      <c r="F111" s="47"/>
      <c r="G111" s="47"/>
      <c r="H111" s="36"/>
      <c r="I111" s="40"/>
      <c r="J111" s="47"/>
      <c r="K111" s="47"/>
      <c r="L111" s="47"/>
      <c r="M111" s="36"/>
      <c r="N111" s="40"/>
      <c r="O111" s="45"/>
      <c r="P111" s="45"/>
      <c r="Q111" s="45"/>
      <c r="R111" s="45"/>
      <c r="S111" s="45"/>
      <c r="T111" s="118"/>
      <c r="U111" s="99"/>
      <c r="V111" s="99"/>
    </row>
    <row r="112" spans="1:22" s="3" customFormat="1" ht="18.75" hidden="1">
      <c r="A112" s="139" t="s">
        <v>19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1"/>
      <c r="T112" s="118"/>
      <c r="U112" s="99"/>
      <c r="V112" s="99"/>
    </row>
    <row r="113" spans="1:22" s="3" customFormat="1" ht="99" customHeight="1" hidden="1">
      <c r="A113" s="51" t="s">
        <v>34</v>
      </c>
      <c r="B113" s="38">
        <v>1017410</v>
      </c>
      <c r="C113" s="36">
        <v>1150.1</v>
      </c>
      <c r="D113" s="40"/>
      <c r="E113" s="40">
        <f>C113</f>
        <v>1150.1</v>
      </c>
      <c r="F113" s="40"/>
      <c r="G113" s="40"/>
      <c r="H113" s="64">
        <f>J113</f>
        <v>840</v>
      </c>
      <c r="I113" s="39"/>
      <c r="J113" s="39">
        <v>840</v>
      </c>
      <c r="K113" s="39"/>
      <c r="L113" s="39"/>
      <c r="M113" s="64">
        <f>O113</f>
        <v>864</v>
      </c>
      <c r="N113" s="39"/>
      <c r="O113" s="39">
        <v>864</v>
      </c>
      <c r="P113" s="45"/>
      <c r="Q113" s="45"/>
      <c r="R113" s="45"/>
      <c r="S113" s="45"/>
      <c r="T113" s="118"/>
      <c r="U113" s="99"/>
      <c r="V113" s="99"/>
    </row>
    <row r="114" spans="1:22" s="3" customFormat="1" ht="37.5" hidden="1">
      <c r="A114" s="51" t="s">
        <v>28</v>
      </c>
      <c r="B114" s="51"/>
      <c r="C114" s="36"/>
      <c r="D114" s="40"/>
      <c r="E114" s="40"/>
      <c r="F114" s="40"/>
      <c r="G114" s="40"/>
      <c r="H114" s="36"/>
      <c r="I114" s="40"/>
      <c r="J114" s="40"/>
      <c r="K114" s="40"/>
      <c r="L114" s="40"/>
      <c r="M114" s="36"/>
      <c r="N114" s="40"/>
      <c r="O114" s="40"/>
      <c r="P114" s="45"/>
      <c r="Q114" s="45"/>
      <c r="R114" s="45"/>
      <c r="S114" s="45"/>
      <c r="T114" s="118"/>
      <c r="U114" s="99"/>
      <c r="V114" s="99"/>
    </row>
    <row r="115" spans="1:22" s="3" customFormat="1" ht="18.75" hidden="1">
      <c r="A115" s="51" t="s">
        <v>21</v>
      </c>
      <c r="B115" s="51"/>
      <c r="C115" s="36"/>
      <c r="D115" s="40"/>
      <c r="E115" s="40"/>
      <c r="F115" s="40"/>
      <c r="G115" s="40"/>
      <c r="H115" s="36"/>
      <c r="I115" s="40"/>
      <c r="J115" s="40"/>
      <c r="K115" s="40"/>
      <c r="L115" s="40"/>
      <c r="M115" s="36"/>
      <c r="N115" s="40"/>
      <c r="O115" s="40"/>
      <c r="P115" s="45"/>
      <c r="Q115" s="45"/>
      <c r="R115" s="45"/>
      <c r="S115" s="45"/>
      <c r="T115" s="118"/>
      <c r="U115" s="99"/>
      <c r="V115" s="99"/>
    </row>
    <row r="116" spans="1:22" s="3" customFormat="1" ht="45.75" customHeight="1" hidden="1">
      <c r="A116" s="54" t="s">
        <v>32</v>
      </c>
      <c r="B116" s="51"/>
      <c r="C116" s="36">
        <f>E113</f>
        <v>1150.1</v>
      </c>
      <c r="D116" s="40"/>
      <c r="E116" s="40"/>
      <c r="F116" s="40"/>
      <c r="G116" s="40"/>
      <c r="H116" s="64">
        <f>J113</f>
        <v>840</v>
      </c>
      <c r="I116" s="39"/>
      <c r="J116" s="39"/>
      <c r="K116" s="39"/>
      <c r="L116" s="39"/>
      <c r="M116" s="64">
        <f>O113</f>
        <v>864</v>
      </c>
      <c r="N116" s="40"/>
      <c r="O116" s="40"/>
      <c r="P116" s="45"/>
      <c r="Q116" s="45"/>
      <c r="R116" s="45"/>
      <c r="S116" s="45"/>
      <c r="T116" s="118"/>
      <c r="U116" s="99"/>
      <c r="V116" s="99"/>
    </row>
    <row r="117" spans="1:22" s="3" customFormat="1" ht="37.5" customHeight="1" hidden="1">
      <c r="A117" s="51" t="s">
        <v>16</v>
      </c>
      <c r="B117" s="51"/>
      <c r="C117" s="36"/>
      <c r="D117" s="40"/>
      <c r="E117" s="40"/>
      <c r="F117" s="40"/>
      <c r="G117" s="40"/>
      <c r="H117" s="36"/>
      <c r="I117" s="40"/>
      <c r="J117" s="40"/>
      <c r="K117" s="40"/>
      <c r="L117" s="40"/>
      <c r="M117" s="36"/>
      <c r="N117" s="40"/>
      <c r="O117" s="40"/>
      <c r="P117" s="45"/>
      <c r="Q117" s="45"/>
      <c r="R117" s="45"/>
      <c r="S117" s="45"/>
      <c r="T117" s="118"/>
      <c r="U117" s="99"/>
      <c r="V117" s="99"/>
    </row>
    <row r="118" spans="1:22" s="3" customFormat="1" ht="106.5" customHeight="1" hidden="1">
      <c r="A118" s="54" t="s">
        <v>35</v>
      </c>
      <c r="B118" s="51"/>
      <c r="C118" s="36">
        <v>13</v>
      </c>
      <c r="D118" s="40"/>
      <c r="E118" s="40"/>
      <c r="F118" s="40"/>
      <c r="G118" s="40"/>
      <c r="H118" s="36">
        <v>10</v>
      </c>
      <c r="I118" s="40"/>
      <c r="J118" s="40"/>
      <c r="K118" s="40"/>
      <c r="L118" s="40"/>
      <c r="M118" s="36">
        <v>7</v>
      </c>
      <c r="N118" s="40"/>
      <c r="O118" s="40"/>
      <c r="P118" s="45"/>
      <c r="Q118" s="45"/>
      <c r="R118" s="45"/>
      <c r="S118" s="45"/>
      <c r="T118" s="118"/>
      <c r="U118" s="99"/>
      <c r="V118" s="99"/>
    </row>
    <row r="119" spans="1:22" s="3" customFormat="1" ht="40.5" customHeight="1" hidden="1">
      <c r="A119" s="51" t="s">
        <v>23</v>
      </c>
      <c r="B119" s="51"/>
      <c r="C119" s="36"/>
      <c r="D119" s="40"/>
      <c r="E119" s="40"/>
      <c r="F119" s="40"/>
      <c r="G119" s="40"/>
      <c r="H119" s="36"/>
      <c r="I119" s="40"/>
      <c r="J119" s="40"/>
      <c r="K119" s="40"/>
      <c r="L119" s="40"/>
      <c r="M119" s="36"/>
      <c r="N119" s="40"/>
      <c r="O119" s="40"/>
      <c r="P119" s="45"/>
      <c r="Q119" s="45"/>
      <c r="R119" s="45"/>
      <c r="S119" s="45"/>
      <c r="T119" s="118"/>
      <c r="U119" s="99"/>
      <c r="V119" s="99"/>
    </row>
    <row r="120" spans="1:22" s="3" customFormat="1" ht="93.75" hidden="1">
      <c r="A120" s="54" t="s">
        <v>88</v>
      </c>
      <c r="B120" s="51"/>
      <c r="C120" s="36">
        <v>50</v>
      </c>
      <c r="D120" s="40"/>
      <c r="E120" s="40"/>
      <c r="F120" s="40"/>
      <c r="G120" s="40"/>
      <c r="H120" s="36">
        <v>60</v>
      </c>
      <c r="I120" s="40"/>
      <c r="J120" s="40"/>
      <c r="K120" s="40"/>
      <c r="L120" s="40"/>
      <c r="M120" s="36">
        <v>72</v>
      </c>
      <c r="N120" s="40"/>
      <c r="O120" s="40"/>
      <c r="P120" s="45"/>
      <c r="Q120" s="45"/>
      <c r="R120" s="45"/>
      <c r="S120" s="45"/>
      <c r="T120" s="118"/>
      <c r="U120" s="99"/>
      <c r="V120" s="99"/>
    </row>
    <row r="121" spans="1:22" s="3" customFormat="1" ht="18.75" hidden="1">
      <c r="A121" s="51" t="s">
        <v>25</v>
      </c>
      <c r="B121" s="51"/>
      <c r="C121" s="36"/>
      <c r="D121" s="40"/>
      <c r="E121" s="40"/>
      <c r="F121" s="40"/>
      <c r="G121" s="40"/>
      <c r="H121" s="36"/>
      <c r="I121" s="40"/>
      <c r="J121" s="40"/>
      <c r="K121" s="40"/>
      <c r="L121" s="40"/>
      <c r="M121" s="36"/>
      <c r="N121" s="40"/>
      <c r="O121" s="40"/>
      <c r="P121" s="45"/>
      <c r="Q121" s="45"/>
      <c r="R121" s="45"/>
      <c r="S121" s="45"/>
      <c r="T121" s="118"/>
      <c r="U121" s="99"/>
      <c r="V121" s="99"/>
    </row>
    <row r="122" spans="1:22" s="3" customFormat="1" ht="75" hidden="1">
      <c r="A122" s="54" t="s">
        <v>71</v>
      </c>
      <c r="B122" s="51"/>
      <c r="C122" s="62">
        <v>844.187</v>
      </c>
      <c r="D122" s="40"/>
      <c r="E122" s="40"/>
      <c r="F122" s="40"/>
      <c r="G122" s="40"/>
      <c r="H122" s="36">
        <v>541.83</v>
      </c>
      <c r="I122" s="40"/>
      <c r="J122" s="40"/>
      <c r="K122" s="40"/>
      <c r="L122" s="40"/>
      <c r="M122" s="36">
        <v>460.29</v>
      </c>
      <c r="N122" s="40"/>
      <c r="O122" s="40"/>
      <c r="P122" s="45"/>
      <c r="Q122" s="45"/>
      <c r="R122" s="45"/>
      <c r="S122" s="45"/>
      <c r="T122" s="118"/>
      <c r="U122" s="99"/>
      <c r="V122" s="99"/>
    </row>
    <row r="123" spans="1:23" s="4" customFormat="1" ht="37.5" hidden="1">
      <c r="A123" s="54" t="s">
        <v>57</v>
      </c>
      <c r="B123" s="51"/>
      <c r="C123" s="41">
        <f>C113/(C122*0.86*1591.105*0.001)</f>
        <v>0.9956338458775315</v>
      </c>
      <c r="D123" s="40"/>
      <c r="E123" s="40"/>
      <c r="F123" s="40"/>
      <c r="G123" s="40"/>
      <c r="H123" s="41">
        <f>H116/(H122*0.86*1699.3*0.001)</f>
        <v>1.0608347316494606</v>
      </c>
      <c r="I123" s="40"/>
      <c r="J123" s="40"/>
      <c r="K123" s="40"/>
      <c r="L123" s="40"/>
      <c r="M123" s="41">
        <f>M116/(M122*0.86*0.001*1787.664)</f>
        <v>1.2209499377744226</v>
      </c>
      <c r="N123" s="40"/>
      <c r="O123" s="40"/>
      <c r="P123" s="45"/>
      <c r="Q123" s="45"/>
      <c r="R123" s="45"/>
      <c r="S123" s="45"/>
      <c r="T123" s="118"/>
      <c r="U123" s="99"/>
      <c r="V123" s="99"/>
      <c r="W123" s="21"/>
    </row>
    <row r="124" spans="1:22" s="3" customFormat="1" ht="18.75" hidden="1">
      <c r="A124" s="142" t="s">
        <v>116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6"/>
      <c r="T124" s="118"/>
      <c r="U124" s="99"/>
      <c r="V124" s="99"/>
    </row>
    <row r="125" spans="1:22" s="3" customFormat="1" ht="18.75" hidden="1">
      <c r="A125" s="139" t="s">
        <v>19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1"/>
      <c r="T125" s="118"/>
      <c r="U125" s="99"/>
      <c r="V125" s="99"/>
    </row>
    <row r="126" spans="1:22" s="3" customFormat="1" ht="99" customHeight="1" hidden="1">
      <c r="A126" s="51" t="s">
        <v>36</v>
      </c>
      <c r="B126" s="38">
        <v>1017410</v>
      </c>
      <c r="C126" s="41">
        <f>D126+E126</f>
        <v>200</v>
      </c>
      <c r="D126" s="72">
        <v>83</v>
      </c>
      <c r="E126" s="72">
        <v>117</v>
      </c>
      <c r="F126" s="72"/>
      <c r="G126" s="72"/>
      <c r="H126" s="41">
        <v>108</v>
      </c>
      <c r="I126" s="72">
        <f>I129</f>
        <v>58</v>
      </c>
      <c r="J126" s="72">
        <f>J129</f>
        <v>50</v>
      </c>
      <c r="K126" s="72"/>
      <c r="L126" s="72"/>
      <c r="M126" s="41">
        <v>106</v>
      </c>
      <c r="N126" s="72">
        <f>N129</f>
        <v>63</v>
      </c>
      <c r="O126" s="72">
        <f>O129</f>
        <v>43</v>
      </c>
      <c r="P126" s="45"/>
      <c r="Q126" s="45"/>
      <c r="R126" s="45"/>
      <c r="S126" s="45"/>
      <c r="T126" s="118"/>
      <c r="U126" s="99"/>
      <c r="V126" s="99"/>
    </row>
    <row r="127" spans="1:22" s="3" customFormat="1" ht="53.25" customHeight="1" hidden="1">
      <c r="A127" s="51" t="s">
        <v>28</v>
      </c>
      <c r="B127" s="38"/>
      <c r="C127" s="36"/>
      <c r="D127" s="40"/>
      <c r="E127" s="40"/>
      <c r="F127" s="40"/>
      <c r="G127" s="40"/>
      <c r="H127" s="36"/>
      <c r="I127" s="40"/>
      <c r="J127" s="40"/>
      <c r="K127" s="40"/>
      <c r="L127" s="40"/>
      <c r="M127" s="36"/>
      <c r="N127" s="40"/>
      <c r="O127" s="40"/>
      <c r="P127" s="45"/>
      <c r="Q127" s="45"/>
      <c r="R127" s="45"/>
      <c r="S127" s="45"/>
      <c r="T127" s="118"/>
      <c r="U127" s="99"/>
      <c r="V127" s="99"/>
    </row>
    <row r="128" spans="1:22" s="3" customFormat="1" ht="18.75" hidden="1">
      <c r="A128" s="51" t="s">
        <v>21</v>
      </c>
      <c r="B128" s="38"/>
      <c r="C128" s="36"/>
      <c r="D128" s="40"/>
      <c r="E128" s="40"/>
      <c r="F128" s="40"/>
      <c r="G128" s="40"/>
      <c r="H128" s="36"/>
      <c r="I128" s="40"/>
      <c r="J128" s="40"/>
      <c r="K128" s="40"/>
      <c r="L128" s="40"/>
      <c r="M128" s="36"/>
      <c r="N128" s="40"/>
      <c r="O128" s="40"/>
      <c r="P128" s="45"/>
      <c r="Q128" s="45"/>
      <c r="R128" s="45"/>
      <c r="S128" s="45"/>
      <c r="T128" s="118"/>
      <c r="U128" s="99"/>
      <c r="V128" s="99"/>
    </row>
    <row r="129" spans="1:22" s="3" customFormat="1" ht="47.25" customHeight="1" hidden="1">
      <c r="A129" s="54" t="s">
        <v>32</v>
      </c>
      <c r="B129" s="38"/>
      <c r="C129" s="41">
        <v>200</v>
      </c>
      <c r="D129" s="72">
        <f>D126</f>
        <v>83</v>
      </c>
      <c r="E129" s="72">
        <f>E126</f>
        <v>117</v>
      </c>
      <c r="F129" s="72"/>
      <c r="G129" s="72"/>
      <c r="H129" s="41">
        <f>I129+J129</f>
        <v>108</v>
      </c>
      <c r="I129" s="72">
        <v>58</v>
      </c>
      <c r="J129" s="72">
        <v>50</v>
      </c>
      <c r="K129" s="72"/>
      <c r="L129" s="72"/>
      <c r="M129" s="41">
        <f>N129+O129</f>
        <v>106</v>
      </c>
      <c r="N129" s="72">
        <v>63</v>
      </c>
      <c r="O129" s="72">
        <v>43</v>
      </c>
      <c r="P129" s="45"/>
      <c r="Q129" s="45"/>
      <c r="R129" s="45"/>
      <c r="S129" s="45"/>
      <c r="T129" s="118"/>
      <c r="U129" s="99"/>
      <c r="V129" s="99"/>
    </row>
    <row r="130" spans="1:22" s="3" customFormat="1" ht="47.25" customHeight="1" hidden="1">
      <c r="A130" s="51" t="s">
        <v>16</v>
      </c>
      <c r="B130" s="38"/>
      <c r="C130" s="36"/>
      <c r="D130" s="40"/>
      <c r="E130" s="40"/>
      <c r="F130" s="40"/>
      <c r="G130" s="40"/>
      <c r="H130" s="36"/>
      <c r="I130" s="40"/>
      <c r="J130" s="40"/>
      <c r="K130" s="40"/>
      <c r="L130" s="40"/>
      <c r="M130" s="36"/>
      <c r="N130" s="40"/>
      <c r="O130" s="40"/>
      <c r="P130" s="45"/>
      <c r="Q130" s="45"/>
      <c r="R130" s="45"/>
      <c r="S130" s="45"/>
      <c r="T130" s="119"/>
      <c r="U130" s="99"/>
      <c r="V130" s="99"/>
    </row>
    <row r="131" spans="1:22" s="3" customFormat="1" ht="101.25" customHeight="1" hidden="1">
      <c r="A131" s="54" t="s">
        <v>112</v>
      </c>
      <c r="B131" s="38"/>
      <c r="C131" s="36">
        <v>6</v>
      </c>
      <c r="D131" s="40"/>
      <c r="E131" s="40"/>
      <c r="F131" s="40"/>
      <c r="G131" s="40"/>
      <c r="H131" s="36">
        <v>5</v>
      </c>
      <c r="I131" s="40"/>
      <c r="J131" s="40"/>
      <c r="K131" s="40"/>
      <c r="L131" s="40"/>
      <c r="M131" s="36">
        <v>6</v>
      </c>
      <c r="N131" s="40"/>
      <c r="O131" s="40"/>
      <c r="P131" s="45"/>
      <c r="Q131" s="45"/>
      <c r="R131" s="45"/>
      <c r="S131" s="45"/>
      <c r="T131" s="117"/>
      <c r="U131" s="99"/>
      <c r="V131" s="99"/>
    </row>
    <row r="132" spans="1:22" s="3" customFormat="1" ht="18" customHeight="1" hidden="1">
      <c r="A132" s="54" t="s">
        <v>37</v>
      </c>
      <c r="B132" s="38"/>
      <c r="C132" s="36"/>
      <c r="D132" s="40"/>
      <c r="E132" s="40"/>
      <c r="F132" s="40"/>
      <c r="G132" s="40"/>
      <c r="H132" s="36"/>
      <c r="I132" s="40"/>
      <c r="J132" s="40"/>
      <c r="K132" s="40"/>
      <c r="L132" s="40"/>
      <c r="M132" s="36"/>
      <c r="N132" s="40"/>
      <c r="O132" s="40"/>
      <c r="P132" s="45"/>
      <c r="Q132" s="45"/>
      <c r="R132" s="45"/>
      <c r="S132" s="45"/>
      <c r="T132" s="117"/>
      <c r="U132" s="99"/>
      <c r="V132" s="99"/>
    </row>
    <row r="133" spans="1:22" s="3" customFormat="1" ht="44.25" customHeight="1" hidden="1">
      <c r="A133" s="51" t="s">
        <v>17</v>
      </c>
      <c r="B133" s="38"/>
      <c r="C133" s="36"/>
      <c r="D133" s="40"/>
      <c r="E133" s="40"/>
      <c r="F133" s="40"/>
      <c r="G133" s="40"/>
      <c r="H133" s="36"/>
      <c r="I133" s="40"/>
      <c r="J133" s="40"/>
      <c r="K133" s="40"/>
      <c r="L133" s="40"/>
      <c r="M133" s="36"/>
      <c r="N133" s="40"/>
      <c r="O133" s="40"/>
      <c r="P133" s="45"/>
      <c r="Q133" s="45"/>
      <c r="R133" s="45"/>
      <c r="S133" s="45"/>
      <c r="T133" s="117"/>
      <c r="U133" s="99"/>
      <c r="V133" s="99"/>
    </row>
    <row r="134" spans="1:22" s="3" customFormat="1" ht="125.25" customHeight="1" hidden="1">
      <c r="A134" s="54" t="s">
        <v>52</v>
      </c>
      <c r="B134" s="38"/>
      <c r="C134" s="62">
        <f>C126/C131</f>
        <v>33.333333333333336</v>
      </c>
      <c r="D134" s="40"/>
      <c r="E134" s="40"/>
      <c r="F134" s="40"/>
      <c r="G134" s="40"/>
      <c r="H134" s="62">
        <f>H126/H131</f>
        <v>21.6</v>
      </c>
      <c r="I134" s="40"/>
      <c r="J134" s="40"/>
      <c r="K134" s="40"/>
      <c r="L134" s="40"/>
      <c r="M134" s="62">
        <f>M126/M131</f>
        <v>17.666666666666668</v>
      </c>
      <c r="N134" s="40"/>
      <c r="O134" s="40"/>
      <c r="P134" s="45"/>
      <c r="Q134" s="45"/>
      <c r="R134" s="45"/>
      <c r="S134" s="45"/>
      <c r="T134" s="117"/>
      <c r="U134" s="99"/>
      <c r="V134" s="99"/>
    </row>
    <row r="135" spans="1:22" s="3" customFormat="1" ht="18.75" hidden="1">
      <c r="A135" s="51" t="s">
        <v>18</v>
      </c>
      <c r="B135" s="38"/>
      <c r="C135" s="36"/>
      <c r="D135" s="40"/>
      <c r="E135" s="40"/>
      <c r="F135" s="40"/>
      <c r="G135" s="40"/>
      <c r="H135" s="36"/>
      <c r="I135" s="40"/>
      <c r="J135" s="40"/>
      <c r="K135" s="40"/>
      <c r="L135" s="40"/>
      <c r="M135" s="36"/>
      <c r="N135" s="40"/>
      <c r="O135" s="40"/>
      <c r="P135" s="45"/>
      <c r="Q135" s="45"/>
      <c r="R135" s="45"/>
      <c r="S135" s="45"/>
      <c r="T135" s="117"/>
      <c r="U135" s="99"/>
      <c r="V135" s="99"/>
    </row>
    <row r="136" spans="1:22" s="3" customFormat="1" ht="131.25" customHeight="1" hidden="1">
      <c r="A136" s="54" t="s">
        <v>38</v>
      </c>
      <c r="B136" s="38"/>
      <c r="C136" s="36">
        <v>9</v>
      </c>
      <c r="D136" s="40"/>
      <c r="E136" s="40"/>
      <c r="F136" s="40"/>
      <c r="G136" s="40"/>
      <c r="H136" s="36">
        <v>14</v>
      </c>
      <c r="I136" s="40"/>
      <c r="J136" s="40"/>
      <c r="K136" s="40"/>
      <c r="L136" s="40"/>
      <c r="M136" s="36">
        <v>19</v>
      </c>
      <c r="N136" s="40"/>
      <c r="O136" s="40"/>
      <c r="P136" s="45"/>
      <c r="Q136" s="45"/>
      <c r="R136" s="45"/>
      <c r="S136" s="45"/>
      <c r="T136" s="117"/>
      <c r="U136" s="99"/>
      <c r="V136" s="99"/>
    </row>
    <row r="137" spans="1:22" s="3" customFormat="1" ht="18.75" hidden="1">
      <c r="A137" s="136" t="s">
        <v>59</v>
      </c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4"/>
      <c r="T137" s="117"/>
      <c r="U137" s="99"/>
      <c r="V137" s="99"/>
    </row>
    <row r="138" spans="1:22" s="3" customFormat="1" ht="18.75" hidden="1">
      <c r="A138" s="136" t="s">
        <v>19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4"/>
      <c r="T138" s="117"/>
      <c r="U138" s="99"/>
      <c r="V138" s="99"/>
    </row>
    <row r="139" spans="1:22" s="3" customFormat="1" ht="16.5" customHeight="1" hidden="1">
      <c r="A139" s="75"/>
      <c r="B139" s="38"/>
      <c r="C139" s="36"/>
      <c r="D139" s="40"/>
      <c r="E139" s="40"/>
      <c r="F139" s="40"/>
      <c r="G139" s="40"/>
      <c r="H139" s="36"/>
      <c r="I139" s="40"/>
      <c r="J139" s="40"/>
      <c r="K139" s="40"/>
      <c r="L139" s="40"/>
      <c r="M139" s="36"/>
      <c r="N139" s="40"/>
      <c r="O139" s="40"/>
      <c r="P139" s="45"/>
      <c r="Q139" s="45"/>
      <c r="R139" s="45"/>
      <c r="S139" s="76"/>
      <c r="T139" s="117"/>
      <c r="U139" s="99"/>
      <c r="V139" s="99"/>
    </row>
    <row r="140" spans="1:22" s="3" customFormat="1" ht="16.5" customHeight="1" hidden="1">
      <c r="A140" s="75"/>
      <c r="B140" s="38"/>
      <c r="C140" s="36"/>
      <c r="D140" s="40"/>
      <c r="E140" s="40"/>
      <c r="F140" s="40"/>
      <c r="G140" s="40"/>
      <c r="H140" s="36"/>
      <c r="I140" s="40"/>
      <c r="J140" s="40"/>
      <c r="K140" s="40"/>
      <c r="L140" s="40"/>
      <c r="M140" s="36"/>
      <c r="N140" s="40"/>
      <c r="O140" s="40"/>
      <c r="P140" s="45"/>
      <c r="Q140" s="45"/>
      <c r="R140" s="45"/>
      <c r="S140" s="76"/>
      <c r="T140" s="117"/>
      <c r="U140" s="99"/>
      <c r="V140" s="99"/>
    </row>
    <row r="141" spans="1:22" s="3" customFormat="1" ht="86.25" customHeight="1" hidden="1">
      <c r="A141" s="51" t="s">
        <v>11</v>
      </c>
      <c r="B141" s="51">
        <v>1017410</v>
      </c>
      <c r="C141" s="41">
        <v>36</v>
      </c>
      <c r="D141" s="72">
        <v>36</v>
      </c>
      <c r="E141" s="72"/>
      <c r="F141" s="72"/>
      <c r="G141" s="72"/>
      <c r="H141" s="41">
        <v>36</v>
      </c>
      <c r="I141" s="72">
        <f>H141</f>
        <v>36</v>
      </c>
      <c r="J141" s="72"/>
      <c r="K141" s="72"/>
      <c r="L141" s="72"/>
      <c r="M141" s="41">
        <v>36</v>
      </c>
      <c r="N141" s="72">
        <f>M141</f>
        <v>36</v>
      </c>
      <c r="O141" s="40"/>
      <c r="P141" s="45"/>
      <c r="Q141" s="45"/>
      <c r="R141" s="45"/>
      <c r="S141" s="45"/>
      <c r="T141" s="117"/>
      <c r="U141" s="99"/>
      <c r="V141" s="99"/>
    </row>
    <row r="142" spans="1:22" s="3" customFormat="1" ht="45.75" customHeight="1" hidden="1">
      <c r="A142" s="51" t="s">
        <v>26</v>
      </c>
      <c r="B142" s="51"/>
      <c r="C142" s="36"/>
      <c r="D142" s="40"/>
      <c r="E142" s="40"/>
      <c r="F142" s="40"/>
      <c r="G142" s="40"/>
      <c r="H142" s="36"/>
      <c r="I142" s="40"/>
      <c r="J142" s="40"/>
      <c r="K142" s="40"/>
      <c r="L142" s="40"/>
      <c r="M142" s="36"/>
      <c r="N142" s="40"/>
      <c r="O142" s="40"/>
      <c r="P142" s="45"/>
      <c r="Q142" s="45"/>
      <c r="R142" s="45"/>
      <c r="S142" s="45"/>
      <c r="T142" s="117"/>
      <c r="U142" s="99"/>
      <c r="V142" s="99"/>
    </row>
    <row r="143" spans="1:22" s="3" customFormat="1" ht="33" customHeight="1" hidden="1">
      <c r="A143" s="51" t="s">
        <v>27</v>
      </c>
      <c r="B143" s="51"/>
      <c r="C143" s="36"/>
      <c r="D143" s="40"/>
      <c r="E143" s="40"/>
      <c r="F143" s="40"/>
      <c r="G143" s="40"/>
      <c r="H143" s="36"/>
      <c r="I143" s="40"/>
      <c r="J143" s="40"/>
      <c r="K143" s="40"/>
      <c r="L143" s="40"/>
      <c r="M143" s="36"/>
      <c r="N143" s="40"/>
      <c r="O143" s="40"/>
      <c r="P143" s="45"/>
      <c r="Q143" s="45"/>
      <c r="R143" s="45"/>
      <c r="S143" s="45"/>
      <c r="T143" s="117"/>
      <c r="U143" s="99"/>
      <c r="V143" s="99"/>
    </row>
    <row r="144" spans="1:22" s="3" customFormat="1" ht="45" customHeight="1" hidden="1">
      <c r="A144" s="54" t="s">
        <v>32</v>
      </c>
      <c r="B144" s="51"/>
      <c r="C144" s="36">
        <f>C141</f>
        <v>36</v>
      </c>
      <c r="D144" s="40">
        <f>D141</f>
        <v>36</v>
      </c>
      <c r="E144" s="40"/>
      <c r="F144" s="40"/>
      <c r="G144" s="40"/>
      <c r="H144" s="36">
        <f>H141</f>
        <v>36</v>
      </c>
      <c r="I144" s="40">
        <v>36</v>
      </c>
      <c r="J144" s="40"/>
      <c r="K144" s="40"/>
      <c r="L144" s="40"/>
      <c r="M144" s="36">
        <f>M141</f>
        <v>36</v>
      </c>
      <c r="N144" s="40">
        <v>36</v>
      </c>
      <c r="O144" s="40"/>
      <c r="P144" s="45"/>
      <c r="Q144" s="45"/>
      <c r="R144" s="45"/>
      <c r="S144" s="45"/>
      <c r="T144" s="117"/>
      <c r="U144" s="99"/>
      <c r="V144" s="99"/>
    </row>
    <row r="145" spans="1:22" s="3" customFormat="1" ht="39" customHeight="1" hidden="1">
      <c r="A145" s="51" t="s">
        <v>16</v>
      </c>
      <c r="B145" s="51"/>
      <c r="C145" s="36"/>
      <c r="D145" s="40"/>
      <c r="E145" s="40"/>
      <c r="F145" s="40"/>
      <c r="G145" s="40"/>
      <c r="H145" s="36"/>
      <c r="I145" s="40"/>
      <c r="J145" s="40"/>
      <c r="K145" s="40"/>
      <c r="L145" s="40"/>
      <c r="M145" s="36"/>
      <c r="N145" s="40"/>
      <c r="O145" s="40"/>
      <c r="P145" s="45"/>
      <c r="Q145" s="45"/>
      <c r="R145" s="45"/>
      <c r="S145" s="45"/>
      <c r="T145" s="117"/>
      <c r="U145" s="99"/>
      <c r="V145" s="99"/>
    </row>
    <row r="146" spans="1:22" s="3" customFormat="1" ht="87.75" customHeight="1" hidden="1">
      <c r="A146" s="54" t="s">
        <v>89</v>
      </c>
      <c r="B146" s="51"/>
      <c r="C146" s="36">
        <v>6</v>
      </c>
      <c r="D146" s="40"/>
      <c r="E146" s="40"/>
      <c r="F146" s="40"/>
      <c r="G146" s="40"/>
      <c r="H146" s="36">
        <v>5</v>
      </c>
      <c r="I146" s="40"/>
      <c r="J146" s="40"/>
      <c r="K146" s="40"/>
      <c r="L146" s="40"/>
      <c r="M146" s="36">
        <v>6</v>
      </c>
      <c r="N146" s="40"/>
      <c r="O146" s="40"/>
      <c r="P146" s="45"/>
      <c r="Q146" s="45"/>
      <c r="R146" s="45"/>
      <c r="S146" s="45"/>
      <c r="T146" s="117"/>
      <c r="U146" s="99"/>
      <c r="V146" s="99"/>
    </row>
    <row r="147" spans="1:22" s="3" customFormat="1" ht="27" customHeight="1" hidden="1">
      <c r="A147" s="51" t="s">
        <v>23</v>
      </c>
      <c r="B147" s="51"/>
      <c r="C147" s="36">
        <v>6</v>
      </c>
      <c r="D147" s="40"/>
      <c r="E147" s="40"/>
      <c r="F147" s="40"/>
      <c r="G147" s="40"/>
      <c r="H147" s="36">
        <v>6</v>
      </c>
      <c r="I147" s="40"/>
      <c r="J147" s="40"/>
      <c r="K147" s="40"/>
      <c r="L147" s="40"/>
      <c r="M147" s="36">
        <v>6</v>
      </c>
      <c r="N147" s="40"/>
      <c r="O147" s="40"/>
      <c r="P147" s="45"/>
      <c r="Q147" s="45"/>
      <c r="R147" s="45"/>
      <c r="S147" s="76"/>
      <c r="T147" s="117"/>
      <c r="U147" s="99"/>
      <c r="V147" s="99"/>
    </row>
    <row r="148" spans="1:22" s="3" customFormat="1" ht="15.75" customHeight="1" hidden="1">
      <c r="A148" s="51" t="s">
        <v>25</v>
      </c>
      <c r="B148" s="51"/>
      <c r="C148" s="36"/>
      <c r="D148" s="40"/>
      <c r="E148" s="40"/>
      <c r="F148" s="40"/>
      <c r="G148" s="40"/>
      <c r="H148" s="36"/>
      <c r="I148" s="40"/>
      <c r="J148" s="40"/>
      <c r="K148" s="40"/>
      <c r="L148" s="40"/>
      <c r="M148" s="36"/>
      <c r="N148" s="40"/>
      <c r="O148" s="40"/>
      <c r="P148" s="45"/>
      <c r="Q148" s="45"/>
      <c r="R148" s="45"/>
      <c r="S148" s="76"/>
      <c r="T148" s="117"/>
      <c r="U148" s="99"/>
      <c r="V148" s="99"/>
    </row>
    <row r="149" spans="1:22" s="3" customFormat="1" ht="6.75" customHeight="1" hidden="1">
      <c r="A149" s="51"/>
      <c r="B149" s="51"/>
      <c r="C149" s="36"/>
      <c r="D149" s="40"/>
      <c r="E149" s="40"/>
      <c r="F149" s="40"/>
      <c r="G149" s="40"/>
      <c r="H149" s="36"/>
      <c r="I149" s="40"/>
      <c r="J149" s="40"/>
      <c r="K149" s="40"/>
      <c r="L149" s="40"/>
      <c r="M149" s="36"/>
      <c r="N149" s="40"/>
      <c r="O149" s="40"/>
      <c r="P149" s="45"/>
      <c r="Q149" s="45"/>
      <c r="R149" s="45"/>
      <c r="S149" s="76"/>
      <c r="T149" s="117"/>
      <c r="U149" s="99"/>
      <c r="V149" s="99"/>
    </row>
    <row r="150" spans="1:22" s="3" customFormat="1" ht="37.5" customHeight="1" hidden="1">
      <c r="A150" s="146" t="s">
        <v>60</v>
      </c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8"/>
      <c r="T150" s="117"/>
      <c r="U150" s="99"/>
      <c r="V150" s="99"/>
    </row>
    <row r="151" spans="1:22" s="3" customFormat="1" ht="24.75" customHeight="1" hidden="1">
      <c r="A151" s="88" t="s">
        <v>19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9"/>
      <c r="T151" s="117"/>
      <c r="U151" s="99"/>
      <c r="V151" s="99"/>
    </row>
    <row r="152" spans="1:22" s="3" customFormat="1" ht="112.5" customHeight="1" hidden="1">
      <c r="A152" s="51" t="s">
        <v>11</v>
      </c>
      <c r="B152" s="38">
        <v>1017410</v>
      </c>
      <c r="C152" s="64">
        <f>D152</f>
        <v>37</v>
      </c>
      <c r="D152" s="39">
        <v>37</v>
      </c>
      <c r="E152" s="39"/>
      <c r="F152" s="39"/>
      <c r="G152" s="39"/>
      <c r="H152" s="64">
        <v>45</v>
      </c>
      <c r="I152" s="39">
        <f>H152</f>
        <v>45</v>
      </c>
      <c r="J152" s="77"/>
      <c r="K152" s="77"/>
      <c r="L152" s="77"/>
      <c r="M152" s="64">
        <v>54</v>
      </c>
      <c r="N152" s="39">
        <v>54</v>
      </c>
      <c r="O152" s="45"/>
      <c r="P152" s="45"/>
      <c r="Q152" s="45"/>
      <c r="R152" s="45"/>
      <c r="S152" s="45"/>
      <c r="T152" s="117"/>
      <c r="U152" s="99"/>
      <c r="V152" s="99"/>
    </row>
    <row r="153" spans="1:22" s="3" customFormat="1" ht="43.5" customHeight="1" hidden="1">
      <c r="A153" s="51" t="s">
        <v>26</v>
      </c>
      <c r="B153" s="38"/>
      <c r="C153" s="36"/>
      <c r="D153" s="40"/>
      <c r="E153" s="40"/>
      <c r="F153" s="40"/>
      <c r="G153" s="40"/>
      <c r="H153" s="36"/>
      <c r="I153" s="40"/>
      <c r="J153" s="47"/>
      <c r="K153" s="47"/>
      <c r="L153" s="47"/>
      <c r="M153" s="36"/>
      <c r="N153" s="40"/>
      <c r="O153" s="45"/>
      <c r="P153" s="45"/>
      <c r="Q153" s="45"/>
      <c r="R153" s="45"/>
      <c r="S153" s="45"/>
      <c r="T153" s="117"/>
      <c r="U153" s="99"/>
      <c r="V153" s="99"/>
    </row>
    <row r="154" spans="1:22" s="3" customFormat="1" ht="18.75" hidden="1">
      <c r="A154" s="51" t="s">
        <v>27</v>
      </c>
      <c r="B154" s="38"/>
      <c r="C154" s="36"/>
      <c r="D154" s="40"/>
      <c r="E154" s="40"/>
      <c r="F154" s="40"/>
      <c r="G154" s="40"/>
      <c r="H154" s="36"/>
      <c r="I154" s="40"/>
      <c r="J154" s="47"/>
      <c r="K154" s="47"/>
      <c r="L154" s="47"/>
      <c r="M154" s="36"/>
      <c r="N154" s="40"/>
      <c r="O154" s="45"/>
      <c r="P154" s="45"/>
      <c r="Q154" s="45"/>
      <c r="R154" s="45"/>
      <c r="S154" s="45"/>
      <c r="T154" s="117"/>
      <c r="U154" s="99"/>
      <c r="V154" s="99"/>
    </row>
    <row r="155" spans="1:22" s="3" customFormat="1" ht="37.5" hidden="1">
      <c r="A155" s="51" t="s">
        <v>32</v>
      </c>
      <c r="B155" s="38"/>
      <c r="C155" s="41">
        <v>37</v>
      </c>
      <c r="D155" s="72">
        <v>37</v>
      </c>
      <c r="E155" s="72"/>
      <c r="F155" s="72"/>
      <c r="G155" s="72"/>
      <c r="H155" s="41">
        <f>H152</f>
        <v>45</v>
      </c>
      <c r="I155" s="72">
        <f>H155</f>
        <v>45</v>
      </c>
      <c r="J155" s="70"/>
      <c r="K155" s="70"/>
      <c r="L155" s="70"/>
      <c r="M155" s="41">
        <f>M152</f>
        <v>54</v>
      </c>
      <c r="N155" s="72">
        <f>N152</f>
        <v>54</v>
      </c>
      <c r="O155" s="45"/>
      <c r="P155" s="45"/>
      <c r="Q155" s="45"/>
      <c r="R155" s="45"/>
      <c r="S155" s="45"/>
      <c r="T155" s="117"/>
      <c r="U155" s="99"/>
      <c r="V155" s="99"/>
    </row>
    <row r="156" spans="1:22" s="3" customFormat="1" ht="37.5" hidden="1">
      <c r="A156" s="51" t="s">
        <v>16</v>
      </c>
      <c r="B156" s="38"/>
      <c r="C156" s="36"/>
      <c r="D156" s="40"/>
      <c r="E156" s="40"/>
      <c r="F156" s="40"/>
      <c r="G156" s="40"/>
      <c r="H156" s="36"/>
      <c r="I156" s="40"/>
      <c r="J156" s="47"/>
      <c r="K156" s="47"/>
      <c r="L156" s="47"/>
      <c r="M156" s="36"/>
      <c r="N156" s="40"/>
      <c r="O156" s="45"/>
      <c r="P156" s="45"/>
      <c r="Q156" s="45"/>
      <c r="R156" s="45"/>
      <c r="S156" s="45"/>
      <c r="T156" s="117"/>
      <c r="U156" s="99"/>
      <c r="V156" s="99"/>
    </row>
    <row r="157" spans="1:22" s="3" customFormat="1" ht="88.5" customHeight="1" hidden="1">
      <c r="A157" s="54" t="s">
        <v>80</v>
      </c>
      <c r="B157" s="38"/>
      <c r="C157" s="36">
        <v>11</v>
      </c>
      <c r="D157" s="40"/>
      <c r="E157" s="40"/>
      <c r="F157" s="40"/>
      <c r="G157" s="40"/>
      <c r="H157" s="36">
        <v>17</v>
      </c>
      <c r="I157" s="40"/>
      <c r="J157" s="47"/>
      <c r="K157" s="47"/>
      <c r="L157" s="47"/>
      <c r="M157" s="36">
        <v>23</v>
      </c>
      <c r="N157" s="40"/>
      <c r="O157" s="45"/>
      <c r="P157" s="45"/>
      <c r="Q157" s="45"/>
      <c r="R157" s="45"/>
      <c r="S157" s="45"/>
      <c r="T157" s="117"/>
      <c r="U157" s="99"/>
      <c r="V157" s="99"/>
    </row>
    <row r="158" spans="1:22" s="3" customFormat="1" ht="37.5" hidden="1">
      <c r="A158" s="51" t="s">
        <v>23</v>
      </c>
      <c r="B158" s="38"/>
      <c r="C158" s="36"/>
      <c r="D158" s="40"/>
      <c r="E158" s="40"/>
      <c r="F158" s="40"/>
      <c r="G158" s="40"/>
      <c r="H158" s="36"/>
      <c r="I158" s="40"/>
      <c r="J158" s="47"/>
      <c r="K158" s="47"/>
      <c r="L158" s="47"/>
      <c r="M158" s="36"/>
      <c r="N158" s="40"/>
      <c r="O158" s="45"/>
      <c r="P158" s="45"/>
      <c r="Q158" s="45"/>
      <c r="R158" s="45"/>
      <c r="S158" s="45"/>
      <c r="T158" s="117"/>
      <c r="U158" s="99"/>
      <c r="V158" s="99"/>
    </row>
    <row r="159" spans="1:22" s="3" customFormat="1" ht="112.5" hidden="1">
      <c r="A159" s="54" t="s">
        <v>39</v>
      </c>
      <c r="B159" s="38"/>
      <c r="C159" s="41">
        <f>C155/C157</f>
        <v>3.3636363636363638</v>
      </c>
      <c r="D159" s="40"/>
      <c r="E159" s="40"/>
      <c r="F159" s="40"/>
      <c r="G159" s="40"/>
      <c r="H159" s="41">
        <f>H155/H157</f>
        <v>2.6470588235294117</v>
      </c>
      <c r="I159" s="40"/>
      <c r="J159" s="47"/>
      <c r="K159" s="47"/>
      <c r="L159" s="47"/>
      <c r="M159" s="41">
        <f>M155/M157</f>
        <v>2.347826086956522</v>
      </c>
      <c r="N159" s="40"/>
      <c r="O159" s="45"/>
      <c r="P159" s="45"/>
      <c r="Q159" s="45"/>
      <c r="R159" s="45"/>
      <c r="S159" s="45"/>
      <c r="T159" s="117"/>
      <c r="U159" s="99"/>
      <c r="V159" s="99"/>
    </row>
    <row r="160" spans="1:22" s="3" customFormat="1" ht="18.75" hidden="1">
      <c r="A160" s="51" t="s">
        <v>25</v>
      </c>
      <c r="B160" s="38"/>
      <c r="C160" s="36"/>
      <c r="D160" s="40"/>
      <c r="E160" s="40"/>
      <c r="F160" s="40"/>
      <c r="G160" s="40"/>
      <c r="H160" s="36"/>
      <c r="I160" s="40"/>
      <c r="J160" s="47"/>
      <c r="K160" s="47"/>
      <c r="L160" s="47"/>
      <c r="M160" s="36"/>
      <c r="N160" s="40"/>
      <c r="O160" s="45"/>
      <c r="P160" s="45"/>
      <c r="Q160" s="45"/>
      <c r="R160" s="45"/>
      <c r="S160" s="45"/>
      <c r="T160" s="117"/>
      <c r="U160" s="99"/>
      <c r="V160" s="99"/>
    </row>
    <row r="161" spans="1:22" s="3" customFormat="1" ht="126" customHeight="1" hidden="1">
      <c r="A161" s="54" t="s">
        <v>40</v>
      </c>
      <c r="B161" s="38"/>
      <c r="C161" s="36">
        <v>9</v>
      </c>
      <c r="D161" s="40"/>
      <c r="E161" s="40"/>
      <c r="F161" s="40"/>
      <c r="G161" s="40"/>
      <c r="H161" s="36">
        <v>14</v>
      </c>
      <c r="I161" s="40"/>
      <c r="J161" s="47"/>
      <c r="K161" s="47"/>
      <c r="L161" s="47"/>
      <c r="M161" s="36">
        <v>19</v>
      </c>
      <c r="N161" s="40"/>
      <c r="O161" s="45"/>
      <c r="P161" s="45"/>
      <c r="Q161" s="45"/>
      <c r="R161" s="45"/>
      <c r="S161" s="45"/>
      <c r="T161" s="118"/>
      <c r="U161" s="99"/>
      <c r="V161" s="99"/>
    </row>
    <row r="162" spans="1:20" s="23" customFormat="1" ht="16.5" customHeight="1">
      <c r="A162" s="178" t="s">
        <v>61</v>
      </c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80"/>
      <c r="T162" s="118"/>
    </row>
    <row r="163" spans="1:22" s="3" customFormat="1" ht="18.75">
      <c r="A163" s="142" t="s">
        <v>117</v>
      </c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6"/>
      <c r="T163" s="118"/>
      <c r="U163" s="99"/>
      <c r="V163" s="99"/>
    </row>
    <row r="164" spans="1:22" s="3" customFormat="1" ht="18.75">
      <c r="A164" s="139" t="s">
        <v>41</v>
      </c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1"/>
      <c r="T164" s="118"/>
      <c r="U164" s="99"/>
      <c r="V164" s="99"/>
    </row>
    <row r="165" spans="1:22" s="3" customFormat="1" ht="93.75" customHeight="1">
      <c r="A165" s="51" t="s">
        <v>20</v>
      </c>
      <c r="B165" s="38">
        <v>1417410</v>
      </c>
      <c r="C165" s="36">
        <f>203.9-5.5</f>
        <v>198.4</v>
      </c>
      <c r="D165" s="40">
        <f>C165</f>
        <v>198.4</v>
      </c>
      <c r="E165" s="40"/>
      <c r="F165" s="40"/>
      <c r="G165" s="40"/>
      <c r="H165" s="41">
        <v>63</v>
      </c>
      <c r="I165" s="72">
        <v>63</v>
      </c>
      <c r="J165" s="47"/>
      <c r="K165" s="47"/>
      <c r="L165" s="47"/>
      <c r="M165" s="41">
        <v>26</v>
      </c>
      <c r="N165" s="72">
        <v>26</v>
      </c>
      <c r="O165" s="45"/>
      <c r="P165" s="45"/>
      <c r="Q165" s="45"/>
      <c r="R165" s="45"/>
      <c r="S165" s="45"/>
      <c r="T165" s="118"/>
      <c r="U165" s="99"/>
      <c r="V165" s="99"/>
    </row>
    <row r="166" spans="1:22" s="3" customFormat="1" ht="37.5">
      <c r="A166" s="51" t="s">
        <v>28</v>
      </c>
      <c r="B166" s="38"/>
      <c r="C166" s="36"/>
      <c r="D166" s="40"/>
      <c r="E166" s="40"/>
      <c r="F166" s="40"/>
      <c r="G166" s="40"/>
      <c r="H166" s="36"/>
      <c r="I166" s="40"/>
      <c r="J166" s="47"/>
      <c r="K166" s="47"/>
      <c r="L166" s="47"/>
      <c r="M166" s="36"/>
      <c r="N166" s="40"/>
      <c r="O166" s="45"/>
      <c r="P166" s="45"/>
      <c r="Q166" s="45"/>
      <c r="R166" s="45"/>
      <c r="S166" s="45"/>
      <c r="T166" s="118"/>
      <c r="U166" s="99"/>
      <c r="V166" s="99"/>
    </row>
    <row r="167" spans="1:22" s="3" customFormat="1" ht="18.75">
      <c r="A167" s="51" t="s">
        <v>27</v>
      </c>
      <c r="B167" s="38"/>
      <c r="C167" s="36"/>
      <c r="D167" s="40"/>
      <c r="E167" s="40"/>
      <c r="F167" s="40"/>
      <c r="G167" s="40"/>
      <c r="H167" s="36"/>
      <c r="I167" s="40"/>
      <c r="J167" s="47"/>
      <c r="K167" s="47"/>
      <c r="L167" s="47"/>
      <c r="M167" s="36"/>
      <c r="N167" s="40"/>
      <c r="O167" s="45"/>
      <c r="P167" s="45"/>
      <c r="Q167" s="45"/>
      <c r="R167" s="45"/>
      <c r="S167" s="45"/>
      <c r="T167" s="118"/>
      <c r="U167" s="99"/>
      <c r="V167" s="99"/>
    </row>
    <row r="168" spans="1:22" s="3" customFormat="1" ht="37.5">
      <c r="A168" s="54" t="s">
        <v>32</v>
      </c>
      <c r="B168" s="38"/>
      <c r="C168" s="36">
        <f>C165</f>
        <v>198.4</v>
      </c>
      <c r="D168" s="40">
        <f>D165</f>
        <v>198.4</v>
      </c>
      <c r="E168" s="40"/>
      <c r="F168" s="40"/>
      <c r="G168" s="40"/>
      <c r="H168" s="41">
        <v>63</v>
      </c>
      <c r="I168" s="72">
        <v>63</v>
      </c>
      <c r="J168" s="47"/>
      <c r="K168" s="47"/>
      <c r="L168" s="47"/>
      <c r="M168" s="41">
        <v>26</v>
      </c>
      <c r="N168" s="72">
        <v>26</v>
      </c>
      <c r="O168" s="45"/>
      <c r="P168" s="45"/>
      <c r="Q168" s="45"/>
      <c r="R168" s="45"/>
      <c r="S168" s="45"/>
      <c r="T168" s="118"/>
      <c r="U168" s="99"/>
      <c r="V168" s="99"/>
    </row>
    <row r="169" spans="1:22" s="3" customFormat="1" ht="37.5">
      <c r="A169" s="51" t="s">
        <v>16</v>
      </c>
      <c r="B169" s="38"/>
      <c r="C169" s="36"/>
      <c r="D169" s="40"/>
      <c r="E169" s="40"/>
      <c r="F169" s="40"/>
      <c r="G169" s="40"/>
      <c r="H169" s="36"/>
      <c r="I169" s="40"/>
      <c r="J169" s="47"/>
      <c r="K169" s="47"/>
      <c r="L169" s="47"/>
      <c r="M169" s="36"/>
      <c r="N169" s="40"/>
      <c r="O169" s="45"/>
      <c r="P169" s="45"/>
      <c r="Q169" s="45"/>
      <c r="R169" s="45"/>
      <c r="S169" s="45"/>
      <c r="T169" s="118"/>
      <c r="U169" s="99"/>
      <c r="V169" s="99"/>
    </row>
    <row r="170" spans="1:22" s="3" customFormat="1" ht="75">
      <c r="A170" s="54" t="s">
        <v>22</v>
      </c>
      <c r="B170" s="38"/>
      <c r="C170" s="36">
        <v>1521</v>
      </c>
      <c r="D170" s="40"/>
      <c r="E170" s="40"/>
      <c r="F170" s="40"/>
      <c r="G170" s="40"/>
      <c r="H170" s="36">
        <v>405</v>
      </c>
      <c r="I170" s="40"/>
      <c r="J170" s="47"/>
      <c r="K170" s="47"/>
      <c r="L170" s="47"/>
      <c r="M170" s="36">
        <v>136</v>
      </c>
      <c r="N170" s="40"/>
      <c r="O170" s="45"/>
      <c r="P170" s="45"/>
      <c r="Q170" s="45"/>
      <c r="R170" s="45"/>
      <c r="S170" s="45"/>
      <c r="T170" s="118"/>
      <c r="U170" s="99"/>
      <c r="V170" s="112">
        <v>11</v>
      </c>
    </row>
    <row r="171" spans="1:22" s="3" customFormat="1" ht="75">
      <c r="A171" s="54" t="s">
        <v>62</v>
      </c>
      <c r="B171" s="38"/>
      <c r="C171" s="36">
        <v>7</v>
      </c>
      <c r="D171" s="40"/>
      <c r="E171" s="40"/>
      <c r="F171" s="40"/>
      <c r="G171" s="40"/>
      <c r="H171" s="36">
        <v>1</v>
      </c>
      <c r="I171" s="40"/>
      <c r="J171" s="47"/>
      <c r="K171" s="47"/>
      <c r="L171" s="47"/>
      <c r="M171" s="36">
        <v>1</v>
      </c>
      <c r="N171" s="40"/>
      <c r="O171" s="45"/>
      <c r="P171" s="45"/>
      <c r="Q171" s="45"/>
      <c r="R171" s="45"/>
      <c r="S171" s="45"/>
      <c r="T171" s="118"/>
      <c r="U171" s="99"/>
      <c r="V171" s="99"/>
    </row>
    <row r="172" spans="1:22" s="3" customFormat="1" ht="48.75" customHeight="1">
      <c r="A172" s="54" t="s">
        <v>23</v>
      </c>
      <c r="B172" s="38"/>
      <c r="C172" s="36"/>
      <c r="D172" s="40"/>
      <c r="E172" s="40"/>
      <c r="F172" s="40"/>
      <c r="G172" s="40"/>
      <c r="H172" s="36"/>
      <c r="I172" s="40"/>
      <c r="J172" s="47"/>
      <c r="K172" s="47"/>
      <c r="L172" s="47"/>
      <c r="M172" s="36"/>
      <c r="N172" s="40"/>
      <c r="O172" s="45"/>
      <c r="P172" s="45"/>
      <c r="Q172" s="45"/>
      <c r="R172" s="45"/>
      <c r="S172" s="45"/>
      <c r="T172" s="118"/>
      <c r="U172" s="99"/>
      <c r="V172" s="99"/>
    </row>
    <row r="173" spans="1:22" s="3" customFormat="1" ht="125.25" customHeight="1">
      <c r="A173" s="54" t="s">
        <v>24</v>
      </c>
      <c r="B173" s="38"/>
      <c r="C173" s="64">
        <f>C168/C170</f>
        <v>0.13044049967126892</v>
      </c>
      <c r="D173" s="40"/>
      <c r="E173" s="40"/>
      <c r="F173" s="40"/>
      <c r="G173" s="40"/>
      <c r="H173" s="64">
        <f>H168/H170</f>
        <v>0.15555555555555556</v>
      </c>
      <c r="I173" s="40"/>
      <c r="J173" s="47"/>
      <c r="K173" s="47"/>
      <c r="L173" s="47"/>
      <c r="M173" s="64">
        <f>M168/M170</f>
        <v>0.19117647058823528</v>
      </c>
      <c r="N173" s="40"/>
      <c r="O173" s="45"/>
      <c r="P173" s="45"/>
      <c r="Q173" s="45"/>
      <c r="R173" s="45"/>
      <c r="S173" s="45"/>
      <c r="T173" s="118"/>
      <c r="U173" s="99"/>
      <c r="V173" s="99"/>
    </row>
    <row r="174" spans="1:22" s="3" customFormat="1" ht="18.75">
      <c r="A174" s="51" t="s">
        <v>25</v>
      </c>
      <c r="B174" s="38"/>
      <c r="C174" s="36"/>
      <c r="D174" s="40"/>
      <c r="E174" s="40"/>
      <c r="F174" s="40"/>
      <c r="G174" s="40"/>
      <c r="H174" s="36"/>
      <c r="I174" s="40"/>
      <c r="J174" s="47"/>
      <c r="K174" s="47"/>
      <c r="L174" s="47"/>
      <c r="M174" s="36"/>
      <c r="N174" s="40"/>
      <c r="O174" s="45"/>
      <c r="P174" s="45"/>
      <c r="Q174" s="45"/>
      <c r="R174" s="45"/>
      <c r="S174" s="45"/>
      <c r="T174" s="118"/>
      <c r="U174" s="99"/>
      <c r="V174" s="99"/>
    </row>
    <row r="175" spans="1:22" s="3" customFormat="1" ht="99.75" customHeight="1">
      <c r="A175" s="54" t="s">
        <v>74</v>
      </c>
      <c r="B175" s="56"/>
      <c r="C175" s="57">
        <f>199.19-15</f>
        <v>184.19</v>
      </c>
      <c r="D175" s="60"/>
      <c r="E175" s="60"/>
      <c r="F175" s="60"/>
      <c r="G175" s="60"/>
      <c r="H175" s="67">
        <v>76</v>
      </c>
      <c r="I175" s="60"/>
      <c r="J175" s="59"/>
      <c r="K175" s="59"/>
      <c r="L175" s="59"/>
      <c r="M175" s="67">
        <v>25</v>
      </c>
      <c r="N175" s="60"/>
      <c r="O175" s="61"/>
      <c r="P175" s="61"/>
      <c r="Q175" s="61"/>
      <c r="R175" s="61"/>
      <c r="S175" s="61"/>
      <c r="T175" s="119"/>
      <c r="U175" s="99"/>
      <c r="V175" s="99"/>
    </row>
    <row r="176" spans="1:23" s="4" customFormat="1" ht="72" customHeight="1">
      <c r="A176" s="54" t="s">
        <v>57</v>
      </c>
      <c r="B176" s="51"/>
      <c r="C176" s="41">
        <f>C168/(C175*2.577)</f>
        <v>0.41798548566468846</v>
      </c>
      <c r="D176" s="40"/>
      <c r="E176" s="40"/>
      <c r="F176" s="40"/>
      <c r="G176" s="40"/>
      <c r="H176" s="41">
        <f>H168/(H175*2.752)</f>
        <v>0.30121634026927785</v>
      </c>
      <c r="I176" s="40"/>
      <c r="J176" s="47"/>
      <c r="K176" s="47"/>
      <c r="L176" s="47"/>
      <c r="M176" s="41">
        <f>M168/(M175*2.895)</f>
        <v>0.3592400690846287</v>
      </c>
      <c r="N176" s="40"/>
      <c r="O176" s="45"/>
      <c r="P176" s="45"/>
      <c r="Q176" s="45"/>
      <c r="R176" s="45"/>
      <c r="S176" s="45"/>
      <c r="T176" s="119"/>
      <c r="U176" s="99"/>
      <c r="V176" s="99"/>
      <c r="W176" s="21"/>
    </row>
    <row r="177" spans="1:22" s="3" customFormat="1" ht="18.75" customHeight="1">
      <c r="A177" s="142" t="s">
        <v>118</v>
      </c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6"/>
      <c r="T177" s="119"/>
      <c r="U177" s="99"/>
      <c r="V177" s="99"/>
    </row>
    <row r="178" spans="1:22" s="3" customFormat="1" ht="18.75">
      <c r="A178" s="168" t="s">
        <v>41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1"/>
      <c r="T178" s="119"/>
      <c r="U178" s="99"/>
      <c r="V178" s="99"/>
    </row>
    <row r="179" spans="1:22" s="3" customFormat="1" ht="115.5" customHeight="1">
      <c r="A179" s="51" t="s">
        <v>11</v>
      </c>
      <c r="B179" s="38">
        <v>1017410</v>
      </c>
      <c r="C179" s="64">
        <f>E179+F179+G179+D179</f>
        <v>4032.75</v>
      </c>
      <c r="D179" s="39">
        <f>60.25+5.5</f>
        <v>65.75</v>
      </c>
      <c r="E179" s="72">
        <f>2525+42</f>
        <v>2567</v>
      </c>
      <c r="F179" s="39"/>
      <c r="G179" s="72">
        <v>1400</v>
      </c>
      <c r="H179" s="41">
        <f>J179</f>
        <v>335</v>
      </c>
      <c r="I179" s="72"/>
      <c r="J179" s="70">
        <v>335</v>
      </c>
      <c r="K179" s="47"/>
      <c r="L179" s="47"/>
      <c r="M179" s="36"/>
      <c r="N179" s="40"/>
      <c r="O179" s="45"/>
      <c r="P179" s="45"/>
      <c r="Q179" s="45"/>
      <c r="R179" s="45"/>
      <c r="S179" s="45"/>
      <c r="T179" s="119"/>
      <c r="U179" s="99"/>
      <c r="V179" s="99"/>
    </row>
    <row r="180" spans="1:22" s="3" customFormat="1" ht="37.5" customHeight="1">
      <c r="A180" s="51" t="s">
        <v>28</v>
      </c>
      <c r="B180" s="51"/>
      <c r="C180" s="36"/>
      <c r="D180" s="40"/>
      <c r="E180" s="40"/>
      <c r="F180" s="40"/>
      <c r="G180" s="40"/>
      <c r="H180" s="36"/>
      <c r="I180" s="40"/>
      <c r="J180" s="47"/>
      <c r="K180" s="47"/>
      <c r="L180" s="47"/>
      <c r="M180" s="36"/>
      <c r="N180" s="40"/>
      <c r="O180" s="45"/>
      <c r="P180" s="45"/>
      <c r="Q180" s="45"/>
      <c r="R180" s="45"/>
      <c r="S180" s="45"/>
      <c r="T180" s="119"/>
      <c r="U180" s="99"/>
      <c r="V180" s="99"/>
    </row>
    <row r="181" spans="1:22" s="3" customFormat="1" ht="40.5" customHeight="1">
      <c r="A181" s="51" t="s">
        <v>27</v>
      </c>
      <c r="B181" s="51"/>
      <c r="C181" s="36"/>
      <c r="D181" s="40"/>
      <c r="E181" s="40"/>
      <c r="F181" s="40"/>
      <c r="G181" s="40"/>
      <c r="H181" s="36"/>
      <c r="I181" s="40"/>
      <c r="J181" s="47"/>
      <c r="K181" s="47"/>
      <c r="L181" s="47"/>
      <c r="M181" s="36"/>
      <c r="N181" s="40"/>
      <c r="O181" s="45"/>
      <c r="P181" s="45"/>
      <c r="Q181" s="45"/>
      <c r="R181" s="45"/>
      <c r="S181" s="45"/>
      <c r="T181" s="119"/>
      <c r="U181" s="99"/>
      <c r="V181" s="112"/>
    </row>
    <row r="182" spans="1:22" s="3" customFormat="1" ht="51" customHeight="1">
      <c r="A182" s="54" t="s">
        <v>32</v>
      </c>
      <c r="B182" s="51"/>
      <c r="C182" s="64">
        <f>C179</f>
        <v>4032.75</v>
      </c>
      <c r="D182" s="39"/>
      <c r="E182" s="39"/>
      <c r="F182" s="39"/>
      <c r="G182" s="39"/>
      <c r="H182" s="64">
        <v>335</v>
      </c>
      <c r="I182" s="40"/>
      <c r="J182" s="47"/>
      <c r="K182" s="47"/>
      <c r="L182" s="47"/>
      <c r="M182" s="36"/>
      <c r="N182" s="40"/>
      <c r="O182" s="45"/>
      <c r="P182" s="45"/>
      <c r="Q182" s="45"/>
      <c r="R182" s="45"/>
      <c r="S182" s="45"/>
      <c r="T182" s="119"/>
      <c r="U182" s="99"/>
      <c r="V182" s="99"/>
    </row>
    <row r="183" spans="1:22" s="3" customFormat="1" ht="41.25" customHeight="1">
      <c r="A183" s="51" t="s">
        <v>16</v>
      </c>
      <c r="B183" s="51"/>
      <c r="C183" s="36"/>
      <c r="D183" s="40"/>
      <c r="E183" s="40"/>
      <c r="F183" s="40"/>
      <c r="G183" s="40"/>
      <c r="H183" s="36"/>
      <c r="I183" s="40"/>
      <c r="J183" s="47"/>
      <c r="K183" s="47"/>
      <c r="L183" s="47"/>
      <c r="M183" s="36"/>
      <c r="N183" s="40"/>
      <c r="O183" s="45"/>
      <c r="P183" s="45"/>
      <c r="Q183" s="45"/>
      <c r="R183" s="45"/>
      <c r="S183" s="45"/>
      <c r="T183" s="119"/>
      <c r="U183" s="99"/>
      <c r="V183" s="99"/>
    </row>
    <row r="184" spans="1:22" s="3" customFormat="1" ht="57.75" customHeight="1">
      <c r="A184" s="54" t="s">
        <v>103</v>
      </c>
      <c r="B184" s="51"/>
      <c r="C184" s="36">
        <f>3379+3.7</f>
        <v>3382.7</v>
      </c>
      <c r="D184" s="40"/>
      <c r="E184" s="40"/>
      <c r="F184" s="40"/>
      <c r="G184" s="40"/>
      <c r="H184" s="36">
        <v>186</v>
      </c>
      <c r="I184" s="40"/>
      <c r="J184" s="47"/>
      <c r="K184" s="47"/>
      <c r="L184" s="47"/>
      <c r="M184" s="36"/>
      <c r="N184" s="40"/>
      <c r="O184" s="45"/>
      <c r="P184" s="45"/>
      <c r="Q184" s="45"/>
      <c r="R184" s="45"/>
      <c r="S184" s="45"/>
      <c r="T184" s="119"/>
      <c r="U184" s="99"/>
      <c r="V184" s="112">
        <v>12</v>
      </c>
    </row>
    <row r="185" spans="1:22" s="3" customFormat="1" ht="51" customHeight="1">
      <c r="A185" s="51" t="s">
        <v>23</v>
      </c>
      <c r="B185" s="51"/>
      <c r="C185" s="36"/>
      <c r="D185" s="40"/>
      <c r="E185" s="40"/>
      <c r="F185" s="40"/>
      <c r="G185" s="40"/>
      <c r="H185" s="36"/>
      <c r="I185" s="40"/>
      <c r="J185" s="47"/>
      <c r="K185" s="47"/>
      <c r="L185" s="47"/>
      <c r="M185" s="36"/>
      <c r="N185" s="40"/>
      <c r="O185" s="45"/>
      <c r="P185" s="45"/>
      <c r="Q185" s="45"/>
      <c r="R185" s="45"/>
      <c r="S185" s="45"/>
      <c r="T185" s="119"/>
      <c r="U185" s="99"/>
      <c r="V185" s="99"/>
    </row>
    <row r="186" spans="1:22" s="3" customFormat="1" ht="98.25" customHeight="1">
      <c r="A186" s="54" t="s">
        <v>107</v>
      </c>
      <c r="B186" s="51"/>
      <c r="C186" s="41">
        <v>1.2</v>
      </c>
      <c r="D186" s="40"/>
      <c r="E186" s="40"/>
      <c r="F186" s="40"/>
      <c r="G186" s="40"/>
      <c r="H186" s="41">
        <f>H179/H184</f>
        <v>1.8010752688172043</v>
      </c>
      <c r="I186" s="40"/>
      <c r="J186" s="47"/>
      <c r="K186" s="47"/>
      <c r="L186" s="47"/>
      <c r="M186" s="36"/>
      <c r="N186" s="40"/>
      <c r="O186" s="45"/>
      <c r="P186" s="45"/>
      <c r="Q186" s="45"/>
      <c r="R186" s="45"/>
      <c r="S186" s="45"/>
      <c r="T186" s="119"/>
      <c r="U186" s="99"/>
      <c r="V186" s="99"/>
    </row>
    <row r="187" spans="1:22" s="3" customFormat="1" ht="36.75" customHeight="1">
      <c r="A187" s="54" t="s">
        <v>25</v>
      </c>
      <c r="B187" s="51"/>
      <c r="C187" s="41"/>
      <c r="D187" s="40"/>
      <c r="E187" s="40"/>
      <c r="F187" s="40"/>
      <c r="G187" s="40"/>
      <c r="H187" s="36"/>
      <c r="I187" s="40"/>
      <c r="J187" s="47"/>
      <c r="K187" s="47"/>
      <c r="L187" s="47"/>
      <c r="M187" s="36"/>
      <c r="N187" s="40"/>
      <c r="O187" s="45"/>
      <c r="P187" s="45"/>
      <c r="Q187" s="45"/>
      <c r="R187" s="45"/>
      <c r="S187" s="45"/>
      <c r="T187" s="119"/>
      <c r="U187" s="99"/>
      <c r="V187" s="99"/>
    </row>
    <row r="188" spans="1:22" s="3" customFormat="1" ht="72.75" customHeight="1">
      <c r="A188" s="54" t="s">
        <v>71</v>
      </c>
      <c r="B188" s="56"/>
      <c r="C188" s="67">
        <f>311+0.6</f>
        <v>311.6</v>
      </c>
      <c r="D188" s="60"/>
      <c r="E188" s="60"/>
      <c r="F188" s="60"/>
      <c r="G188" s="60"/>
      <c r="H188" s="57">
        <v>23</v>
      </c>
      <c r="I188" s="60"/>
      <c r="J188" s="59"/>
      <c r="K188" s="59"/>
      <c r="L188" s="59"/>
      <c r="M188" s="57"/>
      <c r="N188" s="60"/>
      <c r="O188" s="61"/>
      <c r="P188" s="61"/>
      <c r="Q188" s="61"/>
      <c r="R188" s="61"/>
      <c r="S188" s="61"/>
      <c r="T188" s="119"/>
      <c r="U188" s="99"/>
      <c r="V188" s="99"/>
    </row>
    <row r="189" spans="1:23" s="4" customFormat="1" ht="54" customHeight="1">
      <c r="A189" s="54" t="s">
        <v>57</v>
      </c>
      <c r="B189" s="51"/>
      <c r="C189" s="62">
        <f>C179/(42*0.86*1414.318*0.001+169*0.86*1591.105*0.001)</f>
        <v>14.283494701196922</v>
      </c>
      <c r="D189" s="40"/>
      <c r="E189" s="40"/>
      <c r="F189" s="40"/>
      <c r="G189" s="40"/>
      <c r="H189" s="62">
        <f>H179/(23*0.86*0.001*1510.492)</f>
        <v>11.212438922029614</v>
      </c>
      <c r="I189" s="40"/>
      <c r="J189" s="47"/>
      <c r="K189" s="47"/>
      <c r="L189" s="47"/>
      <c r="M189" s="36"/>
      <c r="N189" s="40"/>
      <c r="O189" s="45"/>
      <c r="P189" s="45"/>
      <c r="Q189" s="45"/>
      <c r="R189" s="45"/>
      <c r="S189" s="45"/>
      <c r="T189" s="119"/>
      <c r="U189" s="99"/>
      <c r="V189" s="99"/>
      <c r="W189" s="21"/>
    </row>
    <row r="190" spans="1:22" s="14" customFormat="1" ht="29.25" customHeight="1" hidden="1">
      <c r="A190" s="146" t="s">
        <v>65</v>
      </c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81"/>
      <c r="T190" s="118"/>
      <c r="U190" s="108"/>
      <c r="V190" s="108"/>
    </row>
    <row r="191" spans="1:22" s="3" customFormat="1" ht="18.75" hidden="1">
      <c r="A191" s="174" t="s">
        <v>119</v>
      </c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6"/>
      <c r="T191" s="118"/>
      <c r="U191" s="99"/>
      <c r="V191" s="99"/>
    </row>
    <row r="192" spans="1:22" s="3" customFormat="1" ht="18.75" hidden="1">
      <c r="A192" s="139" t="s">
        <v>42</v>
      </c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1"/>
      <c r="T192" s="118"/>
      <c r="U192" s="99"/>
      <c r="V192" s="99"/>
    </row>
    <row r="193" spans="1:22" s="3" customFormat="1" ht="96.75" customHeight="1" hidden="1">
      <c r="A193" s="37" t="s">
        <v>11</v>
      </c>
      <c r="B193" s="38">
        <v>2417410</v>
      </c>
      <c r="C193" s="41">
        <f>C196</f>
        <v>325.4</v>
      </c>
      <c r="D193" s="72">
        <f>D196</f>
        <v>105</v>
      </c>
      <c r="E193" s="72">
        <f>E196</f>
        <v>220.4</v>
      </c>
      <c r="F193" s="40"/>
      <c r="G193" s="40"/>
      <c r="H193" s="36"/>
      <c r="I193" s="40"/>
      <c r="J193" s="40"/>
      <c r="K193" s="40"/>
      <c r="L193" s="40"/>
      <c r="M193" s="36"/>
      <c r="N193" s="40"/>
      <c r="O193" s="40"/>
      <c r="P193" s="45"/>
      <c r="Q193" s="45"/>
      <c r="R193" s="45"/>
      <c r="S193" s="45"/>
      <c r="T193" s="118"/>
      <c r="U193" s="99"/>
      <c r="V193" s="99"/>
    </row>
    <row r="194" spans="1:22" s="3" customFormat="1" ht="42" customHeight="1" hidden="1">
      <c r="A194" s="51" t="s">
        <v>28</v>
      </c>
      <c r="B194" s="51"/>
      <c r="C194" s="36"/>
      <c r="D194" s="40"/>
      <c r="E194" s="40"/>
      <c r="F194" s="40"/>
      <c r="G194" s="40"/>
      <c r="H194" s="36"/>
      <c r="I194" s="40"/>
      <c r="J194" s="40"/>
      <c r="K194" s="40"/>
      <c r="L194" s="40"/>
      <c r="M194" s="36"/>
      <c r="N194" s="40"/>
      <c r="O194" s="40"/>
      <c r="P194" s="45"/>
      <c r="Q194" s="45"/>
      <c r="R194" s="45"/>
      <c r="S194" s="45"/>
      <c r="T194" s="118"/>
      <c r="U194" s="99"/>
      <c r="V194" s="99"/>
    </row>
    <row r="195" spans="1:22" s="3" customFormat="1" ht="33.75" customHeight="1" hidden="1">
      <c r="A195" s="51" t="s">
        <v>27</v>
      </c>
      <c r="B195" s="38"/>
      <c r="C195" s="36"/>
      <c r="D195" s="40"/>
      <c r="E195" s="40"/>
      <c r="F195" s="40"/>
      <c r="G195" s="40"/>
      <c r="H195" s="36"/>
      <c r="I195" s="40"/>
      <c r="J195" s="40"/>
      <c r="K195" s="40"/>
      <c r="L195" s="40"/>
      <c r="M195" s="36"/>
      <c r="N195" s="40"/>
      <c r="O195" s="40"/>
      <c r="P195" s="45"/>
      <c r="Q195" s="45"/>
      <c r="R195" s="45"/>
      <c r="S195" s="45"/>
      <c r="T195" s="118"/>
      <c r="U195" s="99"/>
      <c r="V195" s="99"/>
    </row>
    <row r="196" spans="1:22" s="3" customFormat="1" ht="49.5" customHeight="1" hidden="1">
      <c r="A196" s="54" t="s">
        <v>32</v>
      </c>
      <c r="B196" s="38"/>
      <c r="C196" s="41">
        <f>D196+E196</f>
        <v>325.4</v>
      </c>
      <c r="D196" s="72">
        <v>105</v>
      </c>
      <c r="E196" s="72">
        <f>188+32.4</f>
        <v>220.4</v>
      </c>
      <c r="F196" s="40"/>
      <c r="G196" s="40"/>
      <c r="H196" s="36"/>
      <c r="I196" s="40"/>
      <c r="J196" s="40"/>
      <c r="K196" s="40"/>
      <c r="L196" s="40"/>
      <c r="M196" s="36"/>
      <c r="N196" s="40"/>
      <c r="O196" s="40"/>
      <c r="P196" s="45"/>
      <c r="Q196" s="45"/>
      <c r="R196" s="45"/>
      <c r="S196" s="45"/>
      <c r="T196" s="118"/>
      <c r="U196" s="99"/>
      <c r="V196" s="99"/>
    </row>
    <row r="197" spans="1:22" s="3" customFormat="1" ht="45.75" customHeight="1" hidden="1">
      <c r="A197" s="51" t="s">
        <v>16</v>
      </c>
      <c r="B197" s="51"/>
      <c r="C197" s="36"/>
      <c r="D197" s="40"/>
      <c r="E197" s="40"/>
      <c r="F197" s="40"/>
      <c r="G197" s="40"/>
      <c r="H197" s="36"/>
      <c r="I197" s="40"/>
      <c r="J197" s="40"/>
      <c r="K197" s="40"/>
      <c r="L197" s="40"/>
      <c r="M197" s="36"/>
      <c r="N197" s="40"/>
      <c r="O197" s="40"/>
      <c r="P197" s="45"/>
      <c r="Q197" s="45"/>
      <c r="R197" s="45"/>
      <c r="S197" s="45"/>
      <c r="T197" s="118"/>
      <c r="U197" s="99"/>
      <c r="V197" s="99"/>
    </row>
    <row r="198" spans="1:22" s="3" customFormat="1" ht="60" customHeight="1" hidden="1">
      <c r="A198" s="54" t="s">
        <v>114</v>
      </c>
      <c r="B198" s="51"/>
      <c r="C198" s="36">
        <f>156+65</f>
        <v>221</v>
      </c>
      <c r="D198" s="40"/>
      <c r="E198" s="40"/>
      <c r="F198" s="40"/>
      <c r="G198" s="40"/>
      <c r="H198" s="36"/>
      <c r="I198" s="40"/>
      <c r="J198" s="40"/>
      <c r="K198" s="40"/>
      <c r="L198" s="40"/>
      <c r="M198" s="36"/>
      <c r="N198" s="40"/>
      <c r="O198" s="40"/>
      <c r="P198" s="45"/>
      <c r="Q198" s="45"/>
      <c r="R198" s="45"/>
      <c r="S198" s="45"/>
      <c r="T198" s="118"/>
      <c r="U198" s="99"/>
      <c r="V198" s="99"/>
    </row>
    <row r="199" spans="1:22" s="3" customFormat="1" ht="51" customHeight="1" hidden="1">
      <c r="A199" s="51" t="s">
        <v>23</v>
      </c>
      <c r="B199" s="51"/>
      <c r="C199" s="36"/>
      <c r="D199" s="40"/>
      <c r="E199" s="40"/>
      <c r="F199" s="40"/>
      <c r="G199" s="40"/>
      <c r="H199" s="36"/>
      <c r="I199" s="40"/>
      <c r="J199" s="40"/>
      <c r="K199" s="40"/>
      <c r="L199" s="40"/>
      <c r="M199" s="36"/>
      <c r="N199" s="40"/>
      <c r="O199" s="40"/>
      <c r="P199" s="45"/>
      <c r="Q199" s="45"/>
      <c r="R199" s="45"/>
      <c r="S199" s="45"/>
      <c r="T199" s="118"/>
      <c r="U199" s="99"/>
      <c r="V199" s="99"/>
    </row>
    <row r="200" spans="1:22" s="3" customFormat="1" ht="102.75" customHeight="1" hidden="1">
      <c r="A200" s="54" t="s">
        <v>113</v>
      </c>
      <c r="B200" s="51"/>
      <c r="C200" s="41">
        <f>C193/C198</f>
        <v>1.4723981900452487</v>
      </c>
      <c r="D200" s="40"/>
      <c r="E200" s="40"/>
      <c r="F200" s="40"/>
      <c r="G200" s="40"/>
      <c r="H200" s="36"/>
      <c r="I200" s="40"/>
      <c r="J200" s="40"/>
      <c r="K200" s="40"/>
      <c r="L200" s="40"/>
      <c r="M200" s="36"/>
      <c r="N200" s="40"/>
      <c r="O200" s="40"/>
      <c r="P200" s="45"/>
      <c r="Q200" s="45"/>
      <c r="R200" s="45"/>
      <c r="S200" s="45"/>
      <c r="T200" s="118"/>
      <c r="U200" s="99"/>
      <c r="V200" s="99"/>
    </row>
    <row r="201" spans="1:22" s="3" customFormat="1" ht="30.75" customHeight="1" hidden="1">
      <c r="A201" s="51" t="s">
        <v>25</v>
      </c>
      <c r="B201" s="51"/>
      <c r="C201" s="36"/>
      <c r="D201" s="40"/>
      <c r="E201" s="40"/>
      <c r="F201" s="40"/>
      <c r="G201" s="40"/>
      <c r="H201" s="36"/>
      <c r="I201" s="40"/>
      <c r="J201" s="40"/>
      <c r="K201" s="40"/>
      <c r="L201" s="40"/>
      <c r="M201" s="36"/>
      <c r="N201" s="40"/>
      <c r="O201" s="40"/>
      <c r="P201" s="45"/>
      <c r="Q201" s="45"/>
      <c r="R201" s="45"/>
      <c r="S201" s="45"/>
      <c r="T201" s="118"/>
      <c r="U201" s="99"/>
      <c r="V201" s="99"/>
    </row>
    <row r="202" spans="1:22" s="3" customFormat="1" ht="62.25" customHeight="1" hidden="1">
      <c r="A202" s="54" t="s">
        <v>71</v>
      </c>
      <c r="B202" s="56"/>
      <c r="C202" s="57">
        <v>23.5</v>
      </c>
      <c r="D202" s="60"/>
      <c r="E202" s="60"/>
      <c r="F202" s="60"/>
      <c r="G202" s="60"/>
      <c r="H202" s="57"/>
      <c r="I202" s="60"/>
      <c r="J202" s="60"/>
      <c r="K202" s="60"/>
      <c r="L202" s="60"/>
      <c r="M202" s="57"/>
      <c r="N202" s="60"/>
      <c r="O202" s="60"/>
      <c r="P202" s="61"/>
      <c r="Q202" s="61"/>
      <c r="R202" s="61"/>
      <c r="S202" s="61"/>
      <c r="T202" s="118"/>
      <c r="U202" s="99"/>
      <c r="V202" s="99"/>
    </row>
    <row r="203" spans="1:23" s="4" customFormat="1" ht="36" customHeight="1" hidden="1">
      <c r="A203" s="54" t="s">
        <v>57</v>
      </c>
      <c r="B203" s="51"/>
      <c r="C203" s="62">
        <f>C193/(C202*0.86*0.001*1414.318)</f>
        <v>11.384243238542663</v>
      </c>
      <c r="D203" s="40"/>
      <c r="E203" s="40"/>
      <c r="F203" s="40"/>
      <c r="G203" s="40"/>
      <c r="H203" s="36"/>
      <c r="I203" s="40"/>
      <c r="J203" s="40"/>
      <c r="K203" s="40"/>
      <c r="L203" s="40"/>
      <c r="M203" s="36"/>
      <c r="N203" s="40"/>
      <c r="O203" s="40"/>
      <c r="P203" s="45"/>
      <c r="Q203" s="45"/>
      <c r="R203" s="45"/>
      <c r="S203" s="45"/>
      <c r="T203" s="118"/>
      <c r="U203" s="99"/>
      <c r="V203" s="99"/>
      <c r="W203" s="21"/>
    </row>
    <row r="204" spans="1:22" s="3" customFormat="1" ht="18.75" hidden="1">
      <c r="A204" s="142" t="s">
        <v>130</v>
      </c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6"/>
      <c r="T204" s="118"/>
      <c r="U204" s="99"/>
      <c r="V204" s="99"/>
    </row>
    <row r="205" spans="1:22" s="3" customFormat="1" ht="18.75" hidden="1">
      <c r="A205" s="139" t="s">
        <v>42</v>
      </c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1"/>
      <c r="T205" s="118"/>
      <c r="U205" s="99"/>
      <c r="V205" s="99"/>
    </row>
    <row r="206" spans="1:22" s="3" customFormat="1" ht="98.25" customHeight="1" hidden="1">
      <c r="A206" s="78" t="s">
        <v>36</v>
      </c>
      <c r="B206" s="79">
        <v>2417410</v>
      </c>
      <c r="C206" s="80">
        <f>762.5+544.1+250</f>
        <v>1556.6</v>
      </c>
      <c r="D206" s="80"/>
      <c r="E206" s="80">
        <f>C206</f>
        <v>1556.6</v>
      </c>
      <c r="F206" s="80"/>
      <c r="G206" s="80"/>
      <c r="H206" s="80">
        <f>1166-439</f>
        <v>727</v>
      </c>
      <c r="I206" s="80"/>
      <c r="J206" s="80">
        <f>H206</f>
        <v>727</v>
      </c>
      <c r="K206" s="79"/>
      <c r="L206" s="79"/>
      <c r="M206" s="79"/>
      <c r="N206" s="79"/>
      <c r="O206" s="79"/>
      <c r="P206" s="79"/>
      <c r="Q206" s="79"/>
      <c r="R206" s="79"/>
      <c r="S206" s="79"/>
      <c r="T206" s="118"/>
      <c r="U206" s="99"/>
      <c r="V206" s="99"/>
    </row>
    <row r="207" spans="1:22" s="3" customFormat="1" ht="37.5" hidden="1">
      <c r="A207" s="78" t="s">
        <v>28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118"/>
      <c r="U207" s="99"/>
      <c r="V207" s="99"/>
    </row>
    <row r="208" spans="1:22" s="3" customFormat="1" ht="18.75" hidden="1">
      <c r="A208" s="78" t="s">
        <v>27</v>
      </c>
      <c r="B208" s="79"/>
      <c r="C208" s="79">
        <f>C206</f>
        <v>1556.6</v>
      </c>
      <c r="D208" s="79"/>
      <c r="E208" s="79">
        <f>E206</f>
        <v>1556.6</v>
      </c>
      <c r="F208" s="79"/>
      <c r="G208" s="79"/>
      <c r="H208" s="79">
        <f>H206</f>
        <v>727</v>
      </c>
      <c r="I208" s="79"/>
      <c r="J208" s="79">
        <f>J206</f>
        <v>727</v>
      </c>
      <c r="K208" s="79"/>
      <c r="L208" s="79"/>
      <c r="M208" s="79"/>
      <c r="N208" s="79"/>
      <c r="O208" s="79"/>
      <c r="P208" s="79"/>
      <c r="Q208" s="79"/>
      <c r="R208" s="79"/>
      <c r="S208" s="79"/>
      <c r="T208" s="118"/>
      <c r="U208" s="99"/>
      <c r="V208" s="99"/>
    </row>
    <row r="209" spans="1:22" s="3" customFormat="1" ht="37.5" hidden="1">
      <c r="A209" s="79" t="s">
        <v>32</v>
      </c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118"/>
      <c r="U209" s="99"/>
      <c r="V209" s="99"/>
    </row>
    <row r="210" spans="1:22" s="3" customFormat="1" ht="37.5" hidden="1">
      <c r="A210" s="78" t="s">
        <v>16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118"/>
      <c r="U210" s="99"/>
      <c r="V210" s="99"/>
    </row>
    <row r="211" spans="1:22" s="3" customFormat="1" ht="41.25" hidden="1">
      <c r="A211" s="79" t="s">
        <v>106</v>
      </c>
      <c r="B211" s="79"/>
      <c r="C211" s="79">
        <f>1252.1+201.5+175</f>
        <v>1628.6</v>
      </c>
      <c r="D211" s="79"/>
      <c r="E211" s="79"/>
      <c r="F211" s="79"/>
      <c r="G211" s="79"/>
      <c r="H211" s="79">
        <v>663</v>
      </c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118"/>
      <c r="U211" s="99"/>
      <c r="V211" s="99"/>
    </row>
    <row r="212" spans="1:22" s="3" customFormat="1" ht="37.5" hidden="1">
      <c r="A212" s="78" t="s">
        <v>23</v>
      </c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118"/>
      <c r="U212" s="99"/>
      <c r="V212" s="99"/>
    </row>
    <row r="213" spans="1:22" s="3" customFormat="1" ht="82.5" hidden="1">
      <c r="A213" s="79" t="s">
        <v>105</v>
      </c>
      <c r="B213" s="79"/>
      <c r="C213" s="80">
        <f>C206/C211</f>
        <v>0.955790249293872</v>
      </c>
      <c r="D213" s="79"/>
      <c r="E213" s="79"/>
      <c r="F213" s="79"/>
      <c r="G213" s="79"/>
      <c r="H213" s="80">
        <f>H206/H211</f>
        <v>1.096530920060332</v>
      </c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118"/>
      <c r="U213" s="99"/>
      <c r="V213" s="99"/>
    </row>
    <row r="214" spans="1:22" s="3" customFormat="1" ht="18.75" hidden="1">
      <c r="A214" s="78" t="s">
        <v>25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118"/>
      <c r="U214" s="99"/>
      <c r="V214" s="99"/>
    </row>
    <row r="215" spans="1:22" s="3" customFormat="1" ht="75" hidden="1">
      <c r="A215" s="79" t="s">
        <v>71</v>
      </c>
      <c r="B215" s="81"/>
      <c r="C215" s="106">
        <v>88.3</v>
      </c>
      <c r="D215" s="81"/>
      <c r="E215" s="81"/>
      <c r="F215" s="81"/>
      <c r="G215" s="81"/>
      <c r="H215" s="81">
        <v>40</v>
      </c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79"/>
      <c r="T215" s="118"/>
      <c r="U215" s="99"/>
      <c r="V215" s="99"/>
    </row>
    <row r="216" spans="1:22" s="3" customFormat="1" ht="37.5" hidden="1">
      <c r="A216" s="79" t="s">
        <v>57</v>
      </c>
      <c r="B216" s="79"/>
      <c r="C216" s="96">
        <f>C206/(C215*0.86*1591.105*0.001)</f>
        <v>12.883060040508395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118"/>
      <c r="U216" s="99"/>
      <c r="V216" s="99"/>
    </row>
    <row r="217" spans="1:22" s="3" customFormat="1" ht="18.75" hidden="1">
      <c r="A217" s="168" t="s">
        <v>120</v>
      </c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3"/>
      <c r="T217" s="118"/>
      <c r="U217" s="99"/>
      <c r="V217" s="99"/>
    </row>
    <row r="218" spans="1:22" s="3" customFormat="1" ht="18.75" hidden="1">
      <c r="A218" s="168" t="s">
        <v>42</v>
      </c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3"/>
      <c r="T218" s="118"/>
      <c r="U218" s="99"/>
      <c r="V218" s="99"/>
    </row>
    <row r="219" spans="1:22" s="3" customFormat="1" ht="92.25" customHeight="1" hidden="1">
      <c r="A219" s="51" t="s">
        <v>11</v>
      </c>
      <c r="B219" s="38">
        <v>2417410</v>
      </c>
      <c r="C219" s="36">
        <v>25</v>
      </c>
      <c r="D219" s="40"/>
      <c r="E219" s="40">
        <f>C219</f>
        <v>25</v>
      </c>
      <c r="F219" s="40"/>
      <c r="G219" s="40"/>
      <c r="H219" s="41">
        <f>J219</f>
        <v>180</v>
      </c>
      <c r="I219" s="72"/>
      <c r="J219" s="70">
        <v>180</v>
      </c>
      <c r="K219" s="77"/>
      <c r="L219" s="77"/>
      <c r="M219" s="41">
        <f>O219</f>
        <v>144</v>
      </c>
      <c r="N219" s="39"/>
      <c r="O219" s="82">
        <v>144</v>
      </c>
      <c r="P219" s="45"/>
      <c r="Q219" s="45"/>
      <c r="R219" s="45"/>
      <c r="S219" s="45"/>
      <c r="T219" s="118"/>
      <c r="U219" s="99"/>
      <c r="V219" s="99"/>
    </row>
    <row r="220" spans="1:22" s="3" customFormat="1" ht="37.5" hidden="1">
      <c r="A220" s="54" t="s">
        <v>28</v>
      </c>
      <c r="B220" s="51"/>
      <c r="C220" s="36"/>
      <c r="D220" s="40"/>
      <c r="E220" s="40"/>
      <c r="F220" s="40"/>
      <c r="G220" s="40"/>
      <c r="H220" s="36"/>
      <c r="I220" s="40"/>
      <c r="J220" s="47"/>
      <c r="K220" s="47"/>
      <c r="L220" s="47"/>
      <c r="M220" s="36"/>
      <c r="N220" s="40"/>
      <c r="O220" s="45"/>
      <c r="P220" s="45"/>
      <c r="Q220" s="45"/>
      <c r="R220" s="45"/>
      <c r="S220" s="45"/>
      <c r="T220" s="118"/>
      <c r="U220" s="99"/>
      <c r="V220" s="99"/>
    </row>
    <row r="221" spans="1:22" s="3" customFormat="1" ht="18.75" hidden="1">
      <c r="A221" s="51" t="s">
        <v>21</v>
      </c>
      <c r="B221" s="51"/>
      <c r="C221" s="36"/>
      <c r="D221" s="40"/>
      <c r="E221" s="40"/>
      <c r="F221" s="40"/>
      <c r="G221" s="40"/>
      <c r="H221" s="53"/>
      <c r="I221" s="53"/>
      <c r="J221" s="53"/>
      <c r="K221" s="53"/>
      <c r="L221" s="53"/>
      <c r="M221" s="53"/>
      <c r="N221" s="40"/>
      <c r="O221" s="45"/>
      <c r="P221" s="45"/>
      <c r="Q221" s="45"/>
      <c r="R221" s="45"/>
      <c r="S221" s="45"/>
      <c r="T221" s="118"/>
      <c r="U221" s="99"/>
      <c r="V221" s="99"/>
    </row>
    <row r="222" spans="1:22" s="3" customFormat="1" ht="37.5" hidden="1">
      <c r="A222" s="54" t="s">
        <v>32</v>
      </c>
      <c r="B222" s="51"/>
      <c r="C222" s="36">
        <f>C219</f>
        <v>25</v>
      </c>
      <c r="D222" s="40"/>
      <c r="E222" s="40">
        <f>C219</f>
        <v>25</v>
      </c>
      <c r="F222" s="40"/>
      <c r="G222" s="40"/>
      <c r="H222" s="36">
        <f>H219</f>
        <v>180</v>
      </c>
      <c r="I222" s="40"/>
      <c r="J222" s="47"/>
      <c r="K222" s="47"/>
      <c r="L222" s="47"/>
      <c r="M222" s="36">
        <f>M219</f>
        <v>144</v>
      </c>
      <c r="N222" s="40"/>
      <c r="O222" s="45"/>
      <c r="P222" s="45"/>
      <c r="Q222" s="45"/>
      <c r="R222" s="45"/>
      <c r="S222" s="45"/>
      <c r="T222" s="118"/>
      <c r="U222" s="99"/>
      <c r="V222" s="99"/>
    </row>
    <row r="223" spans="1:22" s="3" customFormat="1" ht="37.5" hidden="1">
      <c r="A223" s="51" t="s">
        <v>16</v>
      </c>
      <c r="B223" s="51"/>
      <c r="C223" s="36"/>
      <c r="D223" s="40"/>
      <c r="E223" s="40"/>
      <c r="F223" s="40"/>
      <c r="G223" s="40"/>
      <c r="H223" s="36"/>
      <c r="I223" s="40"/>
      <c r="J223" s="47"/>
      <c r="K223" s="47"/>
      <c r="L223" s="47"/>
      <c r="M223" s="36"/>
      <c r="N223" s="40"/>
      <c r="O223" s="45"/>
      <c r="P223" s="45"/>
      <c r="Q223" s="45"/>
      <c r="R223" s="45"/>
      <c r="S223" s="45"/>
      <c r="T223" s="118"/>
      <c r="U223" s="99"/>
      <c r="V223" s="99"/>
    </row>
    <row r="224" spans="1:22" s="3" customFormat="1" ht="109.5" customHeight="1" hidden="1">
      <c r="A224" s="54" t="s">
        <v>35</v>
      </c>
      <c r="B224" s="51"/>
      <c r="C224" s="36">
        <v>1</v>
      </c>
      <c r="D224" s="40"/>
      <c r="E224" s="40">
        <v>1</v>
      </c>
      <c r="F224" s="40"/>
      <c r="G224" s="40"/>
      <c r="H224" s="36">
        <v>3</v>
      </c>
      <c r="I224" s="40"/>
      <c r="J224" s="47"/>
      <c r="K224" s="47"/>
      <c r="L224" s="47"/>
      <c r="M224" s="36">
        <v>2</v>
      </c>
      <c r="N224" s="40"/>
      <c r="O224" s="45"/>
      <c r="P224" s="45"/>
      <c r="Q224" s="45"/>
      <c r="R224" s="45"/>
      <c r="S224" s="45"/>
      <c r="T224" s="118"/>
      <c r="U224" s="99"/>
      <c r="V224" s="99"/>
    </row>
    <row r="225" spans="1:22" s="3" customFormat="1" ht="37.5" hidden="1">
      <c r="A225" s="51" t="s">
        <v>23</v>
      </c>
      <c r="B225" s="51"/>
      <c r="C225" s="36"/>
      <c r="D225" s="40"/>
      <c r="E225" s="40"/>
      <c r="F225" s="40"/>
      <c r="G225" s="40"/>
      <c r="H225" s="36"/>
      <c r="I225" s="40"/>
      <c r="J225" s="47"/>
      <c r="K225" s="47"/>
      <c r="L225" s="47"/>
      <c r="M225" s="36"/>
      <c r="N225" s="40"/>
      <c r="O225" s="45"/>
      <c r="P225" s="45"/>
      <c r="Q225" s="45"/>
      <c r="R225" s="45"/>
      <c r="S225" s="45"/>
      <c r="T225" s="118"/>
      <c r="U225" s="99"/>
      <c r="V225" s="99"/>
    </row>
    <row r="226" spans="1:22" s="3" customFormat="1" ht="93.75" hidden="1">
      <c r="A226" s="54" t="s">
        <v>131</v>
      </c>
      <c r="B226" s="51"/>
      <c r="C226" s="36"/>
      <c r="D226" s="40"/>
      <c r="E226" s="40"/>
      <c r="F226" s="40"/>
      <c r="G226" s="40"/>
      <c r="H226" s="36">
        <f>H219/H224</f>
        <v>60</v>
      </c>
      <c r="I226" s="40"/>
      <c r="J226" s="47"/>
      <c r="K226" s="47"/>
      <c r="L226" s="47"/>
      <c r="M226" s="36">
        <f>M219/M224</f>
        <v>72</v>
      </c>
      <c r="N226" s="40"/>
      <c r="O226" s="45"/>
      <c r="P226" s="45"/>
      <c r="Q226" s="45"/>
      <c r="R226" s="45"/>
      <c r="S226" s="45"/>
      <c r="T226" s="118"/>
      <c r="U226" s="99"/>
      <c r="V226" s="99"/>
    </row>
    <row r="227" spans="1:22" s="3" customFormat="1" ht="75" hidden="1">
      <c r="A227" s="54" t="s">
        <v>132</v>
      </c>
      <c r="B227" s="51"/>
      <c r="C227" s="36">
        <v>25</v>
      </c>
      <c r="D227" s="40"/>
      <c r="E227" s="40">
        <v>25</v>
      </c>
      <c r="F227" s="40"/>
      <c r="G227" s="40"/>
      <c r="H227" s="36"/>
      <c r="I227" s="40"/>
      <c r="J227" s="47"/>
      <c r="K227" s="47"/>
      <c r="L227" s="47"/>
      <c r="M227" s="36"/>
      <c r="N227" s="40"/>
      <c r="O227" s="45"/>
      <c r="P227" s="45"/>
      <c r="Q227" s="45"/>
      <c r="R227" s="45"/>
      <c r="S227" s="45"/>
      <c r="T227" s="118"/>
      <c r="U227" s="99"/>
      <c r="V227" s="99"/>
    </row>
    <row r="228" spans="1:22" s="3" customFormat="1" ht="18.75" hidden="1">
      <c r="A228" s="51" t="s">
        <v>25</v>
      </c>
      <c r="B228" s="51"/>
      <c r="C228" s="36"/>
      <c r="D228" s="40"/>
      <c r="E228" s="40"/>
      <c r="F228" s="40"/>
      <c r="G228" s="40"/>
      <c r="H228" s="36"/>
      <c r="I228" s="40"/>
      <c r="J228" s="47"/>
      <c r="K228" s="47"/>
      <c r="L228" s="47"/>
      <c r="M228" s="36"/>
      <c r="N228" s="40"/>
      <c r="O228" s="45"/>
      <c r="P228" s="45"/>
      <c r="Q228" s="45"/>
      <c r="R228" s="45"/>
      <c r="S228" s="45"/>
      <c r="T228" s="118"/>
      <c r="U228" s="99"/>
      <c r="V228" s="99"/>
    </row>
    <row r="229" spans="1:22" s="3" customFormat="1" ht="75" hidden="1">
      <c r="A229" s="54" t="s">
        <v>71</v>
      </c>
      <c r="B229" s="51"/>
      <c r="C229" s="36"/>
      <c r="D229" s="40"/>
      <c r="E229" s="40"/>
      <c r="F229" s="40"/>
      <c r="G229" s="40"/>
      <c r="H229" s="36">
        <v>36.3</v>
      </c>
      <c r="I229" s="40"/>
      <c r="J229" s="47"/>
      <c r="K229" s="47"/>
      <c r="L229" s="47"/>
      <c r="M229" s="36">
        <v>22</v>
      </c>
      <c r="N229" s="40"/>
      <c r="O229" s="45"/>
      <c r="P229" s="45"/>
      <c r="Q229" s="45"/>
      <c r="R229" s="45"/>
      <c r="S229" s="45"/>
      <c r="T229" s="118"/>
      <c r="U229" s="99"/>
      <c r="V229" s="99"/>
    </row>
    <row r="230" spans="1:23" s="4" customFormat="1" ht="37.5" hidden="1">
      <c r="A230" s="54" t="s">
        <v>57</v>
      </c>
      <c r="B230" s="51"/>
      <c r="C230" s="36" t="s">
        <v>133</v>
      </c>
      <c r="D230" s="40"/>
      <c r="E230" s="40"/>
      <c r="F230" s="40"/>
      <c r="G230" s="40"/>
      <c r="H230" s="41">
        <f>H219/(H229*0.86*0.001*1604.896)</f>
        <v>3.5926965273692835</v>
      </c>
      <c r="I230" s="40"/>
      <c r="J230" s="47"/>
      <c r="K230" s="47"/>
      <c r="L230" s="47"/>
      <c r="M230" s="41">
        <f>M219/(M229*0.86*0.001*1688.351)</f>
        <v>4.507945123677058</v>
      </c>
      <c r="N230" s="40"/>
      <c r="O230" s="45"/>
      <c r="P230" s="45"/>
      <c r="Q230" s="45"/>
      <c r="R230" s="45"/>
      <c r="S230" s="45"/>
      <c r="T230" s="118"/>
      <c r="U230" s="99"/>
      <c r="V230" s="99"/>
      <c r="W230" s="21"/>
    </row>
    <row r="231" spans="1:20" s="20" customFormat="1" ht="23.25" customHeight="1" hidden="1">
      <c r="A231" s="169" t="s">
        <v>66</v>
      </c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1"/>
      <c r="T231" s="118"/>
    </row>
    <row r="232" spans="1:22" s="3" customFormat="1" ht="18.75" hidden="1">
      <c r="A232" s="177" t="s">
        <v>121</v>
      </c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6"/>
      <c r="T232" s="118"/>
      <c r="U232" s="99"/>
      <c r="V232" s="99"/>
    </row>
    <row r="233" spans="1:22" s="3" customFormat="1" ht="18.75" hidden="1">
      <c r="A233" s="139" t="s">
        <v>43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1"/>
      <c r="T233" s="118"/>
      <c r="U233" s="99"/>
      <c r="V233" s="99"/>
    </row>
    <row r="234" spans="1:22" s="3" customFormat="1" ht="93" customHeight="1" hidden="1">
      <c r="A234" s="51" t="s">
        <v>44</v>
      </c>
      <c r="B234" s="38">
        <v>1517410</v>
      </c>
      <c r="C234" s="41">
        <f>E234</f>
        <v>390</v>
      </c>
      <c r="D234" s="72"/>
      <c r="E234" s="72">
        <v>390</v>
      </c>
      <c r="F234" s="40"/>
      <c r="G234" s="40"/>
      <c r="H234" s="36"/>
      <c r="I234" s="40"/>
      <c r="J234" s="47"/>
      <c r="K234" s="47"/>
      <c r="L234" s="47"/>
      <c r="M234" s="36"/>
      <c r="N234" s="40"/>
      <c r="O234" s="45"/>
      <c r="P234" s="45"/>
      <c r="Q234" s="45"/>
      <c r="R234" s="45"/>
      <c r="S234" s="45"/>
      <c r="T234" s="118"/>
      <c r="U234" s="99"/>
      <c r="V234" s="99"/>
    </row>
    <row r="235" spans="1:22" s="3" customFormat="1" ht="37.5" hidden="1">
      <c r="A235" s="54" t="s">
        <v>28</v>
      </c>
      <c r="B235" s="51"/>
      <c r="C235" s="36"/>
      <c r="D235" s="40"/>
      <c r="E235" s="40"/>
      <c r="F235" s="40"/>
      <c r="G235" s="40"/>
      <c r="H235" s="36"/>
      <c r="I235" s="40"/>
      <c r="J235" s="47"/>
      <c r="K235" s="47"/>
      <c r="L235" s="47"/>
      <c r="M235" s="36"/>
      <c r="N235" s="40"/>
      <c r="O235" s="45"/>
      <c r="P235" s="45"/>
      <c r="Q235" s="45"/>
      <c r="R235" s="45"/>
      <c r="S235" s="45"/>
      <c r="T235" s="118"/>
      <c r="U235" s="99"/>
      <c r="V235" s="99"/>
    </row>
    <row r="236" spans="1:22" s="3" customFormat="1" ht="18.75" hidden="1">
      <c r="A236" s="51" t="s">
        <v>27</v>
      </c>
      <c r="B236" s="51"/>
      <c r="C236" s="36"/>
      <c r="D236" s="40"/>
      <c r="E236" s="40"/>
      <c r="F236" s="40"/>
      <c r="G236" s="40"/>
      <c r="H236" s="36"/>
      <c r="I236" s="40"/>
      <c r="J236" s="47"/>
      <c r="K236" s="47"/>
      <c r="L236" s="47"/>
      <c r="M236" s="36"/>
      <c r="N236" s="40"/>
      <c r="O236" s="45"/>
      <c r="P236" s="45"/>
      <c r="Q236" s="45"/>
      <c r="R236" s="45"/>
      <c r="S236" s="45"/>
      <c r="T236" s="118"/>
      <c r="U236" s="99"/>
      <c r="V236" s="99"/>
    </row>
    <row r="237" spans="1:22" s="3" customFormat="1" ht="37.5" hidden="1">
      <c r="A237" s="54" t="s">
        <v>32</v>
      </c>
      <c r="B237" s="51"/>
      <c r="C237" s="41">
        <f>C234</f>
        <v>390</v>
      </c>
      <c r="D237" s="72"/>
      <c r="E237" s="72">
        <f>E234</f>
        <v>390</v>
      </c>
      <c r="F237" s="40"/>
      <c r="G237" s="40"/>
      <c r="H237" s="36"/>
      <c r="I237" s="40"/>
      <c r="J237" s="47"/>
      <c r="K237" s="47"/>
      <c r="L237" s="47"/>
      <c r="M237" s="36"/>
      <c r="N237" s="40"/>
      <c r="O237" s="45"/>
      <c r="P237" s="45"/>
      <c r="Q237" s="45"/>
      <c r="R237" s="45"/>
      <c r="S237" s="45"/>
      <c r="T237" s="118"/>
      <c r="U237" s="99"/>
      <c r="V237" s="99"/>
    </row>
    <row r="238" spans="1:22" s="3" customFormat="1" ht="37.5" hidden="1">
      <c r="A238" s="51" t="s">
        <v>16</v>
      </c>
      <c r="B238" s="51"/>
      <c r="C238" s="36"/>
      <c r="D238" s="40"/>
      <c r="E238" s="40"/>
      <c r="F238" s="40"/>
      <c r="G238" s="40"/>
      <c r="H238" s="36"/>
      <c r="I238" s="40"/>
      <c r="J238" s="47"/>
      <c r="K238" s="47"/>
      <c r="L238" s="47"/>
      <c r="M238" s="36"/>
      <c r="N238" s="40"/>
      <c r="O238" s="45"/>
      <c r="P238" s="45"/>
      <c r="Q238" s="45"/>
      <c r="R238" s="45"/>
      <c r="S238" s="45"/>
      <c r="T238" s="118"/>
      <c r="U238" s="99"/>
      <c r="V238" s="99"/>
    </row>
    <row r="239" spans="1:22" s="3" customFormat="1" ht="41.25" hidden="1">
      <c r="A239" s="54" t="s">
        <v>106</v>
      </c>
      <c r="B239" s="51"/>
      <c r="C239" s="36">
        <v>336</v>
      </c>
      <c r="D239" s="40"/>
      <c r="E239" s="40">
        <v>336</v>
      </c>
      <c r="F239" s="40"/>
      <c r="G239" s="40"/>
      <c r="H239" s="36"/>
      <c r="I239" s="40"/>
      <c r="J239" s="47"/>
      <c r="K239" s="47"/>
      <c r="L239" s="47"/>
      <c r="M239" s="36"/>
      <c r="N239" s="40"/>
      <c r="O239" s="45"/>
      <c r="P239" s="45"/>
      <c r="Q239" s="45"/>
      <c r="R239" s="45"/>
      <c r="S239" s="45"/>
      <c r="T239" s="118"/>
      <c r="U239" s="99"/>
      <c r="V239" s="99"/>
    </row>
    <row r="240" spans="1:22" s="3" customFormat="1" ht="37.5" hidden="1">
      <c r="A240" s="51" t="s">
        <v>23</v>
      </c>
      <c r="B240" s="51"/>
      <c r="C240" s="36"/>
      <c r="D240" s="40"/>
      <c r="E240" s="40"/>
      <c r="F240" s="40"/>
      <c r="G240" s="40"/>
      <c r="H240" s="36"/>
      <c r="I240" s="40"/>
      <c r="J240" s="47"/>
      <c r="K240" s="47"/>
      <c r="L240" s="47"/>
      <c r="M240" s="36"/>
      <c r="N240" s="40"/>
      <c r="O240" s="45"/>
      <c r="P240" s="45"/>
      <c r="Q240" s="45"/>
      <c r="R240" s="45"/>
      <c r="S240" s="45"/>
      <c r="T240" s="118"/>
      <c r="U240" s="99"/>
      <c r="V240" s="99"/>
    </row>
    <row r="241" spans="1:22" s="3" customFormat="1" ht="82.5" hidden="1">
      <c r="A241" s="54" t="s">
        <v>105</v>
      </c>
      <c r="B241" s="51"/>
      <c r="C241" s="41">
        <f>C234/C239</f>
        <v>1.1607142857142858</v>
      </c>
      <c r="D241" s="40"/>
      <c r="E241" s="40"/>
      <c r="F241" s="40"/>
      <c r="G241" s="40"/>
      <c r="H241" s="36"/>
      <c r="I241" s="40"/>
      <c r="J241" s="47"/>
      <c r="K241" s="47"/>
      <c r="L241" s="47"/>
      <c r="M241" s="36"/>
      <c r="N241" s="40"/>
      <c r="O241" s="45"/>
      <c r="P241" s="45"/>
      <c r="Q241" s="45"/>
      <c r="R241" s="45"/>
      <c r="S241" s="45"/>
      <c r="T241" s="118"/>
      <c r="U241" s="99"/>
      <c r="V241" s="99"/>
    </row>
    <row r="242" spans="1:22" s="3" customFormat="1" ht="18.75" hidden="1">
      <c r="A242" s="51" t="s">
        <v>25</v>
      </c>
      <c r="B242" s="51"/>
      <c r="C242" s="36"/>
      <c r="D242" s="40"/>
      <c r="E242" s="40"/>
      <c r="F242" s="40"/>
      <c r="G242" s="40"/>
      <c r="H242" s="36"/>
      <c r="I242" s="40"/>
      <c r="J242" s="47"/>
      <c r="K242" s="47"/>
      <c r="L242" s="47"/>
      <c r="M242" s="36"/>
      <c r="N242" s="40"/>
      <c r="O242" s="45"/>
      <c r="P242" s="45"/>
      <c r="Q242" s="45"/>
      <c r="R242" s="45"/>
      <c r="S242" s="45"/>
      <c r="T242" s="123"/>
      <c r="U242" s="99"/>
      <c r="V242" s="99"/>
    </row>
    <row r="243" spans="1:22" s="3" customFormat="1" ht="66" customHeight="1" hidden="1">
      <c r="A243" s="54" t="s">
        <v>71</v>
      </c>
      <c r="B243" s="56"/>
      <c r="C243" s="57">
        <v>23</v>
      </c>
      <c r="D243" s="60"/>
      <c r="E243" s="60"/>
      <c r="F243" s="60"/>
      <c r="G243" s="60"/>
      <c r="H243" s="57"/>
      <c r="I243" s="60"/>
      <c r="J243" s="59"/>
      <c r="K243" s="59"/>
      <c r="L243" s="59"/>
      <c r="M243" s="57"/>
      <c r="N243" s="60"/>
      <c r="O243" s="61"/>
      <c r="P243" s="61"/>
      <c r="Q243" s="61"/>
      <c r="R243" s="61"/>
      <c r="S243" s="61"/>
      <c r="T243" s="123"/>
      <c r="U243" s="99"/>
      <c r="V243" s="99"/>
    </row>
    <row r="244" spans="1:23" s="4" customFormat="1" ht="37.5" hidden="1">
      <c r="A244" s="54" t="s">
        <v>57</v>
      </c>
      <c r="B244" s="51"/>
      <c r="C244" s="62">
        <f>C234/(C243*0.86*1591.105*0.001)</f>
        <v>12.391945059046964</v>
      </c>
      <c r="D244" s="40"/>
      <c r="E244" s="40"/>
      <c r="F244" s="40"/>
      <c r="G244" s="40"/>
      <c r="H244" s="36"/>
      <c r="I244" s="40"/>
      <c r="J244" s="47"/>
      <c r="K244" s="47"/>
      <c r="L244" s="47"/>
      <c r="M244" s="36"/>
      <c r="N244" s="40"/>
      <c r="O244" s="45"/>
      <c r="P244" s="45"/>
      <c r="Q244" s="45"/>
      <c r="R244" s="45"/>
      <c r="S244" s="45"/>
      <c r="T244" s="123"/>
      <c r="U244" s="99"/>
      <c r="V244" s="99"/>
      <c r="W244" s="21"/>
    </row>
    <row r="245" spans="1:22" s="3" customFormat="1" ht="18.75" hidden="1">
      <c r="A245" s="146" t="s">
        <v>128</v>
      </c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9"/>
      <c r="T245" s="123"/>
      <c r="U245" s="99"/>
      <c r="V245" s="99"/>
    </row>
    <row r="246" spans="1:22" s="3" customFormat="1" ht="18.75" hidden="1">
      <c r="A246" s="146" t="s">
        <v>84</v>
      </c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9"/>
      <c r="T246" s="123"/>
      <c r="U246" s="99"/>
      <c r="V246" s="99"/>
    </row>
    <row r="247" spans="1:22" s="3" customFormat="1" ht="56.25" hidden="1">
      <c r="A247" s="51" t="s">
        <v>45</v>
      </c>
      <c r="B247" s="83" t="s">
        <v>91</v>
      </c>
      <c r="C247" s="84"/>
      <c r="D247" s="84">
        <v>50</v>
      </c>
      <c r="E247" s="84"/>
      <c r="F247" s="84"/>
      <c r="G247" s="84"/>
      <c r="H247" s="84">
        <v>50</v>
      </c>
      <c r="I247" s="84">
        <v>50</v>
      </c>
      <c r="J247" s="84"/>
      <c r="K247" s="84"/>
      <c r="L247" s="84"/>
      <c r="M247" s="84">
        <v>50</v>
      </c>
      <c r="N247" s="84">
        <v>50</v>
      </c>
      <c r="O247" s="85"/>
      <c r="P247" s="85"/>
      <c r="Q247" s="85"/>
      <c r="R247" s="85"/>
      <c r="S247" s="85"/>
      <c r="T247" s="123"/>
      <c r="U247" s="99"/>
      <c r="V247" s="99"/>
    </row>
    <row r="248" spans="1:22" s="3" customFormat="1" ht="18.75" hidden="1">
      <c r="A248" s="51" t="s">
        <v>27</v>
      </c>
      <c r="B248" s="51"/>
      <c r="C248" s="36"/>
      <c r="D248" s="40"/>
      <c r="E248" s="40"/>
      <c r="F248" s="40"/>
      <c r="G248" s="40"/>
      <c r="H248" s="36"/>
      <c r="I248" s="40"/>
      <c r="J248" s="36"/>
      <c r="K248" s="36"/>
      <c r="L248" s="36"/>
      <c r="M248" s="36"/>
      <c r="N248" s="40"/>
      <c r="O248" s="45"/>
      <c r="P248" s="45"/>
      <c r="Q248" s="45"/>
      <c r="R248" s="45"/>
      <c r="S248" s="45"/>
      <c r="T248" s="123"/>
      <c r="U248" s="99"/>
      <c r="V248" s="99"/>
    </row>
    <row r="249" spans="1:22" s="3" customFormat="1" ht="37.5" hidden="1">
      <c r="A249" s="54" t="s">
        <v>32</v>
      </c>
      <c r="B249" s="51"/>
      <c r="C249" s="36">
        <v>50</v>
      </c>
      <c r="D249" s="40"/>
      <c r="E249" s="40"/>
      <c r="F249" s="40"/>
      <c r="G249" s="40"/>
      <c r="H249" s="36">
        <v>50</v>
      </c>
      <c r="I249" s="40">
        <v>50</v>
      </c>
      <c r="J249" s="36"/>
      <c r="K249" s="36"/>
      <c r="L249" s="36"/>
      <c r="M249" s="36">
        <v>50</v>
      </c>
      <c r="N249" s="40">
        <v>50</v>
      </c>
      <c r="O249" s="45"/>
      <c r="P249" s="45"/>
      <c r="Q249" s="45"/>
      <c r="R249" s="45"/>
      <c r="S249" s="45"/>
      <c r="T249" s="123"/>
      <c r="U249" s="99"/>
      <c r="V249" s="99"/>
    </row>
    <row r="250" spans="1:22" s="3" customFormat="1" ht="33" customHeight="1" hidden="1">
      <c r="A250" s="51" t="s">
        <v>16</v>
      </c>
      <c r="B250" s="51"/>
      <c r="C250" s="36"/>
      <c r="D250" s="40"/>
      <c r="E250" s="40"/>
      <c r="F250" s="40"/>
      <c r="G250" s="40"/>
      <c r="H250" s="36"/>
      <c r="I250" s="40"/>
      <c r="J250" s="47"/>
      <c r="K250" s="47"/>
      <c r="L250" s="47"/>
      <c r="M250" s="36"/>
      <c r="N250" s="40"/>
      <c r="O250" s="45"/>
      <c r="P250" s="45"/>
      <c r="Q250" s="45"/>
      <c r="R250" s="45"/>
      <c r="S250" s="45"/>
      <c r="T250" s="123"/>
      <c r="U250" s="99"/>
      <c r="V250" s="99"/>
    </row>
    <row r="251" spans="1:22" s="3" customFormat="1" ht="16.5" customHeight="1" hidden="1">
      <c r="A251" s="54" t="s">
        <v>53</v>
      </c>
      <c r="B251" s="51"/>
      <c r="C251" s="36"/>
      <c r="D251" s="40"/>
      <c r="E251" s="40"/>
      <c r="F251" s="40"/>
      <c r="G251" s="40"/>
      <c r="H251" s="36"/>
      <c r="I251" s="40"/>
      <c r="J251" s="47"/>
      <c r="K251" s="47"/>
      <c r="L251" s="47"/>
      <c r="M251" s="36"/>
      <c r="N251" s="40"/>
      <c r="O251" s="45"/>
      <c r="P251" s="45"/>
      <c r="Q251" s="45"/>
      <c r="R251" s="45"/>
      <c r="S251" s="45"/>
      <c r="T251" s="123"/>
      <c r="U251" s="99"/>
      <c r="V251" s="99"/>
    </row>
    <row r="252" spans="1:22" s="3" customFormat="1" ht="16.5" customHeight="1" hidden="1">
      <c r="A252" s="54"/>
      <c r="B252" s="51"/>
      <c r="C252" s="36"/>
      <c r="D252" s="40"/>
      <c r="E252" s="40"/>
      <c r="F252" s="40"/>
      <c r="G252" s="40"/>
      <c r="H252" s="36"/>
      <c r="I252" s="40"/>
      <c r="J252" s="47"/>
      <c r="K252" s="47"/>
      <c r="L252" s="47"/>
      <c r="M252" s="36"/>
      <c r="N252" s="40"/>
      <c r="O252" s="45"/>
      <c r="P252" s="45"/>
      <c r="Q252" s="45"/>
      <c r="R252" s="45"/>
      <c r="S252" s="45"/>
      <c r="T252" s="123"/>
      <c r="U252" s="99"/>
      <c r="V252" s="99"/>
    </row>
    <row r="253" spans="1:22" s="3" customFormat="1" ht="18.75" hidden="1">
      <c r="A253" s="142" t="s">
        <v>85</v>
      </c>
      <c r="B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6"/>
      <c r="T253" s="123"/>
      <c r="U253" s="99"/>
      <c r="V253" s="99"/>
    </row>
    <row r="254" spans="1:22" s="3" customFormat="1" ht="18.75" customHeight="1" hidden="1">
      <c r="A254" s="139" t="s">
        <v>67</v>
      </c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1"/>
      <c r="T254" s="123"/>
      <c r="U254" s="99"/>
      <c r="V254" s="99"/>
    </row>
    <row r="255" spans="1:22" s="3" customFormat="1" ht="72" customHeight="1" hidden="1">
      <c r="A255" s="51" t="s">
        <v>45</v>
      </c>
      <c r="B255" s="86" t="s">
        <v>123</v>
      </c>
      <c r="C255" s="57">
        <v>50</v>
      </c>
      <c r="D255" s="60">
        <v>50</v>
      </c>
      <c r="E255" s="60"/>
      <c r="F255" s="60"/>
      <c r="G255" s="60"/>
      <c r="H255" s="57">
        <v>55</v>
      </c>
      <c r="I255" s="60">
        <v>55</v>
      </c>
      <c r="J255" s="59"/>
      <c r="K255" s="59"/>
      <c r="L255" s="59"/>
      <c r="M255" s="57">
        <v>60</v>
      </c>
      <c r="N255" s="60">
        <v>60</v>
      </c>
      <c r="O255" s="61"/>
      <c r="P255" s="61"/>
      <c r="Q255" s="61"/>
      <c r="R255" s="61"/>
      <c r="S255" s="61"/>
      <c r="T255" s="123"/>
      <c r="U255" s="99"/>
      <c r="V255" s="99"/>
    </row>
    <row r="256" spans="1:22" s="3" customFormat="1" ht="39" customHeight="1" hidden="1">
      <c r="A256" s="51" t="s">
        <v>28</v>
      </c>
      <c r="B256" s="51"/>
      <c r="C256" s="36"/>
      <c r="D256" s="40"/>
      <c r="E256" s="40"/>
      <c r="F256" s="40"/>
      <c r="G256" s="40"/>
      <c r="H256" s="36"/>
      <c r="I256" s="40"/>
      <c r="J256" s="47"/>
      <c r="K256" s="47"/>
      <c r="L256" s="47"/>
      <c r="M256" s="36"/>
      <c r="N256" s="40"/>
      <c r="O256" s="45"/>
      <c r="P256" s="45"/>
      <c r="Q256" s="45"/>
      <c r="R256" s="45"/>
      <c r="S256" s="45"/>
      <c r="T256" s="123"/>
      <c r="U256" s="99"/>
      <c r="V256" s="99"/>
    </row>
    <row r="257" spans="1:22" s="3" customFormat="1" ht="33.75" customHeight="1" hidden="1">
      <c r="A257" s="51" t="s">
        <v>27</v>
      </c>
      <c r="B257" s="51"/>
      <c r="C257" s="36"/>
      <c r="D257" s="40"/>
      <c r="E257" s="40"/>
      <c r="F257" s="40"/>
      <c r="G257" s="40"/>
      <c r="H257" s="36"/>
      <c r="I257" s="40"/>
      <c r="J257" s="47"/>
      <c r="K257" s="47"/>
      <c r="L257" s="47"/>
      <c r="M257" s="36"/>
      <c r="N257" s="40"/>
      <c r="O257" s="45"/>
      <c r="P257" s="45"/>
      <c r="Q257" s="45"/>
      <c r="R257" s="45"/>
      <c r="S257" s="45"/>
      <c r="T257" s="123"/>
      <c r="U257" s="99"/>
      <c r="V257" s="99"/>
    </row>
    <row r="258" spans="1:22" s="3" customFormat="1" ht="48" customHeight="1" hidden="1">
      <c r="A258" s="54" t="s">
        <v>32</v>
      </c>
      <c r="B258" s="51"/>
      <c r="C258" s="36">
        <f>C255</f>
        <v>50</v>
      </c>
      <c r="D258" s="40"/>
      <c r="E258" s="40"/>
      <c r="F258" s="40"/>
      <c r="G258" s="40"/>
      <c r="H258" s="36">
        <f>H255</f>
        <v>55</v>
      </c>
      <c r="I258" s="40"/>
      <c r="J258" s="47"/>
      <c r="K258" s="47"/>
      <c r="L258" s="47"/>
      <c r="M258" s="36">
        <f>M255</f>
        <v>60</v>
      </c>
      <c r="N258" s="40"/>
      <c r="O258" s="45"/>
      <c r="P258" s="45"/>
      <c r="Q258" s="45"/>
      <c r="R258" s="45"/>
      <c r="S258" s="45"/>
      <c r="T258" s="123"/>
      <c r="U258" s="99"/>
      <c r="V258" s="99"/>
    </row>
    <row r="259" spans="1:22" s="3" customFormat="1" ht="41.25" customHeight="1" hidden="1">
      <c r="A259" s="51" t="s">
        <v>16</v>
      </c>
      <c r="B259" s="51"/>
      <c r="C259" s="36"/>
      <c r="D259" s="40"/>
      <c r="E259" s="40"/>
      <c r="F259" s="40"/>
      <c r="G259" s="40"/>
      <c r="H259" s="36"/>
      <c r="I259" s="40"/>
      <c r="J259" s="47"/>
      <c r="K259" s="47"/>
      <c r="L259" s="47"/>
      <c r="M259" s="36"/>
      <c r="N259" s="40"/>
      <c r="O259" s="45"/>
      <c r="P259" s="45"/>
      <c r="Q259" s="45"/>
      <c r="R259" s="45"/>
      <c r="S259" s="45"/>
      <c r="T259" s="123"/>
      <c r="U259" s="99"/>
      <c r="V259" s="99"/>
    </row>
    <row r="260" spans="1:22" s="3" customFormat="1" ht="135.75" customHeight="1" hidden="1">
      <c r="A260" s="54" t="s">
        <v>46</v>
      </c>
      <c r="B260" s="51"/>
      <c r="C260" s="36">
        <v>1</v>
      </c>
      <c r="D260" s="40"/>
      <c r="E260" s="40"/>
      <c r="F260" s="40"/>
      <c r="G260" s="40"/>
      <c r="H260" s="36">
        <v>1</v>
      </c>
      <c r="I260" s="40"/>
      <c r="J260" s="47"/>
      <c r="K260" s="47"/>
      <c r="L260" s="47"/>
      <c r="M260" s="36">
        <v>1</v>
      </c>
      <c r="N260" s="40"/>
      <c r="O260" s="45"/>
      <c r="P260" s="45"/>
      <c r="Q260" s="45"/>
      <c r="R260" s="45"/>
      <c r="S260" s="45"/>
      <c r="T260" s="123"/>
      <c r="U260" s="99"/>
      <c r="V260" s="99"/>
    </row>
    <row r="261" spans="1:22" s="3" customFormat="1" ht="40.5" customHeight="1" hidden="1">
      <c r="A261" s="51" t="s">
        <v>23</v>
      </c>
      <c r="B261" s="51"/>
      <c r="C261" s="36"/>
      <c r="D261" s="40"/>
      <c r="E261" s="40"/>
      <c r="F261" s="40"/>
      <c r="G261" s="40"/>
      <c r="H261" s="36"/>
      <c r="I261" s="40"/>
      <c r="J261" s="47"/>
      <c r="K261" s="47"/>
      <c r="L261" s="47"/>
      <c r="M261" s="36"/>
      <c r="N261" s="40"/>
      <c r="O261" s="45"/>
      <c r="P261" s="45"/>
      <c r="Q261" s="45"/>
      <c r="R261" s="45"/>
      <c r="S261" s="45"/>
      <c r="T261" s="123"/>
      <c r="U261" s="99"/>
      <c r="V261" s="99"/>
    </row>
    <row r="262" spans="1:22" s="3" customFormat="1" ht="141" customHeight="1" hidden="1">
      <c r="A262" s="54" t="s">
        <v>47</v>
      </c>
      <c r="B262" s="51"/>
      <c r="C262" s="36">
        <v>50</v>
      </c>
      <c r="D262" s="40"/>
      <c r="E262" s="40"/>
      <c r="F262" s="40"/>
      <c r="G262" s="40"/>
      <c r="H262" s="36"/>
      <c r="I262" s="40"/>
      <c r="J262" s="47"/>
      <c r="K262" s="47"/>
      <c r="L262" s="47"/>
      <c r="M262" s="36"/>
      <c r="N262" s="40"/>
      <c r="O262" s="45"/>
      <c r="P262" s="45"/>
      <c r="Q262" s="45"/>
      <c r="R262" s="45"/>
      <c r="S262" s="45"/>
      <c r="T262" s="117"/>
      <c r="U262" s="99"/>
      <c r="V262" s="99"/>
    </row>
    <row r="263" spans="1:22" s="3" customFormat="1" ht="30.75" customHeight="1" hidden="1">
      <c r="A263" s="51" t="s">
        <v>25</v>
      </c>
      <c r="B263" s="51"/>
      <c r="C263" s="36"/>
      <c r="D263" s="40"/>
      <c r="E263" s="40"/>
      <c r="F263" s="40"/>
      <c r="G263" s="40"/>
      <c r="H263" s="36"/>
      <c r="I263" s="40"/>
      <c r="J263" s="47"/>
      <c r="K263" s="47"/>
      <c r="L263" s="47"/>
      <c r="M263" s="36"/>
      <c r="N263" s="40"/>
      <c r="O263" s="45"/>
      <c r="P263" s="45"/>
      <c r="Q263" s="45"/>
      <c r="R263" s="45"/>
      <c r="S263" s="45"/>
      <c r="T263" s="117"/>
      <c r="U263" s="99"/>
      <c r="V263" s="99"/>
    </row>
    <row r="264" spans="1:22" s="3" customFormat="1" ht="48" customHeight="1" hidden="1">
      <c r="A264" s="95" t="s">
        <v>90</v>
      </c>
      <c r="B264" s="89"/>
      <c r="C264" s="90">
        <v>20</v>
      </c>
      <c r="D264" s="91"/>
      <c r="E264" s="91"/>
      <c r="F264" s="91"/>
      <c r="G264" s="91"/>
      <c r="H264" s="90">
        <v>30</v>
      </c>
      <c r="I264" s="91"/>
      <c r="J264" s="92"/>
      <c r="K264" s="92"/>
      <c r="L264" s="92"/>
      <c r="M264" s="90">
        <v>40</v>
      </c>
      <c r="N264" s="91"/>
      <c r="O264" s="93"/>
      <c r="P264" s="93"/>
      <c r="Q264" s="93"/>
      <c r="R264" s="93"/>
      <c r="S264" s="93"/>
      <c r="T264" s="117"/>
      <c r="U264" s="99"/>
      <c r="V264" s="99"/>
    </row>
    <row r="265" spans="1:22" s="9" customFormat="1" ht="66" customHeight="1" hidden="1">
      <c r="A265" s="6" t="s">
        <v>69</v>
      </c>
      <c r="B265" s="7"/>
      <c r="C265" s="115">
        <f>C30+C57+C69+C82+C99+C122+C188+C202+C215+C243</f>
        <v>5488.227000000001</v>
      </c>
      <c r="D265" s="7"/>
      <c r="E265" s="7"/>
      <c r="F265" s="7"/>
      <c r="G265" s="7"/>
      <c r="H265" s="8">
        <f>H30+H57+H122+H215+H229</f>
        <v>3564.33</v>
      </c>
      <c r="I265" s="7"/>
      <c r="J265" s="7"/>
      <c r="K265" s="7"/>
      <c r="L265" s="7"/>
      <c r="M265" s="8">
        <f>M30+M57+M122+M229</f>
        <v>2821.89</v>
      </c>
      <c r="N265" s="7"/>
      <c r="O265" s="7"/>
      <c r="P265" s="7"/>
      <c r="Q265" s="7"/>
      <c r="R265" s="7"/>
      <c r="S265" s="7"/>
      <c r="T265" s="117"/>
      <c r="U265" s="113"/>
      <c r="V265" s="113"/>
    </row>
    <row r="266" spans="1:22" s="9" customFormat="1" ht="51.75" customHeight="1" hidden="1">
      <c r="A266" s="6" t="s">
        <v>48</v>
      </c>
      <c r="B266" s="7"/>
      <c r="C266" s="7">
        <v>424.2</v>
      </c>
      <c r="D266" s="7"/>
      <c r="E266" s="7"/>
      <c r="F266" s="7"/>
      <c r="G266" s="7"/>
      <c r="H266" s="8">
        <f>H28+H44+H175</f>
        <v>296</v>
      </c>
      <c r="I266" s="7"/>
      <c r="J266" s="7"/>
      <c r="K266" s="7"/>
      <c r="L266" s="7"/>
      <c r="M266" s="8">
        <f>M28+M44+M175</f>
        <v>137</v>
      </c>
      <c r="N266" s="7"/>
      <c r="O266" s="7"/>
      <c r="P266" s="7"/>
      <c r="Q266" s="7"/>
      <c r="R266" s="7"/>
      <c r="S266" s="7"/>
      <c r="T266" s="117"/>
      <c r="U266" s="113"/>
      <c r="V266" s="113"/>
    </row>
    <row r="267" spans="1:22" s="9" customFormat="1" ht="17.25" customHeight="1" hidden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117"/>
      <c r="U267" s="113"/>
      <c r="V267" s="113"/>
    </row>
    <row r="268" spans="1:22" s="9" customFormat="1" ht="17.25" customHeight="1" hidden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117"/>
      <c r="U268" s="113"/>
      <c r="V268" s="113"/>
    </row>
    <row r="269" spans="1:22" s="9" customFormat="1" ht="17.25" customHeight="1" hidden="1">
      <c r="A269" s="9" t="s">
        <v>68</v>
      </c>
      <c r="C269" s="9">
        <f>C29</f>
        <v>367.4</v>
      </c>
      <c r="T269" s="117"/>
      <c r="U269" s="113"/>
      <c r="V269" s="113"/>
    </row>
    <row r="270" spans="20:22" s="9" customFormat="1" ht="17.25" customHeight="1" hidden="1">
      <c r="T270" s="117"/>
      <c r="U270" s="113"/>
      <c r="V270" s="113"/>
    </row>
    <row r="271" spans="20:22" s="9" customFormat="1" ht="17.25" customHeight="1" hidden="1">
      <c r="T271" s="117"/>
      <c r="U271" s="113"/>
      <c r="V271" s="113"/>
    </row>
    <row r="272" spans="3:22" s="9" customFormat="1" ht="17.25" customHeight="1" hidden="1">
      <c r="C272" s="9">
        <f>C265*0.86*1502.712</f>
        <v>7092613.131596642</v>
      </c>
      <c r="H272" s="9">
        <f>H265*0.86*1604.896</f>
        <v>4919525.905324799</v>
      </c>
      <c r="M272" s="9">
        <f>M265*0.86*1688.351</f>
        <v>4097333.0909153996</v>
      </c>
      <c r="T272" s="117"/>
      <c r="U272" s="113"/>
      <c r="V272" s="113"/>
    </row>
    <row r="273" spans="3:22" s="9" customFormat="1" ht="17.25" customHeight="1" hidden="1">
      <c r="C273" s="9">
        <f>C266*1000*2.577</f>
        <v>1093163.4</v>
      </c>
      <c r="H273" s="9">
        <f>H266*1000*2.75198</f>
        <v>814586.0800000001</v>
      </c>
      <c r="M273" s="9">
        <f>M266*1000*2.895</f>
        <v>396615</v>
      </c>
      <c r="T273" s="117"/>
      <c r="U273" s="113"/>
      <c r="V273" s="113"/>
    </row>
    <row r="274" spans="3:22" s="9" customFormat="1" ht="17.25" customHeight="1" hidden="1">
      <c r="C274" s="9">
        <f>C269*10692.31/9.39</f>
        <v>418355.1324813631</v>
      </c>
      <c r="H274" s="9">
        <f>(H272+H273)/1000</f>
        <v>5734.111985324799</v>
      </c>
      <c r="M274" s="9">
        <f>(M272+M273)/1000</f>
        <v>4493.9480909154</v>
      </c>
      <c r="T274" s="117"/>
      <c r="U274" s="113"/>
      <c r="V274" s="113"/>
    </row>
    <row r="275" spans="3:22" s="9" customFormat="1" ht="17.25" customHeight="1" hidden="1">
      <c r="C275" s="9">
        <f>(C272+C273+C274)/1000</f>
        <v>8604.131664078004</v>
      </c>
      <c r="H275" s="9">
        <f>H11/H274</f>
        <v>7.48461141146845</v>
      </c>
      <c r="M275" s="9">
        <f>M11/M274</f>
        <v>10.977652389827908</v>
      </c>
      <c r="T275" s="117"/>
      <c r="U275" s="113"/>
      <c r="V275" s="113"/>
    </row>
    <row r="276" spans="3:22" s="9" customFormat="1" ht="20.25" customHeight="1" hidden="1">
      <c r="C276" s="9">
        <f>C11/C275</f>
        <v>8.538143402280461</v>
      </c>
      <c r="T276" s="117"/>
      <c r="U276" s="113"/>
      <c r="V276" s="113"/>
    </row>
    <row r="277" spans="1:22" s="9" customFormat="1" ht="39" customHeight="1" hidden="1">
      <c r="A277" s="190" t="s">
        <v>100</v>
      </c>
      <c r="B277" s="191"/>
      <c r="C277" s="191"/>
      <c r="D277" s="191"/>
      <c r="E277" s="191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2"/>
      <c r="T277" s="117"/>
      <c r="U277" s="113"/>
      <c r="V277" s="113"/>
    </row>
    <row r="278" spans="1:23" s="12" customFormat="1" ht="20.25" customHeight="1" hidden="1">
      <c r="A278" s="184" t="s">
        <v>67</v>
      </c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5"/>
      <c r="S278" s="186"/>
      <c r="T278" s="117"/>
      <c r="U278" s="113"/>
      <c r="V278" s="113"/>
      <c r="W278" s="24"/>
    </row>
    <row r="279" spans="1:23" s="12" customFormat="1" ht="23.25" customHeight="1" hidden="1">
      <c r="A279" s="187" t="s">
        <v>45</v>
      </c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81"/>
      <c r="T279" s="117"/>
      <c r="U279" s="113"/>
      <c r="V279" s="113"/>
      <c r="W279" s="24"/>
    </row>
    <row r="280" spans="1:23" s="12" customFormat="1" ht="20.25" customHeight="1" hidden="1">
      <c r="A280" s="29" t="s">
        <v>21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117"/>
      <c r="U280" s="113"/>
      <c r="V280" s="113"/>
      <c r="W280" s="24"/>
    </row>
    <row r="281" spans="1:23" s="12" customFormat="1" ht="37.5" hidden="1">
      <c r="A281" s="30" t="s">
        <v>32</v>
      </c>
      <c r="B281" s="29">
        <v>318606</v>
      </c>
      <c r="C281" s="29">
        <v>50</v>
      </c>
      <c r="D281" s="29">
        <v>50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117"/>
      <c r="U281" s="113"/>
      <c r="V281" s="113"/>
      <c r="W281" s="24"/>
    </row>
    <row r="282" spans="1:23" s="12" customFormat="1" ht="18.75" customHeight="1" hidden="1">
      <c r="A282" s="29" t="s">
        <v>16</v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117"/>
      <c r="U282" s="113"/>
      <c r="V282" s="113"/>
      <c r="W282" s="24"/>
    </row>
    <row r="283" spans="1:23" s="12" customFormat="1" ht="75" hidden="1">
      <c r="A283" s="30" t="s">
        <v>86</v>
      </c>
      <c r="B283" s="29"/>
      <c r="C283" s="29">
        <v>300</v>
      </c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117"/>
      <c r="U283" s="113"/>
      <c r="V283" s="113"/>
      <c r="W283" s="24"/>
    </row>
    <row r="284" spans="1:23" s="12" customFormat="1" ht="37.5" hidden="1">
      <c r="A284" s="30" t="s">
        <v>17</v>
      </c>
      <c r="B284" s="29"/>
      <c r="C284" s="31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117"/>
      <c r="U284" s="113"/>
      <c r="V284" s="113"/>
      <c r="W284" s="24"/>
    </row>
    <row r="285" spans="1:23" s="12" customFormat="1" ht="75" hidden="1">
      <c r="A285" s="30" t="s">
        <v>87</v>
      </c>
      <c r="B285" s="29"/>
      <c r="C285" s="31">
        <f>C281/C283</f>
        <v>0.16666666666666666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117"/>
      <c r="U285" s="113"/>
      <c r="V285" s="113"/>
      <c r="W285" s="24"/>
    </row>
    <row r="286" spans="1:22" s="9" customFormat="1" ht="18.75">
      <c r="A286" s="87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17"/>
      <c r="U286" s="113"/>
      <c r="V286" s="113"/>
    </row>
    <row r="287" spans="1:22" s="9" customFormat="1" ht="17.25" customHeight="1">
      <c r="A287" s="87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17"/>
      <c r="U287" s="113"/>
      <c r="V287" s="113"/>
    </row>
    <row r="288" spans="1:22" s="9" customFormat="1" ht="14.25" customHeight="1">
      <c r="A288" s="87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17"/>
      <c r="U288" s="113"/>
      <c r="V288" s="113"/>
    </row>
    <row r="289" spans="1:22" s="9" customFormat="1" ht="18.75">
      <c r="A289" s="87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17"/>
      <c r="U289" s="113"/>
      <c r="V289" s="113"/>
    </row>
    <row r="290" spans="1:22" s="10" customFormat="1" ht="66.75" customHeight="1">
      <c r="A290" s="193" t="s">
        <v>136</v>
      </c>
      <c r="B290" s="194"/>
      <c r="C290" s="194"/>
      <c r="D290" s="194"/>
      <c r="E290" s="194"/>
      <c r="M290" s="26"/>
      <c r="N290" s="27"/>
      <c r="O290" s="27"/>
      <c r="P290" s="27"/>
      <c r="Q290" s="27"/>
      <c r="R290" s="27"/>
      <c r="S290" s="27"/>
      <c r="T290" s="117"/>
      <c r="U290" s="114"/>
      <c r="V290" s="114"/>
    </row>
    <row r="291" spans="1:22" s="9" customFormat="1" ht="32.25" customHeight="1">
      <c r="A291" s="194"/>
      <c r="B291" s="194"/>
      <c r="C291" s="194"/>
      <c r="D291" s="194"/>
      <c r="E291" s="194"/>
      <c r="M291" s="27"/>
      <c r="N291" s="27"/>
      <c r="O291" s="28" t="s">
        <v>137</v>
      </c>
      <c r="P291" s="28"/>
      <c r="Q291" s="28"/>
      <c r="R291" s="28"/>
      <c r="S291" s="28"/>
      <c r="T291" s="117"/>
      <c r="U291" s="113"/>
      <c r="V291" s="113"/>
    </row>
    <row r="292" spans="1:22" s="9" customFormat="1" ht="20.25">
      <c r="A292" s="13"/>
      <c r="T292" s="97"/>
      <c r="U292" s="113"/>
      <c r="V292" s="113"/>
    </row>
    <row r="293" spans="1:22" s="9" customFormat="1" ht="21">
      <c r="A293" s="182"/>
      <c r="B293" s="183"/>
      <c r="T293" s="97"/>
      <c r="U293" s="113"/>
      <c r="V293" s="113"/>
    </row>
    <row r="294" spans="1:22" s="9" customFormat="1" ht="20.25">
      <c r="A294" s="130"/>
      <c r="B294" s="131"/>
      <c r="T294" s="97"/>
      <c r="U294" s="113"/>
      <c r="V294" s="113"/>
    </row>
    <row r="295" spans="21:22" s="9" customFormat="1" ht="17.25">
      <c r="U295" s="113"/>
      <c r="V295" s="113"/>
    </row>
    <row r="296" spans="21:22" s="9" customFormat="1" ht="17.25">
      <c r="U296" s="113"/>
      <c r="V296" s="113"/>
    </row>
    <row r="297" spans="21:22" s="9" customFormat="1" ht="17.25">
      <c r="U297" s="113"/>
      <c r="V297" s="113"/>
    </row>
    <row r="298" spans="21:22" s="9" customFormat="1" ht="17.25">
      <c r="U298" s="113"/>
      <c r="V298" s="113"/>
    </row>
    <row r="299" spans="21:22" s="9" customFormat="1" ht="17.25">
      <c r="U299" s="113"/>
      <c r="V299" s="113"/>
    </row>
    <row r="300" spans="21:22" s="9" customFormat="1" ht="17.25">
      <c r="U300" s="113"/>
      <c r="V300" s="113"/>
    </row>
    <row r="301" spans="21:22" s="9" customFormat="1" ht="17.25">
      <c r="U301" s="113"/>
      <c r="V301" s="113"/>
    </row>
    <row r="302" spans="21:22" s="9" customFormat="1" ht="17.25">
      <c r="U302" s="113"/>
      <c r="V302" s="113"/>
    </row>
    <row r="303" spans="21:22" s="9" customFormat="1" ht="17.25">
      <c r="U303" s="113"/>
      <c r="V303" s="113"/>
    </row>
    <row r="304" spans="21:22" s="9" customFormat="1" ht="17.25">
      <c r="U304" s="113"/>
      <c r="V304" s="113"/>
    </row>
    <row r="305" spans="21:22" s="9" customFormat="1" ht="17.25">
      <c r="U305" s="113"/>
      <c r="V305" s="113"/>
    </row>
    <row r="306" spans="21:22" s="9" customFormat="1" ht="17.25">
      <c r="U306" s="113"/>
      <c r="V306" s="113"/>
    </row>
    <row r="307" spans="21:22" s="9" customFormat="1" ht="17.25">
      <c r="U307" s="113"/>
      <c r="V307" s="113"/>
    </row>
    <row r="308" spans="21:22" s="9" customFormat="1" ht="17.25">
      <c r="U308" s="113"/>
      <c r="V308" s="113"/>
    </row>
    <row r="309" spans="21:22" s="9" customFormat="1" ht="17.25">
      <c r="U309" s="113"/>
      <c r="V309" s="113"/>
    </row>
    <row r="310" spans="21:22" s="9" customFormat="1" ht="17.25">
      <c r="U310" s="113"/>
      <c r="V310" s="113"/>
    </row>
    <row r="311" spans="21:22" s="9" customFormat="1" ht="17.25">
      <c r="U311" s="113"/>
      <c r="V311" s="113"/>
    </row>
    <row r="312" spans="21:22" s="9" customFormat="1" ht="17.25">
      <c r="U312" s="113"/>
      <c r="V312" s="113"/>
    </row>
    <row r="313" spans="21:22" s="9" customFormat="1" ht="17.25">
      <c r="U313" s="113"/>
      <c r="V313" s="113"/>
    </row>
    <row r="314" spans="21:22" s="9" customFormat="1" ht="17.25">
      <c r="U314" s="113"/>
      <c r="V314" s="113"/>
    </row>
    <row r="315" spans="21:22" s="9" customFormat="1" ht="17.25">
      <c r="U315" s="113"/>
      <c r="V315" s="113"/>
    </row>
    <row r="316" spans="21:22" s="9" customFormat="1" ht="17.25">
      <c r="U316" s="113"/>
      <c r="V316" s="113"/>
    </row>
    <row r="317" spans="21:22" s="9" customFormat="1" ht="17.25">
      <c r="U317" s="113"/>
      <c r="V317" s="113"/>
    </row>
    <row r="318" spans="21:22" s="9" customFormat="1" ht="17.25">
      <c r="U318" s="113"/>
      <c r="V318" s="113"/>
    </row>
    <row r="319" spans="21:22" s="9" customFormat="1" ht="17.25">
      <c r="U319" s="113"/>
      <c r="V319" s="113"/>
    </row>
    <row r="320" spans="21:22" s="9" customFormat="1" ht="17.25">
      <c r="U320" s="113"/>
      <c r="V320" s="113"/>
    </row>
    <row r="321" spans="21:22" s="9" customFormat="1" ht="17.25">
      <c r="U321" s="113"/>
      <c r="V321" s="113"/>
    </row>
    <row r="322" spans="21:22" s="9" customFormat="1" ht="17.25">
      <c r="U322" s="113"/>
      <c r="V322" s="113"/>
    </row>
    <row r="323" spans="21:22" s="9" customFormat="1" ht="17.25">
      <c r="U323" s="113"/>
      <c r="V323" s="113"/>
    </row>
    <row r="324" spans="21:22" s="9" customFormat="1" ht="17.25">
      <c r="U324" s="113"/>
      <c r="V324" s="113"/>
    </row>
    <row r="325" spans="21:22" s="9" customFormat="1" ht="17.25">
      <c r="U325" s="113"/>
      <c r="V325" s="113"/>
    </row>
    <row r="326" spans="21:22" s="9" customFormat="1" ht="17.25">
      <c r="U326" s="113"/>
      <c r="V326" s="113"/>
    </row>
    <row r="327" spans="21:22" s="9" customFormat="1" ht="17.25">
      <c r="U327" s="113"/>
      <c r="V327" s="113"/>
    </row>
    <row r="328" spans="21:22" s="9" customFormat="1" ht="17.25">
      <c r="U328" s="113"/>
      <c r="V328" s="113"/>
    </row>
    <row r="329" spans="21:22" s="9" customFormat="1" ht="17.25">
      <c r="U329" s="113"/>
      <c r="V329" s="113"/>
    </row>
    <row r="330" spans="21:22" s="9" customFormat="1" ht="17.25">
      <c r="U330" s="113"/>
      <c r="V330" s="113"/>
    </row>
    <row r="331" spans="21:22" s="9" customFormat="1" ht="17.25">
      <c r="U331" s="113"/>
      <c r="V331" s="113"/>
    </row>
    <row r="332" spans="21:22" s="9" customFormat="1" ht="17.25">
      <c r="U332" s="113"/>
      <c r="V332" s="113"/>
    </row>
    <row r="333" spans="21:22" s="9" customFormat="1" ht="17.25">
      <c r="U333" s="113"/>
      <c r="V333" s="113"/>
    </row>
    <row r="334" spans="21:22" s="9" customFormat="1" ht="17.25">
      <c r="U334" s="113"/>
      <c r="V334" s="113"/>
    </row>
    <row r="335" spans="21:22" s="9" customFormat="1" ht="17.25">
      <c r="U335" s="113"/>
      <c r="V335" s="113"/>
    </row>
    <row r="336" spans="21:22" s="9" customFormat="1" ht="17.25">
      <c r="U336" s="113"/>
      <c r="V336" s="113"/>
    </row>
    <row r="337" spans="21:22" s="9" customFormat="1" ht="17.25">
      <c r="U337" s="113"/>
      <c r="V337" s="113"/>
    </row>
    <row r="338" spans="21:22" s="9" customFormat="1" ht="17.25">
      <c r="U338" s="113"/>
      <c r="V338" s="113"/>
    </row>
    <row r="339" spans="21:22" s="9" customFormat="1" ht="17.25">
      <c r="U339" s="113"/>
      <c r="V339" s="113"/>
    </row>
    <row r="340" spans="21:22" s="9" customFormat="1" ht="17.25">
      <c r="U340" s="113"/>
      <c r="V340" s="113"/>
    </row>
    <row r="341" spans="21:22" s="9" customFormat="1" ht="17.25">
      <c r="U341" s="113"/>
      <c r="V341" s="113"/>
    </row>
    <row r="342" spans="21:22" s="9" customFormat="1" ht="17.25">
      <c r="U342" s="113"/>
      <c r="V342" s="113"/>
    </row>
    <row r="343" spans="21:22" s="9" customFormat="1" ht="17.25">
      <c r="U343" s="113"/>
      <c r="V343" s="113"/>
    </row>
    <row r="344" spans="21:22" s="9" customFormat="1" ht="17.25">
      <c r="U344" s="113"/>
      <c r="V344" s="113"/>
    </row>
    <row r="345" spans="21:22" s="9" customFormat="1" ht="17.25">
      <c r="U345" s="113"/>
      <c r="V345" s="113"/>
    </row>
    <row r="346" spans="21:22" s="9" customFormat="1" ht="17.25">
      <c r="U346" s="113"/>
      <c r="V346" s="113"/>
    </row>
    <row r="347" spans="21:22" s="9" customFormat="1" ht="17.25">
      <c r="U347" s="113"/>
      <c r="V347" s="113"/>
    </row>
    <row r="348" spans="21:22" s="9" customFormat="1" ht="17.25">
      <c r="U348" s="113"/>
      <c r="V348" s="113"/>
    </row>
    <row r="349" spans="21:22" s="9" customFormat="1" ht="17.25">
      <c r="U349" s="113"/>
      <c r="V349" s="113"/>
    </row>
    <row r="350" spans="21:22" s="9" customFormat="1" ht="17.25">
      <c r="U350" s="113"/>
      <c r="V350" s="113"/>
    </row>
    <row r="351" spans="21:22" s="9" customFormat="1" ht="17.25">
      <c r="U351" s="113"/>
      <c r="V351" s="113"/>
    </row>
    <row r="352" spans="21:22" s="9" customFormat="1" ht="17.25">
      <c r="U352" s="113"/>
      <c r="V352" s="113"/>
    </row>
    <row r="353" spans="21:22" s="9" customFormat="1" ht="17.25">
      <c r="U353" s="113"/>
      <c r="V353" s="113"/>
    </row>
    <row r="354" spans="21:22" s="9" customFormat="1" ht="17.25">
      <c r="U354" s="113"/>
      <c r="V354" s="113"/>
    </row>
    <row r="355" spans="21:22" s="9" customFormat="1" ht="17.25">
      <c r="U355" s="113"/>
      <c r="V355" s="113"/>
    </row>
    <row r="356" spans="21:22" s="9" customFormat="1" ht="17.25">
      <c r="U356" s="113"/>
      <c r="V356" s="113"/>
    </row>
    <row r="357" spans="21:22" s="9" customFormat="1" ht="17.25">
      <c r="U357" s="113"/>
      <c r="V357" s="113"/>
    </row>
    <row r="358" spans="21:22" s="9" customFormat="1" ht="17.25">
      <c r="U358" s="113"/>
      <c r="V358" s="113"/>
    </row>
    <row r="359" spans="21:22" s="9" customFormat="1" ht="17.25">
      <c r="U359" s="113"/>
      <c r="V359" s="113"/>
    </row>
    <row r="360" spans="21:22" s="9" customFormat="1" ht="17.25">
      <c r="U360" s="113"/>
      <c r="V360" s="113"/>
    </row>
    <row r="361" spans="21:22" s="9" customFormat="1" ht="17.25">
      <c r="U361" s="113"/>
      <c r="V361" s="113"/>
    </row>
    <row r="362" spans="21:22" s="9" customFormat="1" ht="17.25">
      <c r="U362" s="113"/>
      <c r="V362" s="113"/>
    </row>
    <row r="363" spans="21:22" s="9" customFormat="1" ht="17.25">
      <c r="U363" s="113"/>
      <c r="V363" s="113"/>
    </row>
    <row r="364" spans="21:22" s="9" customFormat="1" ht="17.25">
      <c r="U364" s="113"/>
      <c r="V364" s="113"/>
    </row>
    <row r="365" spans="21:22" s="9" customFormat="1" ht="17.25">
      <c r="U365" s="113"/>
      <c r="V365" s="113"/>
    </row>
    <row r="366" spans="21:22" s="9" customFormat="1" ht="17.25">
      <c r="U366" s="113"/>
      <c r="V366" s="113"/>
    </row>
    <row r="367" spans="21:22" s="9" customFormat="1" ht="17.25">
      <c r="U367" s="113"/>
      <c r="V367" s="113"/>
    </row>
    <row r="368" spans="21:22" s="9" customFormat="1" ht="17.25">
      <c r="U368" s="113"/>
      <c r="V368" s="113"/>
    </row>
    <row r="369" spans="21:22" s="9" customFormat="1" ht="17.25">
      <c r="U369" s="113"/>
      <c r="V369" s="113"/>
    </row>
    <row r="370" spans="21:22" s="9" customFormat="1" ht="17.25">
      <c r="U370" s="113"/>
      <c r="V370" s="113"/>
    </row>
    <row r="371" spans="21:22" s="9" customFormat="1" ht="17.25">
      <c r="U371" s="113"/>
      <c r="V371" s="113"/>
    </row>
    <row r="372" spans="21:22" s="9" customFormat="1" ht="17.25">
      <c r="U372" s="113"/>
      <c r="V372" s="113"/>
    </row>
    <row r="373" spans="21:22" s="9" customFormat="1" ht="17.25">
      <c r="U373" s="113"/>
      <c r="V373" s="113"/>
    </row>
  </sheetData>
  <sheetProtection/>
  <mergeCells count="81">
    <mergeCell ref="A293:B293"/>
    <mergeCell ref="A278:S278"/>
    <mergeCell ref="A279:S279"/>
    <mergeCell ref="A233:S233"/>
    <mergeCell ref="A254:S254"/>
    <mergeCell ref="A253:S253"/>
    <mergeCell ref="A245:S245"/>
    <mergeCell ref="A246:S246"/>
    <mergeCell ref="A277:S277"/>
    <mergeCell ref="A290:E291"/>
    <mergeCell ref="A232:S232"/>
    <mergeCell ref="A192:S192"/>
    <mergeCell ref="A205:S205"/>
    <mergeCell ref="A218:S218"/>
    <mergeCell ref="A164:S164"/>
    <mergeCell ref="A162:S162"/>
    <mergeCell ref="A190:S190"/>
    <mergeCell ref="A163:S163"/>
    <mergeCell ref="A177:S177"/>
    <mergeCell ref="A32:S32"/>
    <mergeCell ref="A15:S15"/>
    <mergeCell ref="A231:S231"/>
    <mergeCell ref="A217:S217"/>
    <mergeCell ref="A191:S191"/>
    <mergeCell ref="A204:S204"/>
    <mergeCell ref="A85:S85"/>
    <mergeCell ref="A112:S112"/>
    <mergeCell ref="A101:S101"/>
    <mergeCell ref="A178:S178"/>
    <mergeCell ref="A137:S137"/>
    <mergeCell ref="A138:S138"/>
    <mergeCell ref="A60:S60"/>
    <mergeCell ref="A47:S47"/>
    <mergeCell ref="A124:S124"/>
    <mergeCell ref="A125:S125"/>
    <mergeCell ref="A46:S46"/>
    <mergeCell ref="H8:H9"/>
    <mergeCell ref="A84:S84"/>
    <mergeCell ref="A59:S59"/>
    <mergeCell ref="A12:S12"/>
    <mergeCell ref="A14:S14"/>
    <mergeCell ref="I8:J8"/>
    <mergeCell ref="M8:M9"/>
    <mergeCell ref="N8:O8"/>
    <mergeCell ref="R8:S8"/>
    <mergeCell ref="A6:A9"/>
    <mergeCell ref="A294:B294"/>
    <mergeCell ref="H7:L7"/>
    <mergeCell ref="A71:S71"/>
    <mergeCell ref="A33:S33"/>
    <mergeCell ref="A13:D13"/>
    <mergeCell ref="P8:Q8"/>
    <mergeCell ref="K8:L8"/>
    <mergeCell ref="A150:S150"/>
    <mergeCell ref="M7:S7"/>
    <mergeCell ref="T71:T86"/>
    <mergeCell ref="T87:T100"/>
    <mergeCell ref="T101:T114"/>
    <mergeCell ref="T115:T129"/>
    <mergeCell ref="B6:S6"/>
    <mergeCell ref="C4:P4"/>
    <mergeCell ref="B8:B9"/>
    <mergeCell ref="F8:G8"/>
    <mergeCell ref="C8:C9"/>
    <mergeCell ref="D8:E8"/>
    <mergeCell ref="L2:T2"/>
    <mergeCell ref="N1:T1"/>
    <mergeCell ref="T222:T240"/>
    <mergeCell ref="T241:T261"/>
    <mergeCell ref="T130:T145"/>
    <mergeCell ref="T10:T19"/>
    <mergeCell ref="T20:T28"/>
    <mergeCell ref="T29:T41"/>
    <mergeCell ref="T42:T55"/>
    <mergeCell ref="T56:T70"/>
    <mergeCell ref="T262:T291"/>
    <mergeCell ref="T146:T160"/>
    <mergeCell ref="T161:T174"/>
    <mergeCell ref="T175:T188"/>
    <mergeCell ref="T189:T205"/>
    <mergeCell ref="T206:T221"/>
  </mergeCells>
  <printOptions horizontalCentered="1"/>
  <pageMargins left="0.2362204724409449" right="0.2362204724409449" top="0.9448818897637796" bottom="0.7480314960629921" header="0.5905511811023623" footer="0.31496062992125984"/>
  <pageSetup fitToHeight="20" fitToWidth="8" horizontalDpi="600" verticalDpi="600" orientation="landscape" paperSize="9" scale="47" r:id="rId1"/>
  <headerFooter differentFirst="1">
    <oddHeader>&amp;R&amp;16Продовження додатку 3</oddHeader>
  </headerFooter>
  <rowBreaks count="4" manualBreakCount="4">
    <brk id="50" max="21" man="1"/>
    <brk id="67" max="21" man="1"/>
    <brk id="83" max="21" man="1"/>
    <brk id="17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16">
        <v>44930.8</v>
      </c>
      <c r="B1" s="17">
        <v>49314</v>
      </c>
      <c r="C1" s="17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18">
        <v>5744.6</v>
      </c>
      <c r="B2" s="19">
        <v>6071.9</v>
      </c>
      <c r="C2" s="19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5" t="s">
        <v>92</v>
      </c>
      <c r="B1" s="15">
        <v>2016</v>
      </c>
      <c r="C1" s="15">
        <v>2017</v>
      </c>
      <c r="D1" s="15">
        <v>2018</v>
      </c>
      <c r="E1" s="15">
        <v>2019</v>
      </c>
      <c r="G1">
        <v>2017</v>
      </c>
      <c r="H1">
        <v>2018</v>
      </c>
      <c r="I1">
        <v>2019</v>
      </c>
    </row>
    <row r="2" spans="1:5" ht="15">
      <c r="A2" s="15" t="s">
        <v>93</v>
      </c>
      <c r="B2" s="15">
        <v>1416.204</v>
      </c>
      <c r="C2" s="15">
        <f>B2*1.1235</f>
        <v>1591.1051939999998</v>
      </c>
      <c r="D2" s="15">
        <f>C2*1.068</f>
        <v>1699.300347192</v>
      </c>
      <c r="E2" s="15">
        <f>D2*1.052</f>
        <v>1787.663965245984</v>
      </c>
    </row>
    <row r="3" spans="1:9" ht="15">
      <c r="A3" s="15"/>
      <c r="B3" s="15">
        <v>1258.85</v>
      </c>
      <c r="C3" s="15">
        <f>B3*1.1235</f>
        <v>1414.317975</v>
      </c>
      <c r="D3" s="15">
        <f>C3*1.068</f>
        <v>1510.4915973</v>
      </c>
      <c r="E3" s="15">
        <f>D3*1.052</f>
        <v>1589.0371603596</v>
      </c>
      <c r="F3" t="s">
        <v>96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5" t="s">
        <v>94</v>
      </c>
      <c r="B4" s="15">
        <v>2.364</v>
      </c>
      <c r="C4" s="15">
        <f>B4*1.09</f>
        <v>2.57676</v>
      </c>
      <c r="D4" s="15">
        <f>C4*1.068</f>
        <v>2.7519796800000003</v>
      </c>
      <c r="E4" s="15">
        <f>D4*1.052</f>
        <v>2.8950826233600004</v>
      </c>
    </row>
    <row r="5" spans="1:5" ht="15">
      <c r="A5" s="15"/>
      <c r="B5" s="15"/>
      <c r="C5" s="15"/>
      <c r="D5" s="15"/>
      <c r="E5" s="15"/>
    </row>
    <row r="6" spans="1:5" ht="15">
      <c r="A6" s="15" t="s">
        <v>95</v>
      </c>
      <c r="B6" s="15">
        <v>9379.22</v>
      </c>
      <c r="C6" s="15">
        <f>B6*1.14</f>
        <v>10692.310799999997</v>
      </c>
      <c r="D6" s="15">
        <f>C6*1.068</f>
        <v>11419.387934399998</v>
      </c>
      <c r="E6" s="15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2017-08-16T10:38:24Z</cp:lastPrinted>
  <dcterms:created xsi:type="dcterms:W3CDTF">2006-09-16T00:00:00Z</dcterms:created>
  <dcterms:modified xsi:type="dcterms:W3CDTF">2017-08-29T10:44:54Z</dcterms:modified>
  <cp:category/>
  <cp:version/>
  <cp:contentType/>
  <cp:contentStatus/>
</cp:coreProperties>
</file>