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1485" windowWidth="12390" windowHeight="8355" activeTab="0"/>
  </bookViews>
  <sheets>
    <sheet name="дод 4 (в) " sheetId="1" r:id="rId1"/>
  </sheets>
  <definedNames>
    <definedName name="_xlfn.AGGREGATE" hidden="1">#NAME?</definedName>
    <definedName name="_xlnm.Print_Titles" localSheetId="0">'дод 4 (в) '!$16:$16</definedName>
    <definedName name="_xlnm.Print_Area" localSheetId="0">'дод 4 (в) '!$A$1:$N$333</definedName>
  </definedNames>
  <calcPr fullCalcOnLoad="1"/>
</workbook>
</file>

<file path=xl/sharedStrings.xml><?xml version="1.0" encoding="utf-8"?>
<sst xmlns="http://schemas.openxmlformats.org/spreadsheetml/2006/main" count="769" uniqueCount="446">
  <si>
    <t xml:space="preserve">Благоустрій міст, сіл, селищ </t>
  </si>
  <si>
    <t>Інші заходи у сфері електротранспорту</t>
  </si>
  <si>
    <t>0310000</t>
  </si>
  <si>
    <t>0310180</t>
  </si>
  <si>
    <t>0313500</t>
  </si>
  <si>
    <t>0314200</t>
  </si>
  <si>
    <t>Утримання та навчально-тренувальна робота комунальних дитячо-юнацьких спортивних шкіл</t>
  </si>
  <si>
    <t>0315060</t>
  </si>
  <si>
    <t>Благоустрій міст, сіл, селищ</t>
  </si>
  <si>
    <t>0316640</t>
  </si>
  <si>
    <t>Сприяння розвитку малого та середнього підприємництва</t>
  </si>
  <si>
    <t>0317450</t>
  </si>
  <si>
    <t>0317470</t>
  </si>
  <si>
    <t>Заходи у сфері захисту населення і територій від надзвичайних ситуацій техногенного та природного характеру</t>
  </si>
  <si>
    <t>0317820</t>
  </si>
  <si>
    <t>0318600</t>
  </si>
  <si>
    <t>Управління  освіти і науки Сумської міської ради</t>
  </si>
  <si>
    <t>Дошкільна освiта</t>
  </si>
  <si>
    <t>Надання загальної середньої освіти загальноосвітніми навчальними закладами ( в т.ч. школою-дитячим садком, інтернатом при школі), спеціалізованими школами, ліцеями, гімназіями, колегіумами</t>
  </si>
  <si>
    <t>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</si>
  <si>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Надання позашкільної освіти позашкільними закладами освіти, заходи із позашкільної роботи з дітьми</t>
  </si>
  <si>
    <t>Методичне забезпечення діяльності навчальних закладів та інші заходи в галузі освіти</t>
  </si>
  <si>
    <t>Централізоване ведення бухгалтерського обліку</t>
  </si>
  <si>
    <t>Утримання інших закладів освіти</t>
  </si>
  <si>
    <t>1010180</t>
  </si>
  <si>
    <t>1011010</t>
  </si>
  <si>
    <t>1011020</t>
  </si>
  <si>
    <t>1011070</t>
  </si>
  <si>
    <t>1011090</t>
  </si>
  <si>
    <t>1011170</t>
  </si>
  <si>
    <t>1011190</t>
  </si>
  <si>
    <t>1011210</t>
  </si>
  <si>
    <t xml:space="preserve">Відділ охорони здоров’я Сумської міської ради  </t>
  </si>
  <si>
    <t>1410180</t>
  </si>
  <si>
    <t>Багатопрофільна стаціонарна медична допомога населенню</t>
  </si>
  <si>
    <t>1412010</t>
  </si>
  <si>
    <t>Лікарсько-акушерська допомога  вагітним, породіллям та новонародженим</t>
  </si>
  <si>
    <t>1412050</t>
  </si>
  <si>
    <t>Надання стоматологічної допомоги населенню</t>
  </si>
  <si>
    <t>1412140</t>
  </si>
  <si>
    <t>Первинна медична допомога населенню</t>
  </si>
  <si>
    <t>1412180</t>
  </si>
  <si>
    <t>1510000</t>
  </si>
  <si>
    <t>1510180</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</si>
  <si>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</si>
  <si>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2010000</t>
  </si>
  <si>
    <t>Служба у справах дітей Сумської міської ради</t>
  </si>
  <si>
    <t>2010180</t>
  </si>
  <si>
    <t>Відділ культури та туризму Сумської міської ради</t>
  </si>
  <si>
    <t>2410000</t>
  </si>
  <si>
    <t>2410180</t>
  </si>
  <si>
    <t>Бiблiотеки</t>
  </si>
  <si>
    <t>2414060</t>
  </si>
  <si>
    <t>Школи естетичного виховання дiтей</t>
  </si>
  <si>
    <t>2414100</t>
  </si>
  <si>
    <t>2414200</t>
  </si>
  <si>
    <t>Централізований   бухгалтерський та фінансовий облік закладів культури та туризму</t>
  </si>
  <si>
    <t>Департамент інфраструктури міста Сумської міської ради</t>
  </si>
  <si>
    <t>4110000</t>
  </si>
  <si>
    <t>4110180</t>
  </si>
  <si>
    <t>4116020</t>
  </si>
  <si>
    <t>Капітальний ремонт житлового фонду</t>
  </si>
  <si>
    <t>4116021</t>
  </si>
  <si>
    <t>Капітальний ремонт житлового фонду об'єднань співвласників багатоквартирних будинків</t>
  </si>
  <si>
    <t>4116022</t>
  </si>
  <si>
    <t>4116060</t>
  </si>
  <si>
    <t>Заходи з енергозбереження</t>
  </si>
  <si>
    <t>4117470</t>
  </si>
  <si>
    <t>4510180</t>
  </si>
  <si>
    <t>4510000</t>
  </si>
  <si>
    <t>Реалізація заходів щодо інвестиційного розвитку території</t>
  </si>
  <si>
    <t>4517310</t>
  </si>
  <si>
    <t>Управління капітального будівництва та дорожнього господарства Сумської міської ради</t>
  </si>
  <si>
    <t>4710000</t>
  </si>
  <si>
    <t>4716060</t>
  </si>
  <si>
    <t>4716310</t>
  </si>
  <si>
    <t>4810180</t>
  </si>
  <si>
    <t>Управління «Інспекція з благоустрою міста Суми» Сумської міської ради</t>
  </si>
  <si>
    <t>5010180</t>
  </si>
  <si>
    <t>7510000</t>
  </si>
  <si>
    <t>7510180</t>
  </si>
  <si>
    <t xml:space="preserve">Інші субвенції сільському бюджету с. Піщане </t>
  </si>
  <si>
    <t>Виконавчий комітет Сумської міської ради</t>
  </si>
  <si>
    <t>Надання соціальних послуг «Центром реінтеграції бездомних осіб»</t>
  </si>
  <si>
    <t>4717470</t>
  </si>
  <si>
    <t>Впровадження засобів обліку витрат та регулювання споживання води та теплової енергії</t>
  </si>
  <si>
    <t xml:space="preserve">Департамент соціального захисту населення Сумської міської ради </t>
  </si>
  <si>
    <t>Департамент забезпечення ресурсних платежів Сумської міської ради</t>
  </si>
  <si>
    <t>Управління архітектури та містобудування Сумської міської ради</t>
  </si>
  <si>
    <t>Департамент фінансів, економіки та інвестицій Сумської міської ради</t>
  </si>
  <si>
    <t>Департамент фінансів, економіки та інвестицій Сумської міської ради (в частині міжбюджетних трансфертів, резервного фонду)</t>
  </si>
  <si>
    <t>4716420</t>
  </si>
  <si>
    <t>Збереження пам’яток історії та культури</t>
  </si>
  <si>
    <t>4716421</t>
  </si>
  <si>
    <t>4610180</t>
  </si>
  <si>
    <t>Управління державного архітектурно-будівельного контролю Сумської міської ради</t>
  </si>
  <si>
    <t>0180</t>
  </si>
  <si>
    <t>0111</t>
  </si>
  <si>
    <t>Код функціональної класифікації видатків та кредитування бюджету</t>
  </si>
  <si>
    <t>1010</t>
  </si>
  <si>
    <t>0910</t>
  </si>
  <si>
    <t>1020</t>
  </si>
  <si>
    <t>0921</t>
  </si>
  <si>
    <t>1070</t>
  </si>
  <si>
    <t>0922</t>
  </si>
  <si>
    <t>1090</t>
  </si>
  <si>
    <t>0960</t>
  </si>
  <si>
    <t>1170</t>
  </si>
  <si>
    <t>0990</t>
  </si>
  <si>
    <t>1190</t>
  </si>
  <si>
    <t>1210</t>
  </si>
  <si>
    <t>2010</t>
  </si>
  <si>
    <t>0731</t>
  </si>
  <si>
    <t>2050</t>
  </si>
  <si>
    <t>0733</t>
  </si>
  <si>
    <t>2140</t>
  </si>
  <si>
    <t>0722</t>
  </si>
  <si>
    <t>2180</t>
  </si>
  <si>
    <t>0726</t>
  </si>
  <si>
    <t>0610</t>
  </si>
  <si>
    <t>6020</t>
  </si>
  <si>
    <t>6021</t>
  </si>
  <si>
    <t>6022</t>
  </si>
  <si>
    <t>0620</t>
  </si>
  <si>
    <t>6060</t>
  </si>
  <si>
    <t>6100</t>
  </si>
  <si>
    <t>4060</t>
  </si>
  <si>
    <t>0824</t>
  </si>
  <si>
    <t>4100</t>
  </si>
  <si>
    <t>4200</t>
  </si>
  <si>
    <t>0829</t>
  </si>
  <si>
    <t>0810</t>
  </si>
  <si>
    <t>5060</t>
  </si>
  <si>
    <t>6310</t>
  </si>
  <si>
    <t>0490</t>
  </si>
  <si>
    <t>6420</t>
  </si>
  <si>
    <t>6421</t>
  </si>
  <si>
    <t>0421</t>
  </si>
  <si>
    <t>6640</t>
  </si>
  <si>
    <t>0455</t>
  </si>
  <si>
    <t>7410</t>
  </si>
  <si>
    <t>0470</t>
  </si>
  <si>
    <t>7450</t>
  </si>
  <si>
    <t>0411</t>
  </si>
  <si>
    <t>7470</t>
  </si>
  <si>
    <t>7820</t>
  </si>
  <si>
    <t>0220</t>
  </si>
  <si>
    <t>0133</t>
  </si>
  <si>
    <t>8600</t>
  </si>
  <si>
    <t>2417410</t>
  </si>
  <si>
    <t>1517410</t>
  </si>
  <si>
    <t>1417410</t>
  </si>
  <si>
    <t>1017410</t>
  </si>
  <si>
    <t>1040</t>
  </si>
  <si>
    <t>3500</t>
  </si>
  <si>
    <t>7310</t>
  </si>
  <si>
    <t>Код програмної класифікації видатків та кредитування місцевих бюджетів</t>
  </si>
  <si>
    <t>4116100</t>
  </si>
  <si>
    <t xml:space="preserve">Загальний обсяг фінансування будівництва </t>
  </si>
  <si>
    <t>Відсоток завершеності будівництва об’єктів на майбутні роки</t>
  </si>
  <si>
    <t>Всього видатків на завершення будівництва об’єктів на майбутні роки</t>
  </si>
  <si>
    <t>Разом видатків на поточний рік</t>
  </si>
  <si>
    <t>1010000</t>
  </si>
  <si>
    <t>КП Сумської міської ради «Електроавтотранс»</t>
  </si>
  <si>
    <t>1410000</t>
  </si>
  <si>
    <t>КП  «Зеленого будівництва» Сумської міської ради</t>
  </si>
  <si>
    <t>КП  «Спеціалізований комбінат» Сумської міської ради</t>
  </si>
  <si>
    <t>КП ЕЗО «Міськсвітло» Сумської міської ради</t>
  </si>
  <si>
    <t>КП «Міськводоканал» Сумської міської ради</t>
  </si>
  <si>
    <t>КП «Сумикомунінвест»  Сумської міської ради</t>
  </si>
  <si>
    <t>КП «Сумижилкомсервіс» Сумської міської ради</t>
  </si>
  <si>
    <t>КП «Шляхрембуд» Сумської міської ради</t>
  </si>
  <si>
    <t>Назва об’єктів відповідно  до проектно- кошторисної документації тощо</t>
  </si>
  <si>
    <t>1. Будівництво</t>
  </si>
  <si>
    <t>Будівництво кладовища в районі 40-ї підстанції</t>
  </si>
  <si>
    <t>Полігон для складування твердих побутових відходів на території В. Бобрицької сільської ради Краснопільського району (3 черга)</t>
  </si>
  <si>
    <t xml:space="preserve">Добудова шляхопроводу по вул. 20 років Перемоги з реконструкцією дороги від вул. Прокоф'єва до                      вул. Роменської </t>
  </si>
  <si>
    <t>Будівництво глибоководної свердловини на Пришибському водозаборі</t>
  </si>
  <si>
    <t>Будівництво інженерних мереж селища Ганнівка (2 черга)</t>
  </si>
  <si>
    <t>Будівництво зливної каналізації по вул. Прокоф'єва</t>
  </si>
  <si>
    <t>Будівництво каналізацї по вул. Молодіжній</t>
  </si>
  <si>
    <t>Будівництво доріг та ліній освітлення 12 МР</t>
  </si>
  <si>
    <t>Будівництво дитячого садка у 12 МР</t>
  </si>
  <si>
    <t>Будівництво дитячих та спортивних майданчиків</t>
  </si>
  <si>
    <t>Будівництво дитячого майданчика в районі житлового будинку № 21 по вул. Гамалія</t>
  </si>
  <si>
    <t>Будівництво дитячого майданчика за адресою: м. Суми, вул. Родини Линтварьових, 70</t>
  </si>
  <si>
    <t>Будівництво спортивного майданчика за адресою: м. Суми, вул. Зарічна</t>
  </si>
  <si>
    <t>Будівництво спортивного майданчика між центральним корпусом Сумського національного аграрного університету та житловими будинками №154, 154/1</t>
  </si>
  <si>
    <t>Здорова нація - сильна громада - багата Україна</t>
  </si>
  <si>
    <t>Будівництво скверу біля будинку № 81 Б по вул. Ковпака в м. Суми</t>
  </si>
  <si>
    <t>Оновлення шкільного стадіону, будівництво дитячого майданчику на території ЗОШ №5 для забезпечення активного відпочинку й дозвілля, занять спортом мешканців Баранівки та Луки</t>
  </si>
  <si>
    <t>Тато, мама, спорт і я - щаслива, сучасна, українська сім'я</t>
  </si>
  <si>
    <t>3. Реконструкція інших об'єктів</t>
  </si>
  <si>
    <t>2. Реконструкція об'єктів житлового фонду</t>
  </si>
  <si>
    <t>Будівля Реального училища (школа № 4), м.Суми - реконструкція</t>
  </si>
  <si>
    <t>Реконструкція будівлі під дитячий садок в районі Хіммістечка</t>
  </si>
  <si>
    <t>Реконструкція будівлі ССШ № 29 по вул. Заливній, 25</t>
  </si>
  <si>
    <t>Реконструкція будівлі КУ СЗОШ І-ІІІ ступенів № 22 по вул.Ковпака, 57</t>
  </si>
  <si>
    <t>Реконструкція інженерних мереж КУ Піщанська ЗОШ І-ІІ ступенів</t>
  </si>
  <si>
    <t>Реконструкція грального поля по вул. Якіра</t>
  </si>
  <si>
    <t>Реконструкція стадіону «Авангард»</t>
  </si>
  <si>
    <t>Реконструкція водопроводу Д500 мм від Тополянського водозабору до пр. Курський</t>
  </si>
  <si>
    <t>Реконструкція водоводу від Тополянського водозабору до пожежного депо в м. Суми</t>
  </si>
  <si>
    <t>Реконструкція водоводу по пр. Курському від вул. Машинобудівників до вул. Ковпака в м. Суми</t>
  </si>
  <si>
    <t>Реконструкція водоводу по пр. Курському від вул. Ковпака до пр. Курський, 147/4  в м. Суми</t>
  </si>
  <si>
    <t>Реконструкція каналізаційного напірного колектора від діючої камери № 19 по  вул. Д. Коротченко до камери № 31 по вул. Криничній</t>
  </si>
  <si>
    <t>Реконструкція каналізаційного напірного колектора від діючої камери № 31 по  вул. Криничній до міських очисних споруд</t>
  </si>
  <si>
    <t>Реконструкція пішохідної доріжки біля оз. Чеха з влаштуванням лінії освітлення</t>
  </si>
  <si>
    <t>Реконструкція приміщення по вул. Г.Кондратьєва, 165/71 під розміщення КУ «Центр надання соціально - медичних, психологічних послуг учасникам антитерористичної операції та членам іх сімей»</t>
  </si>
  <si>
    <t>Реконструкція водолікувального комплексу по вул. Троїцька, 28</t>
  </si>
  <si>
    <t>Реконструкція дороги по вул. Ковпака</t>
  </si>
  <si>
    <t>Реконструкція дороги від Пришибської площі до  вул. Прокоф'єва</t>
  </si>
  <si>
    <t>Реконструкція Театральної площі</t>
  </si>
  <si>
    <t>Реконструкція контактної мережі по м. Суми</t>
  </si>
  <si>
    <t>Реконструкція будівлі молодіжного центру «Романтика»</t>
  </si>
  <si>
    <t>Реконструкція житлового будинку з влаштуванням пандусу по вул. Івана Сірка, 31</t>
  </si>
  <si>
    <t>Реконструкція житлового будинку з влаштуванням пандусу по вул. Інтернаціоналістів, 25</t>
  </si>
  <si>
    <t>Реконструкція житлового будинку з влаштуванням пандусу по вул. Прокоф"єва, 24Б</t>
  </si>
  <si>
    <t>Спортивний майданчик для дітей та дорослих «Зоряний»</t>
  </si>
  <si>
    <t>Спортивні майданчики для міні-футболу, бадмінтону для дітей та молоді в ДП «Казка»</t>
  </si>
  <si>
    <t>Реконструкція фонтану в дитячому парку «Казка»</t>
  </si>
  <si>
    <t>Реконструкція теплиць КП «Зелене будівництво» Сумської міської ради по вул. Пролетарська,77</t>
  </si>
  <si>
    <t>Реконструкція КУ «Міський центр військово-патріотичного виховання» по вул. Петропавлівська,96</t>
  </si>
  <si>
    <t>Код типової програмної класифікації видатків та кредитування місцевих бюджетів</t>
  </si>
  <si>
    <t>Реставрація будівлі по вул. Петропавлівська, 91</t>
  </si>
  <si>
    <t>5030</t>
  </si>
  <si>
    <t>0315030</t>
  </si>
  <si>
    <t>5031</t>
  </si>
  <si>
    <t>0315031</t>
  </si>
  <si>
    <t>0315061</t>
  </si>
  <si>
    <t>5061</t>
  </si>
  <si>
    <t xml:space="preserve">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 </t>
  </si>
  <si>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</si>
  <si>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Проведення заходів із землеустрою</t>
  </si>
  <si>
    <t>Реконструкція житлового будинку з влаштуванням пандусу по вул. Івана Сірка, 45</t>
  </si>
  <si>
    <t>4116310</t>
  </si>
  <si>
    <t>Реконструкція каналізаційного залізобетонного самотічного колектора Д-1000 мм , який проходить по яру між пров. Степана Тимошенка (пров.Урицького) та вул. Панфілова</t>
  </si>
  <si>
    <t>Будівництво амбулаторії по вул. Добровільна</t>
  </si>
  <si>
    <t>Я люблю Чешку</t>
  </si>
  <si>
    <t>Реконструкція операційного блоку КУ «СМКЛ № 5»</t>
  </si>
  <si>
    <t>Реконструкція приміщень КП «Муніципальний спортивний клуб з хокею на траві «Сумчанка»</t>
  </si>
  <si>
    <t xml:space="preserve">Реконструкція приміщення по вул. Шишкіна, 12 </t>
  </si>
  <si>
    <t>КП "Інфосервіс" Сумської міської ради</t>
  </si>
  <si>
    <t xml:space="preserve">0133 </t>
  </si>
  <si>
    <t>Виконання міської програми «Автоматизація муніципальних телекомунікаційних систем на 2017-2019 роки в м. Суми»</t>
  </si>
  <si>
    <t>4717410</t>
  </si>
  <si>
    <t>Внесено змін +, -</t>
  </si>
  <si>
    <t>Всього видатків з урахуванням змін</t>
  </si>
  <si>
    <t>Керівництво і управління у відповідній сфері у містах, селищах, селах</t>
  </si>
  <si>
    <t>4116420</t>
  </si>
  <si>
    <t>4116421</t>
  </si>
  <si>
    <t>Будівництво дороги по вул. Р.Корсокова                                           (від вул. Серпневої до меж житлового масиву)</t>
  </si>
  <si>
    <t>Будівництво ліній освітлення ХІІ МР</t>
  </si>
  <si>
    <t>Реконструкція нежитлових приміщень по вул. Металургів, 17</t>
  </si>
  <si>
    <t>Реконструкція будівлі комунальної установи  «Сумський дошкільний навчальний заклад № 27 «Світанок» по вул. Червонопрапорна, 23 (ДНЗ № 27) (заміна віконних блоків на енергозберігаючі, дообладнання газової котельні котлом, що працює на поновлюваних джерелах енергії (біомаса))</t>
  </si>
  <si>
    <t>Реконструкція системи опалення з установленням модульної котельні, що працює на поновлюваних джерелах енергії (біомаса) в комунальній установі «Сумська загальноосвітня школа І-ІІІ ступеня № 11 по вул. Шишкіна, 12»</t>
  </si>
  <si>
    <t>Реконструкція басейну ДНЗ № 14 по вул. Прокоф'єва, 15</t>
  </si>
  <si>
    <t>Реконструкція інфекційного відділення КУ  «Сумська міська клінічна лікарня № 4»</t>
  </si>
  <si>
    <t>4817470</t>
  </si>
  <si>
    <t>КП «Архітектура. Будівництво. Контроль» Сумської міської ради</t>
  </si>
  <si>
    <t>Будівництво скверу за адресою: м.Суми, вул. Декабристів, 80 на території ЗОШ № 25</t>
  </si>
  <si>
    <t>Реконструкція спортивного майданчика з влаштуванням штучного покриття на території КУ СЗОШ І-ІІІ ступенів          № 22 по вул. Ковпака, 57</t>
  </si>
  <si>
    <t>4117810</t>
  </si>
  <si>
    <t>7810</t>
  </si>
  <si>
    <t>0320</t>
  </si>
  <si>
    <t>Видатки на запобігання та ліквідацію надзвичайних ситуацій та наслідків стихійного лиха</t>
  </si>
  <si>
    <t>Реконструкція спортивного майданчика з влаштуванням штучного покриття на території КУ СЗОШ І-ІІІ ступенів № 6 по вул. СКД, 7</t>
  </si>
  <si>
    <t>Реконструкція ДНЗ №22 «Джерельце»</t>
  </si>
  <si>
    <t>Реконструкція спортивного майданчика з влаштуванням штучного покриття на території ДНЗ № 22  «Джерельце» по вул. Ковпака, 25</t>
  </si>
  <si>
    <t>Реконструкція спортивного майданчика з влаштуванням штучного покриття на території ДНЗ № 3  «Калинка» по вул. Герасима Кондратьєва, 124</t>
  </si>
  <si>
    <t xml:space="preserve">Утримання та проведення заходів КУ "Сумський міський центр дозвілля молоді" </t>
  </si>
  <si>
    <t>Утримання та проведення заходів КУ «Агенція промоції «Суми»</t>
  </si>
  <si>
    <t>Будівництво дитячого майданчика в районі житлового будинку № 4/1 по вул. Лесі Українки</t>
  </si>
  <si>
    <t>Будівництво дитячого майданчика в районі житлового будинку № 109 по просп. Курському</t>
  </si>
  <si>
    <t>0318370</t>
  </si>
  <si>
    <t>8370</t>
  </si>
  <si>
    <t>Субвенція з місцевого бюджету державному бюджету на виконання програм соціально-економічного та культурного розвитку регіонів</t>
  </si>
  <si>
    <t>Реконструкція системи електрозабезпечення 48-квартирного будинку по вул. Холодногірська,30/1</t>
  </si>
  <si>
    <t>Будівництво тролейбусної лінії по вул. Набережна р. Сумки</t>
  </si>
  <si>
    <t>Будівництво дитячого майданчика за адресою: м.Суми, вул. Заливна 1/2</t>
  </si>
  <si>
    <t>Реконструкція будівлі ДНЗ №2 по вул. Інтернаціоналістів,39</t>
  </si>
  <si>
    <t>Реконструкція каналізаційних мереж з перемиканням КНС №3 на самоплинний колектор по вул. Миргородській до вул. Черкаської</t>
  </si>
  <si>
    <t>Реконструкція лінії освітлення по вул. Виноградна</t>
  </si>
  <si>
    <t>Реконструкція лінії освітлення по вул. Осіння</t>
  </si>
  <si>
    <t>Реконструкція лінії освітлення по вул. Сонячна</t>
  </si>
  <si>
    <t>Реконструкція лінії освітлення віл житлового будинку №81 А по вул. Ковпака до КУ СЗОШ І-ІІІ ступенів №22 по вул. Ковпака, 57</t>
  </si>
  <si>
    <t>Реконструкція будівлі по вул. Герасима Кондратьєва,159</t>
  </si>
  <si>
    <t>4116430</t>
  </si>
  <si>
    <t>6430</t>
  </si>
  <si>
    <t>0443</t>
  </si>
  <si>
    <t>Розробка схем та проетних рішень масового застосування</t>
  </si>
  <si>
    <t>Будівництво скейт-парку в міському парку                                         ім. І.М. Кожедуба</t>
  </si>
  <si>
    <t>Будівництво дитячого майданчика в районі житлового будинку № 11 по вул. Липнянській</t>
  </si>
  <si>
    <t>Будівництво дитячого майданчика в районі житлового будинку № 20 по вул. СКД</t>
  </si>
  <si>
    <t>Будівництво дитячого майданчика в районі житлових будинків № 25, 25а, 27, 27/1 по вул. Прокоф'єва</t>
  </si>
  <si>
    <t>Реконструкція будівлі міжшкільного навчально-виробничого комбінату з влаштуванням туалету по                                     вул. М.Раскової, 72</t>
  </si>
  <si>
    <t>Реконструкція Сумської дитячої художньої школи              ім. М.Г. Лисенка з добудовою класів скульптури по                вул. Псільська, 7 в м. Суми</t>
  </si>
  <si>
    <t>Будівництво дитячого майданчика в районі житлового будинку № 37 по вул.  Холодногірська</t>
  </si>
  <si>
    <t>Будівництво дитячого майданчика в районі житлового будинку № 7 по вул.  Кутузова</t>
  </si>
  <si>
    <t>Будівництво дитячого майданчика в районі житлового будинку № 10 по вул. К. Зеленко</t>
  </si>
  <si>
    <t>Будівництво дитячого майданчика в районі житлового будинку № 26 по вул.  Івана Харитоненка</t>
  </si>
  <si>
    <t>Будівництво дитячого майданчика в районі житлового будинку № 41 по вул. Ковпака</t>
  </si>
  <si>
    <t>Будівництво дитячого майданчика в районі житлового будинку № 133 по просп. Курському</t>
  </si>
  <si>
    <t>Будівництво дитячого майданчика в районі житлового будинку № 17 по вул. Металургів</t>
  </si>
  <si>
    <t>Будівництво дитячого майданчика в районі житлових будинків № 13, 15, 17 по вул. Лермонтова</t>
  </si>
  <si>
    <t>Будівництво дитячого майданчика в районі житлового будинку № 38 по вул. Набережна р. Стрілки</t>
  </si>
  <si>
    <t>Будівництво дитячого майданчика в районі житлового будинку № 20 по вул. Люблінська</t>
  </si>
  <si>
    <t>Будівництво дитячого майданчика в районі житлового будинку № 13 по вул. М. Вовчка</t>
  </si>
  <si>
    <t>Будівництво дитячого майданчика в районі житлового будинку № 19 по вул. М. Вовчка</t>
  </si>
  <si>
    <t>Будівництво спортивного майданчику біля будинку № 81Б по вул. Ковпака</t>
  </si>
  <si>
    <t>Реставрація покрівлі та фасаду житлового будинку по вул.Соборна, 32 в м. Суми</t>
  </si>
  <si>
    <t xml:space="preserve">Виконання міської Програми «Соціальні служби готові прийти на допомогу на 2016-2018 роки» </t>
  </si>
  <si>
    <t>Реставрація споруди  «Альтанка»</t>
  </si>
  <si>
    <t>Будівництво дитячого майданчика в районі житлового будинку № 24 по вул. Гулака Артемовського</t>
  </si>
  <si>
    <t>Будівництво дитячого майданчика в районі житлового будинку № 23/1 по вул. Горького</t>
  </si>
  <si>
    <t>Будівництво дитячого майданчика в районі житлових будинків № 46  та № 48 по вул. Г.Кондратьєва</t>
  </si>
  <si>
    <t>Будівництво дитячого майданчика за адресою: с. Піщане, вул. Вигонопоселенська, буд. 51</t>
  </si>
  <si>
    <t>Будівництво дитячого майданчика за адресою: с. Піщане, вул. Леніна, буд. 9а</t>
  </si>
  <si>
    <t>Будівництво дитячого майданчика по вул. Героїв Сумщини</t>
  </si>
  <si>
    <t>Будівництво дитячого майданчика біля пішохідного мосту в парку ім. Кожедуба</t>
  </si>
  <si>
    <t>Будівництво дитячого майданчика в районі житлового будинку № 48А по вул. Прокоф'єва</t>
  </si>
  <si>
    <t>Будівництво дитячого майданчика в районі житлового будинку № 2/9 по вул. Котляревського</t>
  </si>
  <si>
    <t>Будівництво дитячого майданчика в районі житлового будинку № 3/1 по вул. Котляревського</t>
  </si>
  <si>
    <t>Будівництво дитячого майданчика в районі житлового будинку № 81 по вул. Роменська</t>
  </si>
  <si>
    <t>Будівництво дитячого майданчика в районі житлового будинку № 92/1 по вул. Роменська</t>
  </si>
  <si>
    <t>Будівництво дитячого майданчика в районі житлового будинку № 9 по вул. Зв'язківців</t>
  </si>
  <si>
    <t>Будівництво дитячого майданчику в районі житлового будинку № 1 по вул. Заливна</t>
  </si>
  <si>
    <t>Будівництво дитячого майданчика в районі житлового будинку № 11 по просп. М.Лушпи</t>
  </si>
  <si>
    <t>Будівництво дитячого майданчика в районі житлового будинку № 23 по вул. СКД</t>
  </si>
  <si>
    <t>Будівництво дитячого майданчика в районі житлового будинку № 8 по вул. Івана Сірка</t>
  </si>
  <si>
    <t>Будівництво дитячого майданчика на території ДНЗ № 27 по вул. Баранівська, 23</t>
  </si>
  <si>
    <t>Будівництво дитячого майданчика в районі житлового будинку № 32 по вул. Доватора</t>
  </si>
  <si>
    <t>Будівництво дитячого майданчика в районі житлового будинку № 25 по вул. Реміснича</t>
  </si>
  <si>
    <t>Будівництво дитячого майданчика в районі житлового будинку № 25 по вул. Горького</t>
  </si>
  <si>
    <t>Будівництво дитячого майданчика в районі житлового будинку № 17 по вул. Лермонтова</t>
  </si>
  <si>
    <t>Будівництво дитячого майданчика в районі житлового будинку № 10 по вул. Реміснича</t>
  </si>
  <si>
    <t>Будівництво дитячого майданчика в районі житлового будинку № 28 по вул. Леваневського</t>
  </si>
  <si>
    <t>Будівництво дитячого майданчика в районі житлового будинку № 41 по вул. Троїцька</t>
  </si>
  <si>
    <t>Будівництво дитячого майданчика в районі житлового будинку № 16 по вул. Д.Косаренка</t>
  </si>
  <si>
    <t>Будівництво дитячого майданчика в районі житлового будинку № 9 по вул. Конотопська</t>
  </si>
  <si>
    <t>Будівництво дитячого майданчика в районі житлового будинку № 12 по вул. Іллінська</t>
  </si>
  <si>
    <t>Будівництво дитячого майданчика в районі житлового будинку № 51/1 по вул. Іллінська</t>
  </si>
  <si>
    <t>Будівництво дитячого майданчика по вул. 2-га Замостянська</t>
  </si>
  <si>
    <t>Будівництво дитячого майданчика в районі житлового будинку № 3 по вул. Мірошніченко</t>
  </si>
  <si>
    <t>Будівництво дитячого майданчика в районі житлового будинку № 51 по просп. М.Лушпи</t>
  </si>
  <si>
    <t>Будівництво дитячого майданчика в районі житлового будинку № 39/2 по просп. М.Лушпи</t>
  </si>
  <si>
    <t>Будівництво дитячого майданчика в районі житлового будинку № 44 по вул. Героїв Крут</t>
  </si>
  <si>
    <t>Будівництво дитячого майданчика в районі житлового будинку № 25 по вул. І. Сірка</t>
  </si>
  <si>
    <t>Будівництво дитячого майданчика в районі житлового будинку № 27 по просп. М.Лушпи</t>
  </si>
  <si>
    <t>Будівництво дитячого майданчика в районі житлового будинку № 5 по вул. Миру</t>
  </si>
  <si>
    <t>Будівництво дитячого майданчика в районі житлового будинку № 39, 39/1, 39/2, 45 по вул. Прокоф'єва</t>
  </si>
  <si>
    <t>Будівництво дитячого майданчика в районі житлового будинку № 129 по вул. Петропавлівська</t>
  </si>
  <si>
    <t>Будівництво дитячого майданчика в районі житлового будинку № 4 по вул. Олександра Олеся</t>
  </si>
  <si>
    <t>1011100</t>
  </si>
  <si>
    <t>1100</t>
  </si>
  <si>
    <t>0930</t>
  </si>
  <si>
    <t>Підготовка робітничих кадрів професійно-технічними закладами та іншими закладами освіти</t>
  </si>
  <si>
    <t>Придбання об'єкта монументальної скульптури  «Олімпійця - ходока»</t>
  </si>
  <si>
    <t>Реконструкція аварійного самотічного колектора Д 400 мм по вул. Білопільській шлях від КНС-4 до району Тепличного</t>
  </si>
  <si>
    <t>Реконструкція будівель КУ "Сумська міська клінічна лікарня №5" ( двоповерхова будівля поліклініки, чотирьохповерхова будівля хірургічного корпусу, приміщення інфекційного відділення) з заміною вікон на металопластикові та дверей на металеві з утепленням покрівлі та заміною покрівельного покриття</t>
  </si>
  <si>
    <t>Будівництво спортивних майданчиків зі штучним покриттям на території Сумських шкіл</t>
  </si>
  <si>
    <t>Будівництво дитячого майданчика за адресою: м. Суми, вул. Кругова, 25</t>
  </si>
  <si>
    <t xml:space="preserve">Реконструкція багатофункціонального спортивного майданчика по вул. Новомістенській, 4, м. Суми </t>
  </si>
  <si>
    <t xml:space="preserve">Реконструкція волейбольного майданчику в парку культури та відпочинку імені І.М. Кожедуба, м. Суми </t>
  </si>
  <si>
    <t>КП «Центр догляду за тваринами» Сумської міської ради</t>
  </si>
  <si>
    <t>Реконструкція (термомодернізація) ДНЗ № 8 (ясла-садок) «Космічний»</t>
  </si>
  <si>
    <t>Будівництво дитячого майданчика в районі житлового будинку № 2 по вул. Малиновського</t>
  </si>
  <si>
    <t>Будівництво дитячого майданчика в районі житлового будинку № 5 по вул. Ватутіна</t>
  </si>
  <si>
    <t>Будівництво дитячого майданчика в районі житлового будинку № 21 по вул. Супруна</t>
  </si>
  <si>
    <t>Будівництво дитячого майданчика в районі житлового будинку № 41 по вул. Горького</t>
  </si>
  <si>
    <t>Будівництво дитячого майданчика в районі житлового будинку № 4 по вул. Єрмака</t>
  </si>
  <si>
    <t>Будівництво дитячого майданчика в районі житлового будинку № 2/5 по вул. Котляревського</t>
  </si>
  <si>
    <t>Реконструкція будівлі по вул. Герасима Кондратьєва, 79 з благоустроєм прилеглої території</t>
  </si>
  <si>
    <t>Будівництво дитячого майданчику біля будинку № 81Б по вул. Ковпака</t>
  </si>
  <si>
    <t>Будівництво дитячого майданчика біля будинку № 22, с/г технікум</t>
  </si>
  <si>
    <t>0318800</t>
  </si>
  <si>
    <t xml:space="preserve">Виконання міської цільової "Програми з військово-патріотичного виховання молоді, сприяння організації призову громадян на строкову військову службу до Збройних Сил України та військовим формуванням, розташованим на території міста Суми, у проведенні заходів з оборони та мобілізації на 2017 рік" </t>
  </si>
  <si>
    <t>Інші субвенції Краснопільському районному бюджету</t>
  </si>
  <si>
    <t xml:space="preserve">Реконструкція багатофункціонального спортивного майданчика по вул. Засумській на території комунальної установи Сумська гімназія №1, м. Суми Сумської області  </t>
  </si>
  <si>
    <t>Будівництво дитячого майданчика в районі житлового будинку № 53 по вул. Ковпака</t>
  </si>
  <si>
    <t>Будівництво дитячого майданчика в районі житлового будинку № 14 по вул. Ковпака</t>
  </si>
  <si>
    <t>Будівництво дитячого майданчика в районі житлового будинку № 37 по вул. Р.Атаманюка</t>
  </si>
  <si>
    <t>Будівництво дитячого майданчика в районі житлового будинку № 125 по просп. Курська</t>
  </si>
  <si>
    <t>Будівництво дитячого майданчика на території ДНЗ № 6  «Метелик» по вул. Харківська, 10</t>
  </si>
  <si>
    <t>Реконструкція каналізаційного залізобетонного самотічного колектора Д-600-1000 мм , який проходить по вул. Пушкіна, Садова, Засумська та Ярослава Мудрого (Пролетарська) до КНС-2 від вул. Степана Бандери (Баумана)  до вул. Лугової</t>
  </si>
  <si>
    <t>Будівництво спортивного майданчика з благоустроєм прилеглої території по вул. Інтернаціоналістів, 6 м.Суми</t>
  </si>
  <si>
    <t>Реконструкція спортивного майданчику біля будинку № 12 по вул. Шишкіна в м. Суми Сумська міська рада</t>
  </si>
  <si>
    <t>Реконструкція полігону для складування твердих побутових відходів на території В.Бобрицької сільської ради Краснопільського району Сумської області</t>
  </si>
  <si>
    <t>Реконструкція покрівлі будівлі по вул. Покровська, 9</t>
  </si>
  <si>
    <t>Будівництво спортивного майданчика в районі житлового будинку № 31 по вул. Ковпака</t>
  </si>
  <si>
    <t>Будівництво спортивного майданчика на території школи № 22 по вул. Ковпака, 57</t>
  </si>
  <si>
    <t>Будівництво дитячого майданчика в районі житлових будинків №19, №19/2 по вул. Охтирській</t>
  </si>
  <si>
    <t>Будівництво дитячого майданчика в районі житлового будинку №25/2 по вул. Прокоф'єва</t>
  </si>
  <si>
    <t>Будівництво спортивного майданчика на території НВК №41  «Райдуга» по вул. Л.Бикова, 9</t>
  </si>
  <si>
    <t>Реконструкція спортивного майданчика з влаштуванням штучного покриття на території КУ «Сумська СШ № 9» по вул. Даргомижського, 3</t>
  </si>
  <si>
    <t>Реконструкція житлового будинку з влаштуванням пандусу по вул. Харківська, 1/1 (4-й підїзд)</t>
  </si>
  <si>
    <t>Реконструкція будівлі по вул. Першотравнева, 12</t>
  </si>
  <si>
    <t>Інші субвенції обласному бюджету Сумської області на виконання «Програми економічного і соціального розвитку м. Суми на 2017 рік»</t>
  </si>
  <si>
    <t xml:space="preserve">Виконання міської програми «Відкритий інформаційний простір м. Суми» на 2016-2018 роки» </t>
  </si>
  <si>
    <t>Виконання міської програми «Фізична культура і спорт міста Суми на 2016-2018 роки»</t>
  </si>
  <si>
    <t>Будівництво спортивного майданчика на території школи № 20 по вул. Металургів,71</t>
  </si>
  <si>
    <t>Будівництво дитячого майданчика в районі житлових будинків  № 39/1 - 43 по вул. Прокоф'єва</t>
  </si>
  <si>
    <t>Будівництво пішохідного містка в дитячому парку  «Казка»</t>
  </si>
  <si>
    <t>Будівництво спортивного майданчика в районі житлового будинку № 116 по вул. Герасима Кондратьєва</t>
  </si>
  <si>
    <t>Будівництво дитячого майданчика в районі житлового будинку № 58Б по вул. Харківська</t>
  </si>
  <si>
    <t>Будівництво спортивного майданчика в районі житлового будинку № 58А по вул. Харківська</t>
  </si>
  <si>
    <t>Будівнитво дитячого майданчика в районі житлового будинку № 1 по вул. Новомістенська</t>
  </si>
  <si>
    <t>Будівнитво дитячого майданчика в районі житлового будинку № 1/2 по вул. Новомістенська</t>
  </si>
  <si>
    <t>Будівництво дитячого майданчика в районі житлового будинку № 12Г по вул. Засумська</t>
  </si>
  <si>
    <t>Будівництво дитячого майданчика в районі житлового будинку № 35 по вул. Данила Галицького</t>
  </si>
  <si>
    <t>Будівництво дитячого майданчика в районі житлового будинку № 1 по вул. СКД</t>
  </si>
  <si>
    <t>Будівництво дитячого майданчика на перехресті вул. Римського-Корсакова та вул. Володимирської</t>
  </si>
  <si>
    <t>Реконструкція волейбольного майданчика в парку культури і відпочинку ім. І.М. Кожедуба</t>
  </si>
  <si>
    <t xml:space="preserve">Надання послуг КУ «Центр надання соціальних, медичних та психологічних послуг учасникам бойових дій, учасникам антитерористичної операції та членам їх сімей» </t>
  </si>
  <si>
    <t>Інша субвенція Сумському районному бюджету</t>
  </si>
  <si>
    <t>Реконструкція будівлі КУ Сумський НВК № 16 з облаштуванням ліфту</t>
  </si>
  <si>
    <t>Інші видатки, в т.ч.:</t>
  </si>
  <si>
    <t>Iншi культурно-освiтнi заклади та заходи, в т.ч.:</t>
  </si>
  <si>
    <t>Розвиток дитячо-юнацького та резервного спорту, в т.ч.:</t>
  </si>
  <si>
    <t>Інші заходи з розвитку фізичної культури та спорту, в т.ч.:</t>
  </si>
  <si>
    <t>Внески до статутного капіталу суб’єктів господарювання, в т.ч.:</t>
  </si>
  <si>
    <t>Інші субвенції, в т.ч.:</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</si>
  <si>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 в т.ч.:</t>
  </si>
  <si>
    <t>Надання соціальних та реабілітаційних послуг громадянам похилого віку, інвалідам, дітям-інвалідам в установах соціального обслуговування, в т.ч.:</t>
  </si>
  <si>
    <t>Інші установи та заклади, в т.ч.:</t>
  </si>
  <si>
    <t>Капітальний ремонт об’єктів житлового господарства, в т.ч.:</t>
  </si>
  <si>
    <t>Будівництво скейт-парку в міському парку  ім. І.М. Кожедуба</t>
  </si>
  <si>
    <t>Збереження, розвиток, реконструкція та реставрація пам’яток історії та культури, в т.ч.:</t>
  </si>
  <si>
    <t xml:space="preserve">Добудова шляхопроводу по вул. 20 років Перемоги з реконструкцією дороги від вул. Прокоф'єва до вул. Роменської </t>
  </si>
  <si>
    <t>Будівництво дороги по вул. Р.Корсокова (від вул. Серпневої до меж житлового масиву)</t>
  </si>
  <si>
    <t>Реконструкція Сумської дитячої художньої школи ім. М.Г. Лисенка з добудовою класів скульптури по вул. Псільська, 7 в м. Суми</t>
  </si>
  <si>
    <t>Реконструкція будівлі міжшкільного навчально-виробничого комбінату з влаштуванням туалету по вул. М.Раскової, 72</t>
  </si>
  <si>
    <t>Найменування головного розпорядника, відповідального виконавця, бюджетної програми або напряму видатків згідно з типовою відомчою/ТПКВКМБ /ТКВКБМС</t>
  </si>
  <si>
    <t>Всього за рахунок коштів бюджету розвитку міського бюджету:</t>
  </si>
  <si>
    <t>Видатки передбачені на проведення природоохоронних заходів:</t>
  </si>
  <si>
    <t>Утримання та розвиток інфраструктури доріг  (головний розпорядник бюджетних коштів - управління капітального будівництва та дорожнього господарства Сумської міської ради), в т.ч.:</t>
  </si>
  <si>
    <t>тис.грн.</t>
  </si>
  <si>
    <t>Перелік об'єктів, видатки на які у 2017 році</t>
  </si>
  <si>
    <t>будуть проводитися за рахунок коштів бюджету розвитку та інших коштів міського бюджету</t>
  </si>
  <si>
    <t>до рішення виконавчого комітету</t>
  </si>
  <si>
    <t xml:space="preserve">                   Додаток </t>
  </si>
  <si>
    <t>В.о. директора департаменту фінансів, економіки та інвестицій</t>
  </si>
  <si>
    <t>Л.І. Співакова</t>
  </si>
  <si>
    <t>Реконструкція спортивного майданчика з влаштуванням штучного покриття на території КУ СЗОШ І-ІІІ ступенів № 22 по вул. Ковпака, 57</t>
  </si>
  <si>
    <t>Сумської міської ради</t>
  </si>
  <si>
    <t xml:space="preserve">від 15.08.2017    № 451   </t>
  </si>
</sst>
</file>

<file path=xl/styles.xml><?xml version="1.0" encoding="utf-8"?>
<styleSheet xmlns="http://schemas.openxmlformats.org/spreadsheetml/2006/main">
  <numFmts count="5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 #,##0;* \-#,##0;* &quot;-&quot;;@"/>
    <numFmt numFmtId="189" formatCode="* #,##0.00;* \-#,##0.00;* &quot;-&quot;??;@"/>
    <numFmt numFmtId="190" formatCode="* _-#,##0&quot;р.&quot;;* \-#,##0&quot;р.&quot;;* _-&quot;-&quot;&quot;р.&quot;;@"/>
    <numFmt numFmtId="191" formatCode="* _-#,##0.00&quot;р.&quot;;* \-#,##0.00&quot;р.&quot;;* _-&quot;-&quot;??&quot;р.&quot;;@"/>
    <numFmt numFmtId="192" formatCode="#,##0.0"/>
    <numFmt numFmtId="193" formatCode="#,##0_ ;[Red]\-#,##0\ "/>
    <numFmt numFmtId="194" formatCode="#,##0.0_ ;[Red]\-#,##0.0\ "/>
    <numFmt numFmtId="195" formatCode="0.0"/>
    <numFmt numFmtId="196" formatCode="0.0000"/>
    <numFmt numFmtId="197" formatCode="#,##0.0000"/>
    <numFmt numFmtId="198" formatCode="00000000000"/>
    <numFmt numFmtId="199" formatCode="&quot;Так&quot;;&quot;Так&quot;;&quot;Ні&quot;"/>
    <numFmt numFmtId="200" formatCode="&quot;Істина&quot;;&quot;Істина&quot;;&quot;Хибність&quot;"/>
    <numFmt numFmtId="201" formatCode="&quot;Увімк&quot;;&quot;Увімк&quot;;&quot;Вимк&quot;"/>
    <numFmt numFmtId="202" formatCode="[$-FC19]d\ mmmm\ yyyy\ &quot;г.&quot;"/>
    <numFmt numFmtId="203" formatCode="&quot;True&quot;;&quot;True&quot;;&quot;False&quot;"/>
    <numFmt numFmtId="204" formatCode="[$¥€-2]\ ###,000_);[Red]\([$€-2]\ ###,000\)"/>
    <numFmt numFmtId="205" formatCode="#,##0.000"/>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FC19]d\ mmmm\ yyyy\ \г\."/>
  </numFmts>
  <fonts count="57">
    <font>
      <sz val="10"/>
      <name val="Times New Roman"/>
      <family val="0"/>
    </font>
    <font>
      <b/>
      <sz val="10"/>
      <name val="Arial"/>
      <family val="0"/>
    </font>
    <font>
      <i/>
      <sz val="10"/>
      <name val="Arial"/>
      <family val="0"/>
    </font>
    <font>
      <b/>
      <i/>
      <sz val="10"/>
      <name val="Arial"/>
      <family val="0"/>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sz val="10"/>
      <name val="Helv"/>
      <family val="0"/>
    </font>
    <font>
      <sz val="10"/>
      <name val="Arial Cyr"/>
      <family val="0"/>
    </font>
    <font>
      <u val="single"/>
      <sz val="10"/>
      <color indexed="12"/>
      <name val="Arial"/>
      <family val="2"/>
    </font>
    <font>
      <sz val="10"/>
      <name val="Courier New"/>
      <family val="3"/>
    </font>
    <font>
      <u val="single"/>
      <sz val="10"/>
      <color indexed="36"/>
      <name val="Arial"/>
      <family val="2"/>
    </font>
    <font>
      <sz val="10"/>
      <color indexed="8"/>
      <name val="Arial"/>
      <family val="2"/>
    </font>
    <font>
      <sz val="22"/>
      <color indexed="8"/>
      <name val="Times New Roman"/>
      <family val="1"/>
    </font>
    <font>
      <b/>
      <sz val="22"/>
      <color indexed="8"/>
      <name val="Times New Roman"/>
      <family val="1"/>
    </font>
    <font>
      <sz val="8"/>
      <name val="Times New Roman"/>
      <family val="1"/>
    </font>
    <font>
      <b/>
      <sz val="22"/>
      <name val="Times New Roman"/>
      <family val="1"/>
    </font>
    <font>
      <sz val="16"/>
      <name val="Times New Roman"/>
      <family val="1"/>
    </font>
    <font>
      <sz val="16"/>
      <color indexed="8"/>
      <name val="Times New Roman"/>
      <family val="1"/>
    </font>
    <font>
      <b/>
      <sz val="16"/>
      <name val="Times New Roman"/>
      <family val="1"/>
    </font>
    <font>
      <i/>
      <sz val="16"/>
      <name val="Times New Roman"/>
      <family val="1"/>
    </font>
    <font>
      <b/>
      <sz val="16"/>
      <color indexed="8"/>
      <name val="Times New Roman"/>
      <family val="1"/>
    </font>
    <font>
      <sz val="22"/>
      <name val="Times New Roman"/>
      <family val="1"/>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1"/>
      <color indexed="10"/>
      <name val="Calibri"/>
      <family val="2"/>
    </font>
    <font>
      <sz val="11"/>
      <color indexed="19"/>
      <name val="Calibri"/>
      <family val="2"/>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9C6500"/>
      <name val="Calibri"/>
      <family val="2"/>
    </font>
    <font>
      <sz val="11"/>
      <color rgb="FFFF0000"/>
      <name val="Calibri"/>
      <family val="2"/>
    </font>
    <font>
      <i/>
      <sz val="11"/>
      <color rgb="FF7F7F7F"/>
      <name val="Calibri"/>
      <family val="2"/>
    </font>
  </fonts>
  <fills count="5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22"/>
        <bgColor indexed="64"/>
      </patternFill>
    </fill>
    <fill>
      <patternFill patternType="solid">
        <fgColor rgb="FFC6EFCE"/>
        <bgColor indexed="64"/>
      </patternFill>
    </fill>
    <fill>
      <patternFill patternType="solid">
        <fgColor rgb="FFA5A5A5"/>
        <bgColor indexed="64"/>
      </patternFill>
    </fill>
    <fill>
      <patternFill patternType="solid">
        <fgColor indexed="55"/>
        <bgColor indexed="64"/>
      </patternFill>
    </fill>
    <fill>
      <patternFill patternType="solid">
        <fgColor indexed="43"/>
        <bgColor indexed="64"/>
      </patternFill>
    </fill>
    <fill>
      <patternFill patternType="solid">
        <fgColor rgb="FFF2F2F2"/>
        <bgColor indexed="64"/>
      </patternFill>
    </fill>
    <fill>
      <patternFill patternType="solid">
        <fgColor rgb="FFFFC7CE"/>
        <bgColor indexed="64"/>
      </patternFill>
    </fill>
    <fill>
      <patternFill patternType="solid">
        <fgColor indexed="26"/>
        <bgColor indexed="64"/>
      </patternFill>
    </fill>
    <fill>
      <patternFill patternType="solid">
        <fgColor rgb="FFFFFFCC"/>
        <bgColor indexed="64"/>
      </patternFill>
    </fill>
    <fill>
      <patternFill patternType="solid">
        <fgColor rgb="FFFFEB9C"/>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style="thin"/>
      <right style="thin"/>
      <top>
        <color indexed="63"/>
      </top>
      <bottom style="thin"/>
    </border>
  </borders>
  <cellStyleXfs count="1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5" borderId="0" applyNumberFormat="0" applyBorder="0" applyAlignment="0" applyProtection="0"/>
    <xf numFmtId="0" fontId="13" fillId="14" borderId="0" applyNumberFormat="0" applyBorder="0" applyAlignment="0" applyProtection="0"/>
    <xf numFmtId="0" fontId="13"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12" fillId="2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25"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32" borderId="0" applyNumberFormat="0" applyBorder="0" applyAlignment="0" applyProtection="0"/>
    <xf numFmtId="0" fontId="41" fillId="33" borderId="0" applyNumberFormat="0" applyBorder="0" applyAlignment="0" applyProtection="0"/>
    <xf numFmtId="0" fontId="19" fillId="0" borderId="0">
      <alignment/>
      <protection/>
    </xf>
    <xf numFmtId="0" fontId="12" fillId="34" borderId="0" applyNumberFormat="0" applyBorder="0" applyAlignment="0" applyProtection="0"/>
    <xf numFmtId="0" fontId="12" fillId="35" borderId="0" applyNumberFormat="0" applyBorder="0" applyAlignment="0" applyProtection="0"/>
    <xf numFmtId="0" fontId="12" fillId="36" borderId="0" applyNumberFormat="0" applyBorder="0" applyAlignment="0" applyProtection="0"/>
    <xf numFmtId="0" fontId="12" fillId="25" borderId="0" applyNumberFormat="0" applyBorder="0" applyAlignment="0" applyProtection="0"/>
    <xf numFmtId="0" fontId="12" fillId="26" borderId="0" applyNumberFormat="0" applyBorder="0" applyAlignment="0" applyProtection="0"/>
    <xf numFmtId="0" fontId="12" fillId="37" borderId="0" applyNumberFormat="0" applyBorder="0" applyAlignment="0" applyProtection="0"/>
    <xf numFmtId="0" fontId="41" fillId="38" borderId="0" applyNumberFormat="0" applyBorder="0" applyAlignment="0" applyProtection="0"/>
    <xf numFmtId="0" fontId="41" fillId="39" borderId="0" applyNumberFormat="0" applyBorder="0" applyAlignment="0" applyProtection="0"/>
    <xf numFmtId="0" fontId="41" fillId="40" borderId="0" applyNumberFormat="0" applyBorder="0" applyAlignment="0" applyProtection="0"/>
    <xf numFmtId="0" fontId="41" fillId="41" borderId="0" applyNumberFormat="0" applyBorder="0" applyAlignment="0" applyProtection="0"/>
    <xf numFmtId="0" fontId="41" fillId="42" borderId="0" applyNumberFormat="0" applyBorder="0" applyAlignment="0" applyProtection="0"/>
    <xf numFmtId="0" fontId="41" fillId="43" borderId="0" applyNumberFormat="0" applyBorder="0" applyAlignment="0" applyProtection="0"/>
    <xf numFmtId="0" fontId="42" fillId="44" borderId="1" applyNumberFormat="0" applyAlignment="0" applyProtection="0"/>
    <xf numFmtId="0" fontId="6" fillId="7" borderId="2" applyNumberFormat="0" applyAlignment="0" applyProtection="0"/>
    <xf numFmtId="0" fontId="7" fillId="45" borderId="3" applyNumberFormat="0" applyAlignment="0" applyProtection="0"/>
    <xf numFmtId="0" fontId="14" fillId="45" borderId="2" applyNumberFormat="0" applyAlignment="0" applyProtection="0"/>
    <xf numFmtId="0" fontId="20" fillId="0" borderId="0" applyNumberFormat="0" applyFill="0" applyBorder="0" applyAlignment="0" applyProtection="0"/>
    <xf numFmtId="189" fontId="1" fillId="0" borderId="0" applyFont="0" applyFill="0" applyBorder="0" applyAlignment="0" applyProtection="0"/>
    <xf numFmtId="188" fontId="1" fillId="0" borderId="0" applyFont="0" applyFill="0" applyBorder="0" applyAlignment="0" applyProtection="0"/>
    <xf numFmtId="0" fontId="43" fillId="46" borderId="0" applyNumberFormat="0" applyBorder="0" applyAlignment="0" applyProtection="0"/>
    <xf numFmtId="0" fontId="44" fillId="0" borderId="4" applyNumberFormat="0" applyFill="0" applyAlignment="0" applyProtection="0"/>
    <xf numFmtId="0" fontId="45" fillId="0" borderId="5" applyNumberFormat="0" applyFill="0" applyAlignment="0" applyProtection="0"/>
    <xf numFmtId="0" fontId="46" fillId="0" borderId="6" applyNumberFormat="0" applyFill="0" applyAlignment="0" applyProtection="0"/>
    <xf numFmtId="0" fontId="46" fillId="0" borderId="0" applyNumberFormat="0" applyFill="0" applyBorder="0" applyAlignment="0" applyProtection="0"/>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19" fillId="0" borderId="0">
      <alignment/>
      <protection/>
    </xf>
    <xf numFmtId="0" fontId="21" fillId="0" borderId="0">
      <alignment/>
      <protection/>
    </xf>
    <xf numFmtId="0" fontId="19" fillId="0" borderId="0">
      <alignment/>
      <protection/>
    </xf>
    <xf numFmtId="0" fontId="19"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3" fillId="0" borderId="0">
      <alignment vertical="top"/>
      <protection/>
    </xf>
    <xf numFmtId="0" fontId="47" fillId="0" borderId="7" applyNumberFormat="0" applyFill="0" applyAlignment="0" applyProtection="0"/>
    <xf numFmtId="0" fontId="11" fillId="0" borderId="8" applyNumberFormat="0" applyFill="0" applyAlignment="0" applyProtection="0"/>
    <xf numFmtId="0" fontId="48" fillId="47" borderId="9" applyNumberFormat="0" applyAlignment="0" applyProtection="0"/>
    <xf numFmtId="0" fontId="9" fillId="48" borderId="10" applyNumberFormat="0" applyAlignment="0" applyProtection="0"/>
    <xf numFmtId="0" fontId="49" fillId="0" borderId="0" applyNumberFormat="0" applyFill="0" applyBorder="0" applyAlignment="0" applyProtection="0"/>
    <xf numFmtId="0" fontId="15" fillId="0" borderId="0" applyNumberFormat="0" applyFill="0" applyBorder="0" applyAlignment="0" applyProtection="0"/>
    <xf numFmtId="0" fontId="16" fillId="49" borderId="0" applyNumberFormat="0" applyBorder="0" applyAlignment="0" applyProtection="0"/>
    <xf numFmtId="0" fontId="50" fillId="50" borderId="1" applyNumberFormat="0" applyAlignment="0" applyProtection="0"/>
    <xf numFmtId="0" fontId="19" fillId="0" borderId="0">
      <alignment/>
      <protection/>
    </xf>
    <xf numFmtId="0" fontId="22" fillId="0" borderId="0" applyNumberFormat="0" applyFill="0" applyBorder="0" applyAlignment="0" applyProtection="0"/>
    <xf numFmtId="0" fontId="51" fillId="0" borderId="11" applyNumberFormat="0" applyFill="0" applyAlignment="0" applyProtection="0"/>
    <xf numFmtId="0" fontId="5" fillId="3" borderId="0" applyNumberFormat="0" applyBorder="0" applyAlignment="0" applyProtection="0"/>
    <xf numFmtId="0" fontId="52" fillId="51" borderId="0" applyNumberFormat="0" applyBorder="0" applyAlignment="0" applyProtection="0"/>
    <xf numFmtId="0" fontId="10" fillId="0" borderId="0" applyNumberFormat="0" applyFill="0" applyBorder="0" applyAlignment="0" applyProtection="0"/>
    <xf numFmtId="0" fontId="13" fillId="52" borderId="12" applyNumberFormat="0" applyFont="0" applyAlignment="0" applyProtection="0"/>
    <xf numFmtId="0" fontId="0" fillId="53" borderId="13" applyNumberFormat="0" applyFont="0" applyAlignment="0" applyProtection="0"/>
    <xf numFmtId="191" fontId="1" fillId="0" borderId="0" applyFont="0" applyFill="0" applyBorder="0" applyAlignment="0" applyProtection="0"/>
    <xf numFmtId="0" fontId="53" fillId="50" borderId="14" applyNumberFormat="0" applyAlignment="0" applyProtection="0"/>
    <xf numFmtId="0" fontId="17" fillId="0" borderId="15" applyNumberFormat="0" applyFill="0" applyAlignment="0" applyProtection="0"/>
    <xf numFmtId="0" fontId="54" fillId="54" borderId="0" applyNumberFormat="0" applyBorder="0" applyAlignment="0" applyProtection="0"/>
    <xf numFmtId="0" fontId="18" fillId="0" borderId="0">
      <alignment/>
      <protection/>
    </xf>
    <xf numFmtId="0" fontId="55" fillId="0" borderId="0" applyNumberFormat="0" applyFill="0" applyBorder="0" applyAlignment="0" applyProtection="0"/>
    <xf numFmtId="0" fontId="56" fillId="0" borderId="0" applyNumberFormat="0" applyFill="0" applyBorder="0" applyAlignment="0" applyProtection="0"/>
    <xf numFmtId="0" fontId="8" fillId="0" borderId="0" applyNumberFormat="0" applyFill="0" applyBorder="0" applyAlignment="0" applyProtection="0"/>
    <xf numFmtId="190" fontId="1" fillId="0" borderId="0" applyFont="0" applyFill="0" applyBorder="0" applyAlignment="0" applyProtection="0"/>
    <xf numFmtId="9" fontId="1" fillId="0" borderId="0" applyFont="0" applyFill="0" applyBorder="0" applyAlignment="0" applyProtection="0"/>
    <xf numFmtId="0" fontId="4" fillId="4" borderId="0" applyNumberFormat="0" applyBorder="0" applyAlignment="0" applyProtection="0"/>
  </cellStyleXfs>
  <cellXfs count="117">
    <xf numFmtId="0" fontId="0" fillId="0" borderId="0" xfId="0" applyAlignment="1">
      <alignment/>
    </xf>
    <xf numFmtId="4" fontId="31" fillId="0" borderId="16" xfId="95" applyNumberFormat="1" applyFont="1" applyFill="1" applyBorder="1" applyAlignment="1">
      <alignment vertical="center"/>
      <protection/>
    </xf>
    <xf numFmtId="4" fontId="28" fillId="0" borderId="16" xfId="95" applyNumberFormat="1" applyFont="1" applyFill="1" applyBorder="1" applyAlignment="1">
      <alignment vertical="center"/>
      <protection/>
    </xf>
    <xf numFmtId="192" fontId="28" fillId="0" borderId="16" xfId="0" applyNumberFormat="1" applyFont="1" applyFill="1" applyBorder="1" applyAlignment="1">
      <alignment vertical="center"/>
    </xf>
    <xf numFmtId="0" fontId="28" fillId="0" borderId="0" xfId="0" applyNumberFormat="1" applyFont="1" applyFill="1" applyAlignment="1" applyProtection="1">
      <alignment horizontal="center"/>
      <protection/>
    </xf>
    <xf numFmtId="0" fontId="28" fillId="0" borderId="0" xfId="0" applyNumberFormat="1" applyFont="1" applyFill="1" applyAlignment="1" applyProtection="1">
      <alignment/>
      <protection/>
    </xf>
    <xf numFmtId="0" fontId="33" fillId="0" borderId="0" xfId="0" applyNumberFormat="1" applyFont="1" applyFill="1" applyAlignment="1" applyProtection="1">
      <alignment horizontal="left"/>
      <protection/>
    </xf>
    <xf numFmtId="0" fontId="28" fillId="0" borderId="0" xfId="0" applyFont="1" applyFill="1" applyBorder="1" applyAlignment="1">
      <alignment/>
    </xf>
    <xf numFmtId="0" fontId="28" fillId="0" borderId="0" xfId="0" applyFont="1" applyFill="1" applyAlignment="1">
      <alignment/>
    </xf>
    <xf numFmtId="0" fontId="24" fillId="0" borderId="0" xfId="0" applyNumberFormat="1" applyFont="1" applyFill="1" applyAlignment="1" applyProtection="1">
      <alignment horizontal="left"/>
      <protection/>
    </xf>
    <xf numFmtId="0" fontId="33" fillId="0" borderId="0" xfId="0" applyFont="1" applyFill="1" applyBorder="1" applyAlignment="1">
      <alignment horizontal="left" vertical="center" textRotation="180"/>
    </xf>
    <xf numFmtId="0" fontId="28" fillId="0" borderId="0" xfId="0" applyFont="1" applyFill="1" applyBorder="1" applyAlignment="1">
      <alignment vertical="center" textRotation="180"/>
    </xf>
    <xf numFmtId="0" fontId="28" fillId="0" borderId="0" xfId="0" applyFont="1" applyFill="1" applyBorder="1" applyAlignment="1">
      <alignment horizontal="left" vertical="center"/>
    </xf>
    <xf numFmtId="0" fontId="28" fillId="0" borderId="0" xfId="0" applyFont="1" applyFill="1" applyBorder="1" applyAlignment="1">
      <alignment vertical="center"/>
    </xf>
    <xf numFmtId="0" fontId="28" fillId="0" borderId="0" xfId="0" applyFont="1" applyFill="1" applyAlignment="1">
      <alignment/>
    </xf>
    <xf numFmtId="0" fontId="28" fillId="0" borderId="0" xfId="0" applyFont="1" applyFill="1" applyBorder="1" applyAlignment="1">
      <alignment horizontal="left" vertical="center" wrapText="1"/>
    </xf>
    <xf numFmtId="0" fontId="27" fillId="0" borderId="0" xfId="0" applyFont="1" applyFill="1" applyBorder="1" applyAlignment="1">
      <alignment vertical="center" textRotation="180"/>
    </xf>
    <xf numFmtId="0" fontId="27" fillId="0" borderId="0" xfId="0" applyFont="1" applyFill="1" applyBorder="1" applyAlignment="1">
      <alignment horizontal="left" vertical="center"/>
    </xf>
    <xf numFmtId="0" fontId="27" fillId="0" borderId="0" xfId="0" applyFont="1" applyFill="1" applyBorder="1" applyAlignment="1">
      <alignment/>
    </xf>
    <xf numFmtId="0" fontId="27" fillId="0" borderId="0" xfId="0" applyFont="1" applyFill="1" applyAlignment="1">
      <alignment/>
    </xf>
    <xf numFmtId="0" fontId="27" fillId="0" borderId="0" xfId="0" applyNumberFormat="1" applyFont="1" applyFill="1" applyAlignment="1" applyProtection="1">
      <alignment horizontal="center"/>
      <protection/>
    </xf>
    <xf numFmtId="0" fontId="28" fillId="0" borderId="0" xfId="0" applyNumberFormat="1" applyFont="1" applyFill="1" applyAlignment="1" applyProtection="1">
      <alignment vertical="top"/>
      <protection/>
    </xf>
    <xf numFmtId="0" fontId="28" fillId="0" borderId="17" xfId="0" applyFont="1" applyFill="1" applyBorder="1" applyAlignment="1">
      <alignment horizontal="center"/>
    </xf>
    <xf numFmtId="0" fontId="28" fillId="0" borderId="0" xfId="0" applyFont="1" applyFill="1" applyBorder="1" applyAlignment="1">
      <alignment horizontal="center"/>
    </xf>
    <xf numFmtId="0" fontId="28" fillId="0" borderId="0" xfId="0" applyFont="1" applyFill="1" applyAlignment="1">
      <alignment horizontal="center"/>
    </xf>
    <xf numFmtId="0" fontId="30" fillId="0" borderId="0" xfId="0" applyFont="1" applyFill="1" applyBorder="1" applyAlignment="1">
      <alignment horizontal="right" vertical="center"/>
    </xf>
    <xf numFmtId="0" fontId="30" fillId="0" borderId="16" xfId="0" applyFont="1" applyFill="1" applyBorder="1" applyAlignment="1">
      <alignment horizontal="center" vertical="center" wrapText="1"/>
    </xf>
    <xf numFmtId="0" fontId="30" fillId="0" borderId="0" xfId="0" applyFont="1" applyFill="1" applyBorder="1" applyAlignment="1">
      <alignment/>
    </xf>
    <xf numFmtId="0" fontId="30" fillId="0" borderId="0" xfId="0" applyFont="1" applyFill="1" applyAlignment="1">
      <alignment/>
    </xf>
    <xf numFmtId="0" fontId="28" fillId="0" borderId="16" xfId="0" applyNumberFormat="1" applyFont="1" applyFill="1" applyBorder="1" applyAlignment="1" applyProtection="1">
      <alignment horizontal="center" vertical="center" wrapText="1"/>
      <protection/>
    </xf>
    <xf numFmtId="0" fontId="28" fillId="0" borderId="16" xfId="0" applyFont="1" applyFill="1" applyBorder="1" applyAlignment="1">
      <alignment horizontal="center" vertical="center" wrapText="1"/>
    </xf>
    <xf numFmtId="49" fontId="30" fillId="0" borderId="16" xfId="0" applyNumberFormat="1" applyFont="1" applyFill="1" applyBorder="1" applyAlignment="1" applyProtection="1">
      <alignment horizontal="center" vertical="center"/>
      <protection/>
    </xf>
    <xf numFmtId="49" fontId="28" fillId="0" borderId="16" xfId="0" applyNumberFormat="1" applyFont="1" applyFill="1" applyBorder="1" applyAlignment="1" applyProtection="1">
      <alignment horizontal="center" vertical="center"/>
      <protection/>
    </xf>
    <xf numFmtId="0" fontId="30" fillId="0" borderId="16" xfId="0" applyFont="1" applyFill="1" applyBorder="1" applyAlignment="1">
      <alignment vertical="center" wrapText="1"/>
    </xf>
    <xf numFmtId="192" fontId="28" fillId="0" borderId="16" xfId="0" applyNumberFormat="1" applyFont="1" applyFill="1" applyBorder="1" applyAlignment="1">
      <alignment horizontal="center" vertical="center" wrapText="1"/>
    </xf>
    <xf numFmtId="4" fontId="30" fillId="0" borderId="16" xfId="95" applyNumberFormat="1" applyFont="1" applyFill="1" applyBorder="1" applyAlignment="1">
      <alignment vertical="center"/>
      <protection/>
    </xf>
    <xf numFmtId="192" fontId="30" fillId="0" borderId="16" xfId="95" applyNumberFormat="1" applyFont="1" applyFill="1" applyBorder="1" applyAlignment="1">
      <alignment vertical="center"/>
      <protection/>
    </xf>
    <xf numFmtId="0" fontId="28" fillId="0" borderId="0" xfId="0" applyFont="1" applyFill="1" applyAlignment="1">
      <alignment vertical="center"/>
    </xf>
    <xf numFmtId="0" fontId="28" fillId="0" borderId="16" xfId="0" applyFont="1" applyFill="1" applyBorder="1" applyAlignment="1">
      <alignment horizontal="left" vertical="center" wrapText="1"/>
    </xf>
    <xf numFmtId="0" fontId="28" fillId="0" borderId="16" xfId="0" applyFont="1" applyFill="1" applyBorder="1" applyAlignment="1">
      <alignment/>
    </xf>
    <xf numFmtId="192" fontId="28" fillId="0" borderId="16" xfId="95" applyNumberFormat="1" applyFont="1" applyFill="1" applyBorder="1" applyAlignment="1">
      <alignment vertical="center"/>
      <protection/>
    </xf>
    <xf numFmtId="49" fontId="31" fillId="0" borderId="16" xfId="0" applyNumberFormat="1" applyFont="1" applyFill="1" applyBorder="1" applyAlignment="1" applyProtection="1">
      <alignment horizontal="center" vertical="center"/>
      <protection/>
    </xf>
    <xf numFmtId="0" fontId="31" fillId="0" borderId="16" xfId="0" applyFont="1" applyFill="1" applyBorder="1" applyAlignment="1">
      <alignment horizontal="left" vertical="center" wrapText="1"/>
    </xf>
    <xf numFmtId="192" fontId="31" fillId="0" borderId="16" xfId="0" applyNumberFormat="1" applyFont="1" applyFill="1" applyBorder="1" applyAlignment="1">
      <alignment horizontal="center" vertical="center" wrapText="1"/>
    </xf>
    <xf numFmtId="0" fontId="31" fillId="0" borderId="16" xfId="0" applyFont="1" applyFill="1" applyBorder="1" applyAlignment="1">
      <alignment horizontal="center" vertical="center"/>
    </xf>
    <xf numFmtId="192" fontId="31" fillId="0" borderId="16" xfId="0" applyNumberFormat="1" applyFont="1" applyFill="1" applyBorder="1" applyAlignment="1">
      <alignment vertical="center"/>
    </xf>
    <xf numFmtId="0" fontId="31" fillId="0" borderId="0" xfId="0" applyFont="1" applyFill="1" applyBorder="1" applyAlignment="1">
      <alignment vertical="center"/>
    </xf>
    <xf numFmtId="0" fontId="31" fillId="0" borderId="0" xfId="0" applyFont="1" applyFill="1" applyAlignment="1">
      <alignment vertical="center"/>
    </xf>
    <xf numFmtId="49" fontId="31" fillId="0" borderId="16" xfId="0" applyNumberFormat="1" applyFont="1" applyFill="1" applyBorder="1" applyAlignment="1">
      <alignment horizontal="center" vertical="center"/>
    </xf>
    <xf numFmtId="0" fontId="31" fillId="0" borderId="16" xfId="0" applyFont="1" applyFill="1" applyBorder="1" applyAlignment="1">
      <alignment vertical="center" wrapText="1"/>
    </xf>
    <xf numFmtId="192" fontId="31" fillId="0" borderId="16" xfId="95" applyNumberFormat="1" applyFont="1" applyFill="1" applyBorder="1" applyAlignment="1">
      <alignment vertical="center"/>
      <protection/>
    </xf>
    <xf numFmtId="0" fontId="31" fillId="0" borderId="16" xfId="0" applyFont="1" applyFill="1" applyBorder="1" applyAlignment="1">
      <alignment vertical="center"/>
    </xf>
    <xf numFmtId="49" fontId="28" fillId="0" borderId="16" xfId="0" applyNumberFormat="1" applyFont="1" applyFill="1" applyBorder="1" applyAlignment="1">
      <alignment horizontal="center" vertical="center"/>
    </xf>
    <xf numFmtId="0" fontId="28" fillId="0" borderId="18" xfId="0" applyFont="1" applyFill="1" applyBorder="1" applyAlignment="1">
      <alignment horizontal="left" vertical="center" wrapText="1"/>
    </xf>
    <xf numFmtId="0" fontId="28" fillId="0" borderId="16" xfId="0" applyFont="1" applyFill="1" applyBorder="1" applyAlignment="1">
      <alignment vertical="center"/>
    </xf>
    <xf numFmtId="49" fontId="31" fillId="0" borderId="16" xfId="0" applyNumberFormat="1" applyFont="1" applyFill="1" applyBorder="1" applyAlignment="1">
      <alignment horizontal="left" vertical="center" wrapText="1"/>
    </xf>
    <xf numFmtId="0" fontId="28" fillId="0" borderId="16" xfId="0" applyNumberFormat="1" applyFont="1" applyFill="1" applyBorder="1" applyAlignment="1" applyProtection="1">
      <alignment horizontal="center" vertical="center"/>
      <protection/>
    </xf>
    <xf numFmtId="0" fontId="28" fillId="0" borderId="16" xfId="0" applyFont="1" applyFill="1" applyBorder="1" applyAlignment="1">
      <alignment vertical="center" wrapText="1"/>
    </xf>
    <xf numFmtId="0" fontId="31" fillId="0" borderId="16" xfId="0" applyNumberFormat="1" applyFont="1" applyFill="1" applyBorder="1" applyAlignment="1" applyProtection="1">
      <alignment horizontal="center" vertical="center"/>
      <protection/>
    </xf>
    <xf numFmtId="4" fontId="31" fillId="0" borderId="16" xfId="0" applyNumberFormat="1" applyFont="1" applyFill="1" applyBorder="1" applyAlignment="1">
      <alignment vertical="center" wrapText="1"/>
    </xf>
    <xf numFmtId="49" fontId="30" fillId="0" borderId="16" xfId="0" applyNumberFormat="1" applyFont="1" applyFill="1" applyBorder="1" applyAlignment="1">
      <alignment horizontal="center" vertical="center"/>
    </xf>
    <xf numFmtId="0" fontId="30" fillId="0" borderId="16" xfId="0" applyFont="1" applyFill="1" applyBorder="1" applyAlignment="1">
      <alignment horizontal="left" vertical="center" wrapText="1"/>
    </xf>
    <xf numFmtId="4" fontId="28" fillId="0" borderId="16" xfId="0" applyNumberFormat="1" applyFont="1" applyFill="1" applyBorder="1" applyAlignment="1">
      <alignment vertical="center"/>
    </xf>
    <xf numFmtId="4" fontId="31" fillId="0" borderId="16" xfId="0" applyNumberFormat="1" applyFont="1" applyFill="1" applyBorder="1" applyAlignment="1">
      <alignment vertical="center"/>
    </xf>
    <xf numFmtId="192" fontId="30" fillId="0" borderId="16" xfId="0" applyNumberFormat="1" applyFont="1" applyFill="1" applyBorder="1" applyAlignment="1">
      <alignment horizontal="center" vertical="center" wrapText="1"/>
    </xf>
    <xf numFmtId="0" fontId="30" fillId="0" borderId="0" xfId="0" applyFont="1" applyFill="1" applyBorder="1" applyAlignment="1">
      <alignment vertical="center"/>
    </xf>
    <xf numFmtId="0" fontId="30" fillId="0" borderId="0" xfId="0" applyFont="1" applyFill="1" applyAlignment="1">
      <alignment vertical="center"/>
    </xf>
    <xf numFmtId="0" fontId="28" fillId="0" borderId="19" xfId="0" applyFont="1" applyFill="1" applyBorder="1" applyAlignment="1">
      <alignment horizontal="left" vertical="center" wrapText="1"/>
    </xf>
    <xf numFmtId="192" fontId="30" fillId="0" borderId="16" xfId="0" applyNumberFormat="1" applyFont="1" applyFill="1" applyBorder="1" applyAlignment="1">
      <alignment vertical="center"/>
    </xf>
    <xf numFmtId="0" fontId="30" fillId="0" borderId="16" xfId="0" applyNumberFormat="1" applyFont="1" applyFill="1" applyBorder="1" applyAlignment="1" applyProtection="1">
      <alignment horizontal="center" vertical="center"/>
      <protection/>
    </xf>
    <xf numFmtId="3" fontId="30" fillId="0" borderId="16" xfId="0" applyNumberFormat="1" applyFont="1" applyFill="1" applyBorder="1" applyAlignment="1">
      <alignment horizontal="right" vertical="center" wrapText="1"/>
    </xf>
    <xf numFmtId="4" fontId="30" fillId="0" borderId="16" xfId="0" applyNumberFormat="1" applyFont="1" applyFill="1" applyBorder="1" applyAlignment="1">
      <alignment horizontal="right" vertical="center" wrapText="1"/>
    </xf>
    <xf numFmtId="192" fontId="30" fillId="0" borderId="16" xfId="0" applyNumberFormat="1" applyFont="1" applyFill="1" applyBorder="1" applyAlignment="1">
      <alignment horizontal="right" vertical="center" wrapText="1"/>
    </xf>
    <xf numFmtId="3" fontId="28" fillId="0" borderId="16" xfId="95" applyNumberFormat="1" applyFont="1" applyFill="1" applyBorder="1" applyAlignment="1">
      <alignment vertical="center"/>
      <protection/>
    </xf>
    <xf numFmtId="0" fontId="28" fillId="0" borderId="16" xfId="0" applyFont="1" applyFill="1" applyBorder="1" applyAlignment="1">
      <alignment horizontal="justify" vertical="center" wrapText="1"/>
    </xf>
    <xf numFmtId="3" fontId="30" fillId="0" borderId="16" xfId="95" applyNumberFormat="1" applyFont="1" applyFill="1" applyBorder="1" applyAlignment="1">
      <alignment vertical="center"/>
      <protection/>
    </xf>
    <xf numFmtId="0" fontId="31" fillId="0" borderId="16" xfId="0" applyFont="1" applyFill="1" applyBorder="1" applyAlignment="1">
      <alignment horizontal="justify" vertical="center" wrapText="1"/>
    </xf>
    <xf numFmtId="0" fontId="28" fillId="0" borderId="0" xfId="0" applyFont="1" applyFill="1" applyBorder="1" applyAlignment="1">
      <alignment horizontal="center" vertical="center"/>
    </xf>
    <xf numFmtId="0" fontId="28" fillId="0" borderId="0" xfId="0" applyFont="1" applyFill="1" applyAlignment="1">
      <alignment horizontal="center" vertical="center"/>
    </xf>
    <xf numFmtId="0" fontId="30" fillId="0" borderId="16" xfId="0" applyFont="1" applyFill="1" applyBorder="1" applyAlignment="1">
      <alignment vertical="center"/>
    </xf>
    <xf numFmtId="4" fontId="28" fillId="0" borderId="0" xfId="0" applyNumberFormat="1" applyFont="1" applyFill="1" applyAlignment="1" applyProtection="1">
      <alignment/>
      <protection/>
    </xf>
    <xf numFmtId="0" fontId="25" fillId="0" borderId="0" xfId="0" applyFont="1" applyFill="1" applyAlignment="1">
      <alignment/>
    </xf>
    <xf numFmtId="0" fontId="25" fillId="0" borderId="0" xfId="0" applyFont="1" applyFill="1" applyBorder="1" applyAlignment="1">
      <alignment/>
    </xf>
    <xf numFmtId="0" fontId="29" fillId="0" borderId="0" xfId="0" applyNumberFormat="1" applyFont="1" applyFill="1" applyAlignment="1" applyProtection="1">
      <alignment horizontal="center"/>
      <protection/>
    </xf>
    <xf numFmtId="0" fontId="29" fillId="0" borderId="0" xfId="0" applyNumberFormat="1" applyFont="1" applyFill="1" applyAlignment="1" applyProtection="1">
      <alignment/>
      <protection/>
    </xf>
    <xf numFmtId="4" fontId="29" fillId="0" borderId="0" xfId="0" applyNumberFormat="1" applyFont="1" applyFill="1" applyAlignment="1" applyProtection="1">
      <alignment/>
      <protection/>
    </xf>
    <xf numFmtId="0" fontId="29" fillId="0" borderId="0" xfId="0" applyFont="1" applyFill="1" applyBorder="1" applyAlignment="1">
      <alignment vertical="center"/>
    </xf>
    <xf numFmtId="0" fontId="29" fillId="0" borderId="0" xfId="0" applyFont="1" applyFill="1" applyAlignment="1">
      <alignment/>
    </xf>
    <xf numFmtId="0" fontId="29" fillId="0" borderId="0" xfId="0" applyFont="1" applyFill="1" applyBorder="1" applyAlignment="1">
      <alignment/>
    </xf>
    <xf numFmtId="0" fontId="29" fillId="0" borderId="0" xfId="0" applyFont="1" applyFill="1" applyAlignment="1">
      <alignment/>
    </xf>
    <xf numFmtId="0" fontId="29" fillId="0" borderId="0" xfId="0" applyFont="1" applyFill="1" applyAlignment="1">
      <alignment vertical="top"/>
    </xf>
    <xf numFmtId="1" fontId="32" fillId="0" borderId="0" xfId="0" applyNumberFormat="1" applyFont="1" applyFill="1" applyBorder="1" applyAlignment="1">
      <alignment horizontal="center" vertical="center"/>
    </xf>
    <xf numFmtId="0" fontId="29" fillId="0" borderId="0" xfId="0" applyFont="1" applyFill="1" applyBorder="1" applyAlignment="1">
      <alignment vertical="center" textRotation="180"/>
    </xf>
    <xf numFmtId="0" fontId="29" fillId="0" borderId="0" xfId="0" applyFont="1" applyFill="1" applyAlignment="1">
      <alignment horizontal="center"/>
    </xf>
    <xf numFmtId="0" fontId="29" fillId="0" borderId="0" xfId="0" applyFont="1" applyFill="1" applyAlignment="1">
      <alignment vertical="center"/>
    </xf>
    <xf numFmtId="0" fontId="28" fillId="0" borderId="0" xfId="0" applyFont="1" applyFill="1" applyBorder="1" applyAlignment="1">
      <alignment wrapText="1"/>
    </xf>
    <xf numFmtId="0" fontId="28" fillId="0" borderId="0" xfId="0" applyNumberFormat="1" applyFont="1" applyFill="1" applyBorder="1" applyAlignment="1" applyProtection="1">
      <alignment horizontal="center"/>
      <protection/>
    </xf>
    <xf numFmtId="0" fontId="28" fillId="0" borderId="0" xfId="0" applyFont="1" applyFill="1" applyBorder="1" applyAlignment="1">
      <alignment/>
    </xf>
    <xf numFmtId="0" fontId="28" fillId="0" borderId="0" xfId="0" applyNumberFormat="1" applyFont="1" applyFill="1" applyBorder="1" applyAlignment="1" applyProtection="1">
      <alignment/>
      <protection/>
    </xf>
    <xf numFmtId="0" fontId="28" fillId="0" borderId="0" xfId="0" applyFont="1" applyFill="1" applyBorder="1" applyAlignment="1">
      <alignment horizontal="center" vertical="center" textRotation="180"/>
    </xf>
    <xf numFmtId="0" fontId="31" fillId="0" borderId="16" xfId="0" applyFont="1" applyFill="1" applyBorder="1" applyAlignment="1">
      <alignment horizontal="center" vertical="center" wrapText="1"/>
    </xf>
    <xf numFmtId="4" fontId="31" fillId="0" borderId="16" xfId="0" applyNumberFormat="1" applyFont="1" applyFill="1" applyBorder="1" applyAlignment="1">
      <alignment horizontal="center" vertical="center" wrapText="1"/>
    </xf>
    <xf numFmtId="3" fontId="30" fillId="0" borderId="16" xfId="0" applyNumberFormat="1" applyFont="1" applyFill="1" applyBorder="1" applyAlignment="1">
      <alignment horizontal="center" vertical="center" wrapText="1"/>
    </xf>
    <xf numFmtId="192" fontId="28" fillId="0" borderId="16" xfId="95" applyNumberFormat="1" applyFont="1" applyFill="1" applyBorder="1" applyAlignment="1">
      <alignment horizontal="center" vertical="center"/>
      <protection/>
    </xf>
    <xf numFmtId="3" fontId="28" fillId="0" borderId="16" xfId="95" applyNumberFormat="1" applyFont="1" applyFill="1" applyBorder="1" applyAlignment="1">
      <alignment horizontal="center" vertical="center"/>
      <protection/>
    </xf>
    <xf numFmtId="3" fontId="30" fillId="0" borderId="16" xfId="95" applyNumberFormat="1" applyFont="1" applyFill="1" applyBorder="1" applyAlignment="1">
      <alignment horizontal="center" vertical="center"/>
      <protection/>
    </xf>
    <xf numFmtId="0" fontId="25" fillId="0" borderId="0" xfId="0" applyNumberFormat="1" applyFont="1" applyFill="1" applyAlignment="1" applyProtection="1">
      <alignment horizontal="center"/>
      <protection/>
    </xf>
    <xf numFmtId="0" fontId="25" fillId="0" borderId="0" xfId="0" applyNumberFormat="1" applyFont="1" applyFill="1" applyAlignment="1" applyProtection="1">
      <alignment/>
      <protection/>
    </xf>
    <xf numFmtId="0" fontId="30" fillId="0" borderId="16" xfId="0" applyNumberFormat="1" applyFont="1" applyFill="1" applyBorder="1" applyAlignment="1" applyProtection="1">
      <alignment horizontal="center" vertical="center" wrapText="1"/>
      <protection/>
    </xf>
    <xf numFmtId="0" fontId="30" fillId="0" borderId="16" xfId="0" applyFont="1" applyFill="1" applyBorder="1" applyAlignment="1">
      <alignment horizontal="center" vertical="center" wrapText="1"/>
    </xf>
    <xf numFmtId="0" fontId="25" fillId="0" borderId="0" xfId="0" applyFont="1" applyFill="1" applyBorder="1" applyAlignment="1">
      <alignment horizontal="left" vertical="distributed" wrapText="1"/>
    </xf>
    <xf numFmtId="14" fontId="29" fillId="0" borderId="0" xfId="0" applyNumberFormat="1" applyFont="1" applyFill="1" applyBorder="1" applyAlignment="1">
      <alignment horizontal="left"/>
    </xf>
    <xf numFmtId="0" fontId="25" fillId="0" borderId="0" xfId="0" applyNumberFormat="1" applyFont="1" applyFill="1" applyAlignment="1" applyProtection="1">
      <alignment horizontal="left"/>
      <protection/>
    </xf>
    <xf numFmtId="0" fontId="27" fillId="0" borderId="0" xfId="0" applyNumberFormat="1" applyFont="1" applyFill="1" applyAlignment="1" applyProtection="1">
      <alignment horizontal="center" vertical="top"/>
      <protection/>
    </xf>
    <xf numFmtId="0" fontId="33" fillId="0" borderId="0" xfId="0" applyNumberFormat="1" applyFont="1" applyFill="1" applyAlignment="1" applyProtection="1">
      <alignment horizontal="left"/>
      <protection/>
    </xf>
    <xf numFmtId="0" fontId="29" fillId="0" borderId="0" xfId="0" applyNumberFormat="1" applyFont="1" applyFill="1" applyAlignment="1" applyProtection="1">
      <alignment horizontal="left"/>
      <protection/>
    </xf>
    <xf numFmtId="0" fontId="27" fillId="0" borderId="0" xfId="0" applyNumberFormat="1" applyFont="1" applyFill="1" applyBorder="1" applyAlignment="1" applyProtection="1">
      <alignment horizontal="center" vertical="top" wrapText="1"/>
      <protection/>
    </xf>
  </cellXfs>
  <cellStyles count="109">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ід" xfId="64"/>
    <cellStyle name="Ввод " xfId="65"/>
    <cellStyle name="Вывод" xfId="66"/>
    <cellStyle name="Вычисление" xfId="67"/>
    <cellStyle name="Hyperlink" xfId="68"/>
    <cellStyle name="Currency" xfId="69"/>
    <cellStyle name="Currency [0]" xfId="70"/>
    <cellStyle name="Добре" xfId="71"/>
    <cellStyle name="Заголовок 1" xfId="72"/>
    <cellStyle name="Заголовок 2" xfId="73"/>
    <cellStyle name="Заголовок 3" xfId="74"/>
    <cellStyle name="Заголовок 4" xfId="75"/>
    <cellStyle name="Звичайний 10" xfId="76"/>
    <cellStyle name="Звичайний 11" xfId="77"/>
    <cellStyle name="Звичайний 12" xfId="78"/>
    <cellStyle name="Звичайний 13" xfId="79"/>
    <cellStyle name="Звичайний 14" xfId="80"/>
    <cellStyle name="Звичайний 15" xfId="81"/>
    <cellStyle name="Звичайний 16" xfId="82"/>
    <cellStyle name="Звичайний 17" xfId="83"/>
    <cellStyle name="Звичайний 18" xfId="84"/>
    <cellStyle name="Звичайний 19" xfId="85"/>
    <cellStyle name="Звичайний 2" xfId="86"/>
    <cellStyle name="Звичайний 20" xfId="87"/>
    <cellStyle name="Звичайний 3" xfId="88"/>
    <cellStyle name="Звичайний 4" xfId="89"/>
    <cellStyle name="Звичайний 5" xfId="90"/>
    <cellStyle name="Звичайний 6" xfId="91"/>
    <cellStyle name="Звичайний 7" xfId="92"/>
    <cellStyle name="Звичайний 8" xfId="93"/>
    <cellStyle name="Звичайний 9" xfId="94"/>
    <cellStyle name="Звичайний_Додаток _ 3 зм_ни 4575" xfId="95"/>
    <cellStyle name="Зв'язана клітинка" xfId="96"/>
    <cellStyle name="Итог" xfId="97"/>
    <cellStyle name="Контрольна клітинка" xfId="98"/>
    <cellStyle name="Контрольная ячейка" xfId="99"/>
    <cellStyle name="Назва" xfId="100"/>
    <cellStyle name="Название" xfId="101"/>
    <cellStyle name="Нейтральный" xfId="102"/>
    <cellStyle name="Обчислення" xfId="103"/>
    <cellStyle name="Обычный 2" xfId="104"/>
    <cellStyle name="Followed Hyperlink" xfId="105"/>
    <cellStyle name="Підсумок" xfId="106"/>
    <cellStyle name="Плохой" xfId="107"/>
    <cellStyle name="Поганий" xfId="108"/>
    <cellStyle name="Пояснение" xfId="109"/>
    <cellStyle name="Примечание" xfId="110"/>
    <cellStyle name="Примітка" xfId="111"/>
    <cellStyle name="Percent" xfId="112"/>
    <cellStyle name="Результат" xfId="113"/>
    <cellStyle name="Связанная ячейка" xfId="114"/>
    <cellStyle name="Середній" xfId="115"/>
    <cellStyle name="Стиль 1" xfId="116"/>
    <cellStyle name="Текст попередження" xfId="117"/>
    <cellStyle name="Текст пояснення" xfId="118"/>
    <cellStyle name="Текст предупреждения" xfId="119"/>
    <cellStyle name="Comma" xfId="120"/>
    <cellStyle name="Comma [0]" xfId="121"/>
    <cellStyle name="Хороший" xfId="1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G368"/>
  <sheetViews>
    <sheetView showGridLines="0" showZeros="0" tabSelected="1" view="pageBreakPreview" zoomScale="60" zoomScaleNormal="70" zoomScalePageLayoutView="0" workbookViewId="0" topLeftCell="D1">
      <selection activeCell="H4" sqref="H4"/>
    </sheetView>
  </sheetViews>
  <sheetFormatPr defaultColWidth="9.16015625" defaultRowHeight="12.75"/>
  <cols>
    <col min="1" max="1" width="17.16015625" style="4" hidden="1" customWidth="1"/>
    <col min="2" max="2" width="18" style="4" hidden="1" customWidth="1"/>
    <col min="3" max="3" width="19.66015625" style="4" hidden="1" customWidth="1"/>
    <col min="4" max="4" width="185.16015625" style="5" customWidth="1"/>
    <col min="5" max="5" width="59" style="5" hidden="1" customWidth="1"/>
    <col min="6" max="6" width="20.83203125" style="5" hidden="1" customWidth="1"/>
    <col min="7" max="7" width="34.5" style="5" customWidth="1"/>
    <col min="8" max="8" width="30.16015625" style="5" customWidth="1"/>
    <col min="9" max="9" width="18" style="5" hidden="1" customWidth="1"/>
    <col min="10" max="10" width="31.33203125" style="5" customWidth="1"/>
    <col min="11" max="11" width="27.16015625" style="5" hidden="1" customWidth="1"/>
    <col min="12" max="12" width="22.5" style="77" hidden="1" customWidth="1"/>
    <col min="13" max="13" width="25.16015625" style="14" hidden="1" customWidth="1"/>
    <col min="14" max="14" width="28.83203125" style="99" customWidth="1"/>
    <col min="15" max="59" width="9.16015625" style="7" customWidth="1"/>
    <col min="60" max="16384" width="9.16015625" style="8" customWidth="1"/>
  </cols>
  <sheetData>
    <row r="1" spans="8:14" ht="27.75" customHeight="1">
      <c r="H1" s="114" t="s">
        <v>440</v>
      </c>
      <c r="I1" s="114"/>
      <c r="J1" s="114"/>
      <c r="K1" s="114"/>
      <c r="L1" s="114"/>
      <c r="M1" s="114"/>
      <c r="N1" s="114"/>
    </row>
    <row r="2" spans="8:14" ht="29.25" customHeight="1">
      <c r="H2" s="114" t="s">
        <v>439</v>
      </c>
      <c r="I2" s="114"/>
      <c r="J2" s="114"/>
      <c r="K2" s="114"/>
      <c r="L2" s="114"/>
      <c r="M2" s="114"/>
      <c r="N2" s="114"/>
    </row>
    <row r="3" spans="8:14" ht="30.75" customHeight="1">
      <c r="H3" s="6" t="s">
        <v>445</v>
      </c>
      <c r="I3" s="9"/>
      <c r="J3" s="9"/>
      <c r="K3" s="9"/>
      <c r="L3" s="9"/>
      <c r="M3" s="9"/>
      <c r="N3" s="10"/>
    </row>
    <row r="4" spans="9:14" ht="20.25">
      <c r="I4" s="115"/>
      <c r="J4" s="115"/>
      <c r="K4" s="115"/>
      <c r="L4" s="115"/>
      <c r="M4" s="115"/>
      <c r="N4" s="11"/>
    </row>
    <row r="5" spans="9:15" ht="20.25">
      <c r="I5" s="115"/>
      <c r="J5" s="115"/>
      <c r="K5" s="115"/>
      <c r="L5" s="115"/>
      <c r="M5" s="115"/>
      <c r="N5" s="11"/>
      <c r="O5" s="12"/>
    </row>
    <row r="6" spans="12:15" ht="24" customHeight="1">
      <c r="L6" s="13"/>
      <c r="N6" s="11"/>
      <c r="O6" s="12"/>
    </row>
    <row r="7" spans="12:15" ht="20.25">
      <c r="L7" s="13"/>
      <c r="N7" s="11"/>
      <c r="O7" s="15"/>
    </row>
    <row r="8" spans="12:15" ht="20.25">
      <c r="L8" s="13"/>
      <c r="N8" s="11"/>
      <c r="O8" s="15"/>
    </row>
    <row r="9" spans="12:15" ht="20.25">
      <c r="L9" s="13"/>
      <c r="N9" s="11"/>
      <c r="O9" s="15"/>
    </row>
    <row r="10" spans="1:59" s="19" customFormat="1" ht="37.5" customHeight="1">
      <c r="A10" s="116" t="s">
        <v>437</v>
      </c>
      <c r="B10" s="116"/>
      <c r="C10" s="116"/>
      <c r="D10" s="116"/>
      <c r="E10" s="116"/>
      <c r="F10" s="116"/>
      <c r="G10" s="116"/>
      <c r="H10" s="116"/>
      <c r="I10" s="116"/>
      <c r="J10" s="116"/>
      <c r="K10" s="116"/>
      <c r="L10" s="116"/>
      <c r="M10" s="116"/>
      <c r="N10" s="16"/>
      <c r="O10" s="17"/>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row>
    <row r="11" spans="1:59" s="19" customFormat="1" ht="27">
      <c r="A11" s="20"/>
      <c r="B11" s="20"/>
      <c r="C11" s="20"/>
      <c r="D11" s="113" t="s">
        <v>438</v>
      </c>
      <c r="E11" s="113"/>
      <c r="F11" s="113"/>
      <c r="G11" s="113"/>
      <c r="H11" s="113"/>
      <c r="I11" s="113"/>
      <c r="J11" s="113"/>
      <c r="K11" s="113"/>
      <c r="L11" s="113"/>
      <c r="M11" s="113"/>
      <c r="N11" s="113"/>
      <c r="O11" s="17"/>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row>
    <row r="12" spans="4:15" ht="20.25">
      <c r="D12" s="21"/>
      <c r="E12" s="21"/>
      <c r="F12" s="21"/>
      <c r="G12" s="21"/>
      <c r="H12" s="21"/>
      <c r="I12" s="21"/>
      <c r="J12" s="21"/>
      <c r="L12" s="13"/>
      <c r="N12" s="11"/>
      <c r="O12" s="12"/>
    </row>
    <row r="13" spans="4:14" ht="20.25">
      <c r="D13" s="22"/>
      <c r="E13" s="23"/>
      <c r="F13" s="23"/>
      <c r="G13" s="23"/>
      <c r="H13" s="23"/>
      <c r="I13" s="23"/>
      <c r="J13" s="23"/>
      <c r="K13" s="24"/>
      <c r="L13" s="13"/>
      <c r="M13" s="24"/>
      <c r="N13" s="25" t="s">
        <v>436</v>
      </c>
    </row>
    <row r="14" spans="1:59" s="28" customFormat="1" ht="45" customHeight="1">
      <c r="A14" s="108" t="s">
        <v>156</v>
      </c>
      <c r="B14" s="108" t="s">
        <v>223</v>
      </c>
      <c r="C14" s="108" t="s">
        <v>98</v>
      </c>
      <c r="D14" s="108" t="s">
        <v>432</v>
      </c>
      <c r="E14" s="109" t="s">
        <v>172</v>
      </c>
      <c r="F14" s="108" t="s">
        <v>158</v>
      </c>
      <c r="G14" s="108" t="s">
        <v>158</v>
      </c>
      <c r="H14" s="108" t="s">
        <v>159</v>
      </c>
      <c r="I14" s="108" t="s">
        <v>160</v>
      </c>
      <c r="J14" s="108" t="s">
        <v>160</v>
      </c>
      <c r="K14" s="108" t="s">
        <v>161</v>
      </c>
      <c r="L14" s="109" t="s">
        <v>246</v>
      </c>
      <c r="M14" s="109" t="s">
        <v>247</v>
      </c>
      <c r="N14" s="108" t="s">
        <v>161</v>
      </c>
      <c r="O14" s="27"/>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row>
    <row r="15" spans="1:59" s="28" customFormat="1" ht="89.25" customHeight="1">
      <c r="A15" s="108"/>
      <c r="B15" s="108"/>
      <c r="C15" s="108"/>
      <c r="D15" s="108"/>
      <c r="E15" s="109"/>
      <c r="F15" s="108"/>
      <c r="G15" s="108"/>
      <c r="H15" s="108"/>
      <c r="I15" s="108"/>
      <c r="J15" s="108"/>
      <c r="K15" s="108"/>
      <c r="L15" s="109"/>
      <c r="M15" s="109"/>
      <c r="N15" s="108"/>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7"/>
      <c r="AY15" s="27"/>
      <c r="AZ15" s="27"/>
      <c r="BA15" s="27"/>
      <c r="BB15" s="27"/>
      <c r="BC15" s="27"/>
      <c r="BD15" s="27"/>
      <c r="BE15" s="27"/>
      <c r="BF15" s="27"/>
      <c r="BG15" s="27"/>
    </row>
    <row r="16" spans="1:14" ht="20.25">
      <c r="A16" s="29">
        <v>1</v>
      </c>
      <c r="B16" s="29">
        <v>2</v>
      </c>
      <c r="C16" s="29">
        <v>3</v>
      </c>
      <c r="D16" s="29">
        <v>1</v>
      </c>
      <c r="E16" s="30">
        <v>5</v>
      </c>
      <c r="F16" s="29">
        <v>6</v>
      </c>
      <c r="G16" s="29">
        <v>2</v>
      </c>
      <c r="H16" s="29">
        <v>3</v>
      </c>
      <c r="I16" s="29">
        <v>8</v>
      </c>
      <c r="J16" s="29">
        <v>4</v>
      </c>
      <c r="K16" s="29">
        <v>9</v>
      </c>
      <c r="L16" s="29">
        <v>10</v>
      </c>
      <c r="M16" s="29">
        <v>11</v>
      </c>
      <c r="N16" s="29">
        <v>5</v>
      </c>
    </row>
    <row r="17" spans="1:59" s="37" customFormat="1" ht="33" customHeight="1">
      <c r="A17" s="31" t="s">
        <v>2</v>
      </c>
      <c r="B17" s="32"/>
      <c r="C17" s="32"/>
      <c r="D17" s="33" t="s">
        <v>82</v>
      </c>
      <c r="E17" s="33"/>
      <c r="F17" s="33"/>
      <c r="G17" s="34">
        <f aca="true" t="shared" si="0" ref="G17:G75">ROUND(F17/1000,1)</f>
        <v>0</v>
      </c>
      <c r="H17" s="33"/>
      <c r="I17" s="33"/>
      <c r="J17" s="34">
        <f aca="true" t="shared" si="1" ref="J17:J75">ROUND(I17/1000,1)</f>
        <v>0</v>
      </c>
      <c r="K17" s="35">
        <f>K18+K21+K24+K26+K28+K30+K33+K35+K19+K29+K34+K39</f>
        <v>65704811</v>
      </c>
      <c r="L17" s="35">
        <f>L18+L21+L24+L26+L28+L30+L33+L35+L19+L29+L34+L39</f>
        <v>0</v>
      </c>
      <c r="M17" s="35">
        <f>M18+M21+M24+M26+M28+M30+M33+M35+M19+M29+M34+M39</f>
        <v>65704811</v>
      </c>
      <c r="N17" s="36">
        <f>N18+N21+N24+N26+N28+N30+N33+N35+N19+N29+N34+N39</f>
        <v>65704.8</v>
      </c>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row>
    <row r="18" spans="1:59" s="37" customFormat="1" ht="39" customHeight="1">
      <c r="A18" s="32" t="s">
        <v>3</v>
      </c>
      <c r="B18" s="32" t="s">
        <v>96</v>
      </c>
      <c r="C18" s="32" t="s">
        <v>97</v>
      </c>
      <c r="D18" s="38" t="s">
        <v>248</v>
      </c>
      <c r="E18" s="38"/>
      <c r="F18" s="38"/>
      <c r="G18" s="34">
        <f t="shared" si="0"/>
        <v>0</v>
      </c>
      <c r="H18" s="38"/>
      <c r="I18" s="38"/>
      <c r="J18" s="34">
        <f t="shared" si="1"/>
        <v>0</v>
      </c>
      <c r="K18" s="2">
        <f>2000000+2500000-635300+500000+400000+5830</f>
        <v>4770530</v>
      </c>
      <c r="L18" s="2"/>
      <c r="M18" s="2">
        <f>K18+L18</f>
        <v>4770530</v>
      </c>
      <c r="N18" s="3">
        <f aca="true" t="shared" si="2" ref="N18:N75">ROUND(M18/1000,1)</f>
        <v>4770.5</v>
      </c>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row>
    <row r="19" spans="1:59" s="37" customFormat="1" ht="32.25" customHeight="1">
      <c r="A19" s="32" t="s">
        <v>4</v>
      </c>
      <c r="B19" s="32" t="s">
        <v>154</v>
      </c>
      <c r="C19" s="32" t="s">
        <v>153</v>
      </c>
      <c r="D19" s="39" t="s">
        <v>416</v>
      </c>
      <c r="E19" s="39"/>
      <c r="F19" s="38"/>
      <c r="G19" s="34">
        <f t="shared" si="0"/>
        <v>0</v>
      </c>
      <c r="H19" s="38"/>
      <c r="I19" s="38"/>
      <c r="J19" s="34">
        <f t="shared" si="1"/>
        <v>0</v>
      </c>
      <c r="K19" s="2">
        <f>K20</f>
        <v>10000</v>
      </c>
      <c r="L19" s="2">
        <f>L20</f>
        <v>0</v>
      </c>
      <c r="M19" s="2">
        <f>M20</f>
        <v>10000</v>
      </c>
      <c r="N19" s="40">
        <f>N20</f>
        <v>10</v>
      </c>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row>
    <row r="20" spans="1:59" s="47" customFormat="1" ht="48" customHeight="1">
      <c r="A20" s="41" t="s">
        <v>4</v>
      </c>
      <c r="B20" s="41" t="s">
        <v>154</v>
      </c>
      <c r="C20" s="41" t="s">
        <v>153</v>
      </c>
      <c r="D20" s="42" t="s">
        <v>311</v>
      </c>
      <c r="E20" s="42"/>
      <c r="F20" s="42"/>
      <c r="G20" s="43">
        <f t="shared" si="0"/>
        <v>0</v>
      </c>
      <c r="H20" s="42"/>
      <c r="I20" s="42"/>
      <c r="J20" s="43">
        <f t="shared" si="1"/>
        <v>0</v>
      </c>
      <c r="K20" s="1">
        <v>10000</v>
      </c>
      <c r="L20" s="44"/>
      <c r="M20" s="1">
        <f aca="true" t="shared" si="3" ref="M20:M84">K20+L20</f>
        <v>10000</v>
      </c>
      <c r="N20" s="45">
        <f t="shared" si="2"/>
        <v>10</v>
      </c>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6"/>
      <c r="BB20" s="46"/>
      <c r="BC20" s="46"/>
      <c r="BD20" s="46"/>
      <c r="BE20" s="46"/>
      <c r="BF20" s="46"/>
      <c r="BG20" s="46"/>
    </row>
    <row r="21" spans="1:59" s="37" customFormat="1" ht="30" customHeight="1">
      <c r="A21" s="32" t="s">
        <v>5</v>
      </c>
      <c r="B21" s="32" t="s">
        <v>129</v>
      </c>
      <c r="C21" s="32" t="s">
        <v>130</v>
      </c>
      <c r="D21" s="38" t="s">
        <v>417</v>
      </c>
      <c r="E21" s="38"/>
      <c r="F21" s="38"/>
      <c r="G21" s="34">
        <f t="shared" si="0"/>
        <v>0</v>
      </c>
      <c r="H21" s="38"/>
      <c r="I21" s="38"/>
      <c r="J21" s="34">
        <f t="shared" si="1"/>
        <v>0</v>
      </c>
      <c r="K21" s="2">
        <f>K22+K23</f>
        <v>122000</v>
      </c>
      <c r="L21" s="2">
        <f>L22+L23</f>
        <v>0</v>
      </c>
      <c r="M21" s="2">
        <f>M22+M23</f>
        <v>122000</v>
      </c>
      <c r="N21" s="40">
        <f>N22+N23</f>
        <v>122</v>
      </c>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row>
    <row r="22" spans="1:59" s="47" customFormat="1" ht="45" customHeight="1">
      <c r="A22" s="41" t="s">
        <v>5</v>
      </c>
      <c r="B22" s="41" t="s">
        <v>129</v>
      </c>
      <c r="C22" s="48" t="s">
        <v>130</v>
      </c>
      <c r="D22" s="49" t="s">
        <v>270</v>
      </c>
      <c r="E22" s="49"/>
      <c r="F22" s="49"/>
      <c r="G22" s="43">
        <f t="shared" si="0"/>
        <v>0</v>
      </c>
      <c r="H22" s="49"/>
      <c r="I22" s="49"/>
      <c r="J22" s="43">
        <f t="shared" si="1"/>
        <v>0</v>
      </c>
      <c r="K22" s="50">
        <f>80000+22000</f>
        <v>102000</v>
      </c>
      <c r="L22" s="50"/>
      <c r="M22" s="1">
        <f t="shared" si="3"/>
        <v>102000</v>
      </c>
      <c r="N22" s="45">
        <f t="shared" si="2"/>
        <v>102</v>
      </c>
      <c r="O22" s="46"/>
      <c r="P22" s="46"/>
      <c r="Q22" s="46"/>
      <c r="R22" s="46"/>
      <c r="S22" s="46"/>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46"/>
      <c r="BA22" s="46"/>
      <c r="BB22" s="46"/>
      <c r="BC22" s="46"/>
      <c r="BD22" s="46"/>
      <c r="BE22" s="46"/>
      <c r="BF22" s="46"/>
      <c r="BG22" s="46"/>
    </row>
    <row r="23" spans="1:59" s="47" customFormat="1" ht="57" customHeight="1">
      <c r="A23" s="41" t="s">
        <v>5</v>
      </c>
      <c r="B23" s="41" t="s">
        <v>129</v>
      </c>
      <c r="C23" s="48" t="s">
        <v>130</v>
      </c>
      <c r="D23" s="49" t="s">
        <v>271</v>
      </c>
      <c r="E23" s="49"/>
      <c r="F23" s="49"/>
      <c r="G23" s="43">
        <f t="shared" si="0"/>
        <v>0</v>
      </c>
      <c r="H23" s="49"/>
      <c r="I23" s="49"/>
      <c r="J23" s="43">
        <f t="shared" si="1"/>
        <v>0</v>
      </c>
      <c r="K23" s="50">
        <v>20000</v>
      </c>
      <c r="L23" s="51"/>
      <c r="M23" s="1">
        <f t="shared" si="3"/>
        <v>20000</v>
      </c>
      <c r="N23" s="45">
        <f t="shared" si="2"/>
        <v>20</v>
      </c>
      <c r="O23" s="46"/>
      <c r="P23" s="46"/>
      <c r="Q23" s="46"/>
      <c r="R23" s="46"/>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6"/>
      <c r="BB23" s="46"/>
      <c r="BC23" s="46"/>
      <c r="BD23" s="46"/>
      <c r="BE23" s="46"/>
      <c r="BF23" s="46"/>
      <c r="BG23" s="46"/>
    </row>
    <row r="24" spans="1:59" s="37" customFormat="1" ht="33.75" customHeight="1">
      <c r="A24" s="52" t="s">
        <v>226</v>
      </c>
      <c r="B24" s="52" t="s">
        <v>225</v>
      </c>
      <c r="C24" s="52"/>
      <c r="D24" s="38" t="s">
        <v>418</v>
      </c>
      <c r="E24" s="38"/>
      <c r="F24" s="38"/>
      <c r="G24" s="34">
        <f t="shared" si="0"/>
        <v>0</v>
      </c>
      <c r="H24" s="38"/>
      <c r="I24" s="38"/>
      <c r="J24" s="34">
        <f t="shared" si="1"/>
        <v>0</v>
      </c>
      <c r="K24" s="2">
        <f>K25</f>
        <v>249000</v>
      </c>
      <c r="L24" s="2">
        <f>L25</f>
        <v>0</v>
      </c>
      <c r="M24" s="2">
        <f>M25</f>
        <v>249000</v>
      </c>
      <c r="N24" s="40">
        <f>N25</f>
        <v>249</v>
      </c>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row>
    <row r="25" spans="1:59" s="47" customFormat="1" ht="45" customHeight="1">
      <c r="A25" s="48" t="s">
        <v>228</v>
      </c>
      <c r="B25" s="48" t="s">
        <v>227</v>
      </c>
      <c r="C25" s="48" t="s">
        <v>131</v>
      </c>
      <c r="D25" s="42" t="s">
        <v>6</v>
      </c>
      <c r="E25" s="42"/>
      <c r="F25" s="42"/>
      <c r="G25" s="43">
        <f t="shared" si="0"/>
        <v>0</v>
      </c>
      <c r="H25" s="42"/>
      <c r="I25" s="42"/>
      <c r="J25" s="43">
        <f t="shared" si="1"/>
        <v>0</v>
      </c>
      <c r="K25" s="50">
        <f>239000+10000</f>
        <v>249000</v>
      </c>
      <c r="L25" s="50"/>
      <c r="M25" s="1">
        <f t="shared" si="3"/>
        <v>249000</v>
      </c>
      <c r="N25" s="45">
        <f t="shared" si="2"/>
        <v>249</v>
      </c>
      <c r="O25" s="46"/>
      <c r="P25" s="46"/>
      <c r="Q25" s="46"/>
      <c r="R25" s="46"/>
      <c r="S25" s="46"/>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46"/>
      <c r="BA25" s="46"/>
      <c r="BB25" s="46"/>
      <c r="BC25" s="46"/>
      <c r="BD25" s="46"/>
      <c r="BE25" s="46"/>
      <c r="BF25" s="46"/>
      <c r="BG25" s="46"/>
    </row>
    <row r="26" spans="1:59" s="47" customFormat="1" ht="29.25" customHeight="1">
      <c r="A26" s="52" t="s">
        <v>7</v>
      </c>
      <c r="B26" s="52" t="s">
        <v>132</v>
      </c>
      <c r="C26" s="52"/>
      <c r="D26" s="38" t="s">
        <v>419</v>
      </c>
      <c r="E26" s="38"/>
      <c r="F26" s="38"/>
      <c r="G26" s="34">
        <f t="shared" si="0"/>
        <v>0</v>
      </c>
      <c r="H26" s="38"/>
      <c r="I26" s="38"/>
      <c r="J26" s="34">
        <f t="shared" si="1"/>
        <v>0</v>
      </c>
      <c r="K26" s="40">
        <f>K27</f>
        <v>39000</v>
      </c>
      <c r="L26" s="40">
        <f>L27</f>
        <v>0</v>
      </c>
      <c r="M26" s="40">
        <f>M27</f>
        <v>39000</v>
      </c>
      <c r="N26" s="40">
        <f>N27</f>
        <v>39</v>
      </c>
      <c r="O26" s="46"/>
      <c r="P26" s="46"/>
      <c r="Q26" s="46"/>
      <c r="R26" s="46"/>
      <c r="S26" s="46"/>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46"/>
      <c r="BA26" s="46"/>
      <c r="BB26" s="46"/>
      <c r="BC26" s="46"/>
      <c r="BD26" s="46"/>
      <c r="BE26" s="46"/>
      <c r="BF26" s="46"/>
      <c r="BG26" s="46"/>
    </row>
    <row r="27" spans="1:59" s="47" customFormat="1" ht="78" customHeight="1">
      <c r="A27" s="48" t="s">
        <v>229</v>
      </c>
      <c r="B27" s="48" t="s">
        <v>230</v>
      </c>
      <c r="C27" s="48" t="s">
        <v>131</v>
      </c>
      <c r="D27" s="42" t="s">
        <v>231</v>
      </c>
      <c r="E27" s="42"/>
      <c r="F27" s="42"/>
      <c r="G27" s="43">
        <f t="shared" si="0"/>
        <v>0</v>
      </c>
      <c r="H27" s="42"/>
      <c r="I27" s="42"/>
      <c r="J27" s="43">
        <f t="shared" si="1"/>
        <v>0</v>
      </c>
      <c r="K27" s="50">
        <v>39000</v>
      </c>
      <c r="L27" s="51"/>
      <c r="M27" s="1">
        <f t="shared" si="3"/>
        <v>39000</v>
      </c>
      <c r="N27" s="45">
        <f t="shared" si="2"/>
        <v>39</v>
      </c>
      <c r="O27" s="46"/>
      <c r="P27" s="46"/>
      <c r="Q27" s="46"/>
      <c r="R27" s="46"/>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46"/>
      <c r="BB27" s="46"/>
      <c r="BC27" s="46"/>
      <c r="BD27" s="46"/>
      <c r="BE27" s="46"/>
      <c r="BF27" s="46"/>
      <c r="BG27" s="46"/>
    </row>
    <row r="28" spans="1:59" s="37" customFormat="1" ht="33.75" customHeight="1">
      <c r="A28" s="52" t="s">
        <v>9</v>
      </c>
      <c r="B28" s="52" t="s">
        <v>138</v>
      </c>
      <c r="C28" s="52" t="s">
        <v>139</v>
      </c>
      <c r="D28" s="38" t="s">
        <v>1</v>
      </c>
      <c r="E28" s="38"/>
      <c r="F28" s="38"/>
      <c r="G28" s="34">
        <f t="shared" si="0"/>
        <v>0</v>
      </c>
      <c r="H28" s="38"/>
      <c r="I28" s="38"/>
      <c r="J28" s="34">
        <f t="shared" si="1"/>
        <v>0</v>
      </c>
      <c r="K28" s="2">
        <f>2000000-565600</f>
        <v>1434400</v>
      </c>
      <c r="L28" s="2"/>
      <c r="M28" s="2">
        <f t="shared" si="3"/>
        <v>1434400</v>
      </c>
      <c r="N28" s="3">
        <f t="shared" si="2"/>
        <v>1434.4</v>
      </c>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row>
    <row r="29" spans="1:59" s="37" customFormat="1" ht="39" customHeight="1">
      <c r="A29" s="52" t="s">
        <v>11</v>
      </c>
      <c r="B29" s="52" t="s">
        <v>142</v>
      </c>
      <c r="C29" s="52" t="s">
        <v>143</v>
      </c>
      <c r="D29" s="53" t="s">
        <v>10</v>
      </c>
      <c r="E29" s="53"/>
      <c r="F29" s="38"/>
      <c r="G29" s="34">
        <f t="shared" si="0"/>
        <v>0</v>
      </c>
      <c r="H29" s="38"/>
      <c r="I29" s="38"/>
      <c r="J29" s="34">
        <f t="shared" si="1"/>
        <v>0</v>
      </c>
      <c r="K29" s="2">
        <v>32000</v>
      </c>
      <c r="L29" s="54"/>
      <c r="M29" s="2">
        <f t="shared" si="3"/>
        <v>32000</v>
      </c>
      <c r="N29" s="3">
        <f t="shared" si="2"/>
        <v>32</v>
      </c>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row>
    <row r="30" spans="1:59" s="37" customFormat="1" ht="49.5" customHeight="1">
      <c r="A30" s="52" t="s">
        <v>12</v>
      </c>
      <c r="B30" s="52" t="s">
        <v>144</v>
      </c>
      <c r="C30" s="52" t="s">
        <v>134</v>
      </c>
      <c r="D30" s="38" t="s">
        <v>420</v>
      </c>
      <c r="E30" s="38"/>
      <c r="F30" s="38"/>
      <c r="G30" s="34">
        <f t="shared" si="0"/>
        <v>0</v>
      </c>
      <c r="H30" s="38"/>
      <c r="I30" s="38"/>
      <c r="J30" s="34">
        <f t="shared" si="1"/>
        <v>0</v>
      </c>
      <c r="K30" s="2">
        <f>K31+K32</f>
        <v>51315300</v>
      </c>
      <c r="L30" s="2">
        <f>L31+L32</f>
        <v>0</v>
      </c>
      <c r="M30" s="2">
        <f>M31+M32</f>
        <v>51315300</v>
      </c>
      <c r="N30" s="40">
        <f>N31+N32</f>
        <v>51315.3</v>
      </c>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row>
    <row r="31" spans="1:59" s="47" customFormat="1" ht="30" customHeight="1">
      <c r="A31" s="48"/>
      <c r="B31" s="48"/>
      <c r="C31" s="48"/>
      <c r="D31" s="42" t="s">
        <v>163</v>
      </c>
      <c r="E31" s="42" t="s">
        <v>163</v>
      </c>
      <c r="F31" s="42"/>
      <c r="G31" s="43">
        <f t="shared" si="0"/>
        <v>0</v>
      </c>
      <c r="H31" s="42"/>
      <c r="I31" s="42"/>
      <c r="J31" s="43">
        <f t="shared" si="1"/>
        <v>0</v>
      </c>
      <c r="K31" s="1">
        <f>9100000+20000000+14269600+3389700</f>
        <v>46759300</v>
      </c>
      <c r="L31" s="1"/>
      <c r="M31" s="1">
        <f t="shared" si="3"/>
        <v>46759300</v>
      </c>
      <c r="N31" s="45">
        <f t="shared" si="2"/>
        <v>46759.3</v>
      </c>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6"/>
      <c r="BB31" s="46"/>
      <c r="BC31" s="46"/>
      <c r="BD31" s="46"/>
      <c r="BE31" s="46"/>
      <c r="BF31" s="46"/>
      <c r="BG31" s="46"/>
    </row>
    <row r="32" spans="1:59" s="47" customFormat="1" ht="24.75" customHeight="1">
      <c r="A32" s="48"/>
      <c r="B32" s="48"/>
      <c r="C32" s="48"/>
      <c r="D32" s="42" t="s">
        <v>242</v>
      </c>
      <c r="E32" s="42" t="s">
        <v>242</v>
      </c>
      <c r="F32" s="42"/>
      <c r="G32" s="43">
        <f t="shared" si="0"/>
        <v>0</v>
      </c>
      <c r="H32" s="42"/>
      <c r="I32" s="42"/>
      <c r="J32" s="43">
        <f t="shared" si="1"/>
        <v>0</v>
      </c>
      <c r="K32" s="1">
        <f>1082000+3474000</f>
        <v>4556000</v>
      </c>
      <c r="L32" s="1"/>
      <c r="M32" s="1">
        <f t="shared" si="3"/>
        <v>4556000</v>
      </c>
      <c r="N32" s="45">
        <f t="shared" si="2"/>
        <v>4556</v>
      </c>
      <c r="O32" s="46"/>
      <c r="P32" s="46"/>
      <c r="Q32" s="46"/>
      <c r="R32" s="46"/>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46"/>
      <c r="BA32" s="46"/>
      <c r="BB32" s="46"/>
      <c r="BC32" s="46"/>
      <c r="BD32" s="46"/>
      <c r="BE32" s="46"/>
      <c r="BF32" s="46"/>
      <c r="BG32" s="46"/>
    </row>
    <row r="33" spans="1:59" s="37" customFormat="1" ht="54.75" customHeight="1">
      <c r="A33" s="52" t="s">
        <v>14</v>
      </c>
      <c r="B33" s="52" t="s">
        <v>145</v>
      </c>
      <c r="C33" s="52" t="s">
        <v>146</v>
      </c>
      <c r="D33" s="38" t="s">
        <v>13</v>
      </c>
      <c r="E33" s="38"/>
      <c r="F33" s="38"/>
      <c r="G33" s="34">
        <f t="shared" si="0"/>
        <v>0</v>
      </c>
      <c r="H33" s="38"/>
      <c r="I33" s="38"/>
      <c r="J33" s="34">
        <f t="shared" si="1"/>
        <v>0</v>
      </c>
      <c r="K33" s="2">
        <v>385000</v>
      </c>
      <c r="L33" s="54"/>
      <c r="M33" s="2">
        <f t="shared" si="3"/>
        <v>385000</v>
      </c>
      <c r="N33" s="3">
        <f t="shared" si="2"/>
        <v>385</v>
      </c>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row>
    <row r="34" spans="1:59" s="37" customFormat="1" ht="63" customHeight="1">
      <c r="A34" s="52" t="s">
        <v>274</v>
      </c>
      <c r="B34" s="52" t="s">
        <v>275</v>
      </c>
      <c r="C34" s="52" t="s">
        <v>96</v>
      </c>
      <c r="D34" s="38" t="s">
        <v>276</v>
      </c>
      <c r="E34" s="38"/>
      <c r="F34" s="38"/>
      <c r="G34" s="34">
        <f t="shared" si="0"/>
        <v>0</v>
      </c>
      <c r="H34" s="38"/>
      <c r="I34" s="38"/>
      <c r="J34" s="34">
        <f t="shared" si="1"/>
        <v>0</v>
      </c>
      <c r="K34" s="2">
        <f>1320000+570427+2185643</f>
        <v>4076070</v>
      </c>
      <c r="L34" s="2"/>
      <c r="M34" s="2">
        <f t="shared" si="3"/>
        <v>4076070</v>
      </c>
      <c r="N34" s="3">
        <f t="shared" si="2"/>
        <v>4076.1</v>
      </c>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row>
    <row r="35" spans="1:59" s="37" customFormat="1" ht="33" customHeight="1">
      <c r="A35" s="52" t="s">
        <v>15</v>
      </c>
      <c r="B35" s="52" t="s">
        <v>148</v>
      </c>
      <c r="C35" s="52" t="s">
        <v>147</v>
      </c>
      <c r="D35" s="38" t="s">
        <v>416</v>
      </c>
      <c r="E35" s="38"/>
      <c r="F35" s="38"/>
      <c r="G35" s="34">
        <f t="shared" si="0"/>
        <v>0</v>
      </c>
      <c r="H35" s="38"/>
      <c r="I35" s="38"/>
      <c r="J35" s="34">
        <f t="shared" si="1"/>
        <v>0</v>
      </c>
      <c r="K35" s="2">
        <f>K37+K36+K38</f>
        <v>3217311</v>
      </c>
      <c r="L35" s="2">
        <f>L37+L36+L38</f>
        <v>0</v>
      </c>
      <c r="M35" s="2">
        <f>M37+M36+M38</f>
        <v>3217311</v>
      </c>
      <c r="N35" s="40">
        <f>N37+N36+N38</f>
        <v>3217.2999999999997</v>
      </c>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row>
    <row r="36" spans="1:59" s="47" customFormat="1" ht="60" customHeight="1">
      <c r="A36" s="48" t="s">
        <v>15</v>
      </c>
      <c r="B36" s="48" t="s">
        <v>148</v>
      </c>
      <c r="C36" s="48" t="s">
        <v>243</v>
      </c>
      <c r="D36" s="55" t="s">
        <v>244</v>
      </c>
      <c r="E36" s="42"/>
      <c r="F36" s="42"/>
      <c r="G36" s="43">
        <f t="shared" si="0"/>
        <v>0</v>
      </c>
      <c r="H36" s="42"/>
      <c r="I36" s="42"/>
      <c r="J36" s="43">
        <f t="shared" si="1"/>
        <v>0</v>
      </c>
      <c r="K36" s="1">
        <f>90000+2993718</f>
        <v>3083718</v>
      </c>
      <c r="L36" s="50"/>
      <c r="M36" s="1">
        <f t="shared" si="3"/>
        <v>3083718</v>
      </c>
      <c r="N36" s="45">
        <f t="shared" si="2"/>
        <v>3083.7</v>
      </c>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46"/>
      <c r="BA36" s="46"/>
      <c r="BB36" s="46"/>
      <c r="BC36" s="46"/>
      <c r="BD36" s="46"/>
      <c r="BE36" s="46"/>
      <c r="BF36" s="46"/>
      <c r="BG36" s="46"/>
    </row>
    <row r="37" spans="1:59" s="47" customFormat="1" ht="57" customHeight="1">
      <c r="A37" s="48" t="s">
        <v>15</v>
      </c>
      <c r="B37" s="48" t="s">
        <v>148</v>
      </c>
      <c r="C37" s="48" t="s">
        <v>147</v>
      </c>
      <c r="D37" s="55" t="s">
        <v>398</v>
      </c>
      <c r="E37" s="55"/>
      <c r="F37" s="55"/>
      <c r="G37" s="43">
        <f t="shared" si="0"/>
        <v>0</v>
      </c>
      <c r="H37" s="55"/>
      <c r="I37" s="55"/>
      <c r="J37" s="43">
        <f t="shared" si="1"/>
        <v>0</v>
      </c>
      <c r="K37" s="1">
        <v>26000</v>
      </c>
      <c r="L37" s="51"/>
      <c r="M37" s="1">
        <f t="shared" si="3"/>
        <v>26000</v>
      </c>
      <c r="N37" s="45">
        <f t="shared" si="2"/>
        <v>26</v>
      </c>
      <c r="O37" s="46"/>
      <c r="P37" s="46"/>
      <c r="Q37" s="46"/>
      <c r="R37" s="46"/>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c r="AY37" s="46"/>
      <c r="AZ37" s="46"/>
      <c r="BA37" s="46"/>
      <c r="BB37" s="46"/>
      <c r="BC37" s="46"/>
      <c r="BD37" s="46"/>
      <c r="BE37" s="46"/>
      <c r="BF37" s="46"/>
      <c r="BG37" s="46"/>
    </row>
    <row r="38" spans="1:59" s="47" customFormat="1" ht="45" customHeight="1">
      <c r="A38" s="48" t="s">
        <v>15</v>
      </c>
      <c r="B38" s="48" t="s">
        <v>148</v>
      </c>
      <c r="C38" s="48" t="s">
        <v>147</v>
      </c>
      <c r="D38" s="55" t="s">
        <v>399</v>
      </c>
      <c r="E38" s="55"/>
      <c r="F38" s="55"/>
      <c r="G38" s="43">
        <f t="shared" si="0"/>
        <v>0</v>
      </c>
      <c r="H38" s="55"/>
      <c r="I38" s="55"/>
      <c r="J38" s="43">
        <f t="shared" si="1"/>
        <v>0</v>
      </c>
      <c r="K38" s="1">
        <v>107593</v>
      </c>
      <c r="L38" s="50"/>
      <c r="M38" s="1">
        <f t="shared" si="3"/>
        <v>107593</v>
      </c>
      <c r="N38" s="45">
        <f t="shared" si="2"/>
        <v>107.6</v>
      </c>
      <c r="O38" s="46"/>
      <c r="P38" s="46"/>
      <c r="Q38" s="46"/>
      <c r="R38" s="46"/>
      <c r="S38" s="46"/>
      <c r="T38" s="46"/>
      <c r="U38" s="46"/>
      <c r="V38" s="46"/>
      <c r="W38" s="46"/>
      <c r="X38" s="46"/>
      <c r="Y38" s="46"/>
      <c r="Z38" s="46"/>
      <c r="AA38" s="46"/>
      <c r="AB38" s="46"/>
      <c r="AC38" s="46"/>
      <c r="AD38" s="46"/>
      <c r="AE38" s="46"/>
      <c r="AF38" s="46"/>
      <c r="AG38" s="46"/>
      <c r="AH38" s="46"/>
      <c r="AI38" s="46"/>
      <c r="AJ38" s="46"/>
      <c r="AK38" s="46"/>
      <c r="AL38" s="46"/>
      <c r="AM38" s="46"/>
      <c r="AN38" s="46"/>
      <c r="AO38" s="46"/>
      <c r="AP38" s="46"/>
      <c r="AQ38" s="46"/>
      <c r="AR38" s="46"/>
      <c r="AS38" s="46"/>
      <c r="AT38" s="46"/>
      <c r="AU38" s="46"/>
      <c r="AV38" s="46"/>
      <c r="AW38" s="46"/>
      <c r="AX38" s="46"/>
      <c r="AY38" s="46"/>
      <c r="AZ38" s="46"/>
      <c r="BA38" s="46"/>
      <c r="BB38" s="46"/>
      <c r="BC38" s="46"/>
      <c r="BD38" s="46"/>
      <c r="BE38" s="46"/>
      <c r="BF38" s="46"/>
      <c r="BG38" s="46"/>
    </row>
    <row r="39" spans="1:59" s="37" customFormat="1" ht="24.75" customHeight="1">
      <c r="A39" s="52" t="s">
        <v>375</v>
      </c>
      <c r="B39" s="56">
        <v>8800</v>
      </c>
      <c r="C39" s="32" t="s">
        <v>96</v>
      </c>
      <c r="D39" s="57" t="s">
        <v>421</v>
      </c>
      <c r="E39" s="55"/>
      <c r="F39" s="55"/>
      <c r="G39" s="34">
        <f t="shared" si="0"/>
        <v>0</v>
      </c>
      <c r="H39" s="55"/>
      <c r="I39" s="55"/>
      <c r="J39" s="34">
        <f t="shared" si="1"/>
        <v>0</v>
      </c>
      <c r="K39" s="2">
        <f>K40</f>
        <v>54200</v>
      </c>
      <c r="L39" s="2">
        <f>L40</f>
        <v>0</v>
      </c>
      <c r="M39" s="2">
        <f>M40</f>
        <v>54200</v>
      </c>
      <c r="N39" s="40">
        <f>N40</f>
        <v>54.2</v>
      </c>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row>
    <row r="40" spans="1:59" s="47" customFormat="1" ht="85.5" customHeight="1">
      <c r="A40" s="48" t="s">
        <v>375</v>
      </c>
      <c r="B40" s="58">
        <v>8800</v>
      </c>
      <c r="C40" s="48" t="s">
        <v>96</v>
      </c>
      <c r="D40" s="59" t="s">
        <v>376</v>
      </c>
      <c r="E40" s="55"/>
      <c r="F40" s="55"/>
      <c r="G40" s="43">
        <f t="shared" si="0"/>
        <v>0</v>
      </c>
      <c r="H40" s="55"/>
      <c r="I40" s="55"/>
      <c r="J40" s="43">
        <f t="shared" si="1"/>
        <v>0</v>
      </c>
      <c r="K40" s="1">
        <v>54200</v>
      </c>
      <c r="L40" s="50"/>
      <c r="M40" s="1">
        <f t="shared" si="3"/>
        <v>54200</v>
      </c>
      <c r="N40" s="45">
        <f t="shared" si="2"/>
        <v>54.2</v>
      </c>
      <c r="O40" s="46"/>
      <c r="P40" s="46"/>
      <c r="Q40" s="46"/>
      <c r="R40" s="46"/>
      <c r="S40" s="46"/>
      <c r="T40" s="46"/>
      <c r="U40" s="46"/>
      <c r="V40" s="46"/>
      <c r="W40" s="46"/>
      <c r="X40" s="46"/>
      <c r="Y40" s="46"/>
      <c r="Z40" s="46"/>
      <c r="AA40" s="46"/>
      <c r="AB40" s="46"/>
      <c r="AC40" s="46"/>
      <c r="AD40" s="46"/>
      <c r="AE40" s="46"/>
      <c r="AF40" s="46"/>
      <c r="AG40" s="46"/>
      <c r="AH40" s="46"/>
      <c r="AI40" s="46"/>
      <c r="AJ40" s="46"/>
      <c r="AK40" s="46"/>
      <c r="AL40" s="46"/>
      <c r="AM40" s="46"/>
      <c r="AN40" s="46"/>
      <c r="AO40" s="46"/>
      <c r="AP40" s="46"/>
      <c r="AQ40" s="46"/>
      <c r="AR40" s="46"/>
      <c r="AS40" s="46"/>
      <c r="AT40" s="46"/>
      <c r="AU40" s="46"/>
      <c r="AV40" s="46"/>
      <c r="AW40" s="46"/>
      <c r="AX40" s="46"/>
      <c r="AY40" s="46"/>
      <c r="AZ40" s="46"/>
      <c r="BA40" s="46"/>
      <c r="BB40" s="46"/>
      <c r="BC40" s="46"/>
      <c r="BD40" s="46"/>
      <c r="BE40" s="46"/>
      <c r="BF40" s="46"/>
      <c r="BG40" s="46"/>
    </row>
    <row r="41" spans="1:59" s="37" customFormat="1" ht="37.5" customHeight="1">
      <c r="A41" s="60" t="s">
        <v>162</v>
      </c>
      <c r="B41" s="52"/>
      <c r="C41" s="52"/>
      <c r="D41" s="61" t="s">
        <v>16</v>
      </c>
      <c r="E41" s="61"/>
      <c r="F41" s="61"/>
      <c r="G41" s="34">
        <f t="shared" si="0"/>
        <v>0</v>
      </c>
      <c r="H41" s="61"/>
      <c r="I41" s="61"/>
      <c r="J41" s="34">
        <f t="shared" si="1"/>
        <v>0</v>
      </c>
      <c r="K41" s="35">
        <f>K42+K43+K44+K45+K46+K48+K49+K50+K51+K47</f>
        <v>37137804</v>
      </c>
      <c r="L41" s="35">
        <f>L42+L43+L44+L45+L46+L48+L49+L50+L51+L47</f>
        <v>192690.05</v>
      </c>
      <c r="M41" s="35">
        <f>M42+M43+M44+M45+M46+M48+M49+M50+M51+M47</f>
        <v>37330494.05</v>
      </c>
      <c r="N41" s="36">
        <f>N42+N43+N44+N45+N46+N48+N49+N50+N51+N47</f>
        <v>37330.5</v>
      </c>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c r="BC41" s="13"/>
      <c r="BD41" s="13"/>
      <c r="BE41" s="13"/>
      <c r="BF41" s="13"/>
      <c r="BG41" s="13"/>
    </row>
    <row r="42" spans="1:59" s="37" customFormat="1" ht="40.5" customHeight="1">
      <c r="A42" s="32" t="s">
        <v>24</v>
      </c>
      <c r="B42" s="32" t="s">
        <v>96</v>
      </c>
      <c r="C42" s="32" t="s">
        <v>97</v>
      </c>
      <c r="D42" s="38" t="s">
        <v>248</v>
      </c>
      <c r="E42" s="38"/>
      <c r="F42" s="38"/>
      <c r="G42" s="34">
        <f t="shared" si="0"/>
        <v>0</v>
      </c>
      <c r="H42" s="38"/>
      <c r="I42" s="38"/>
      <c r="J42" s="34">
        <f t="shared" si="1"/>
        <v>0</v>
      </c>
      <c r="K42" s="2">
        <f>26000-6500-3500</f>
        <v>16000</v>
      </c>
      <c r="L42" s="2"/>
      <c r="M42" s="2">
        <f t="shared" si="3"/>
        <v>16000</v>
      </c>
      <c r="N42" s="3">
        <f t="shared" si="2"/>
        <v>16</v>
      </c>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3"/>
      <c r="BA42" s="13"/>
      <c r="BB42" s="13"/>
      <c r="BC42" s="13"/>
      <c r="BD42" s="13"/>
      <c r="BE42" s="13"/>
      <c r="BF42" s="13"/>
      <c r="BG42" s="13"/>
    </row>
    <row r="43" spans="1:59" s="37" customFormat="1" ht="25.5" customHeight="1">
      <c r="A43" s="32" t="s">
        <v>25</v>
      </c>
      <c r="B43" s="32" t="s">
        <v>99</v>
      </c>
      <c r="C43" s="32" t="s">
        <v>100</v>
      </c>
      <c r="D43" s="38" t="s">
        <v>17</v>
      </c>
      <c r="E43" s="38"/>
      <c r="F43" s="38"/>
      <c r="G43" s="34">
        <f t="shared" si="0"/>
        <v>0</v>
      </c>
      <c r="H43" s="38"/>
      <c r="I43" s="38"/>
      <c r="J43" s="34">
        <f t="shared" si="1"/>
        <v>0</v>
      </c>
      <c r="K43" s="2">
        <f>4227000+46000+188000+188000+128575+653432+2049749</f>
        <v>7480756</v>
      </c>
      <c r="L43" s="2">
        <f>-31400</f>
        <v>-31400</v>
      </c>
      <c r="M43" s="2">
        <f t="shared" si="3"/>
        <v>7449356</v>
      </c>
      <c r="N43" s="3">
        <f>ROUND(M43/1000,1)-0.1</f>
        <v>7449.299999999999</v>
      </c>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row>
    <row r="44" spans="1:59" s="37" customFormat="1" ht="66.75" customHeight="1">
      <c r="A44" s="32" t="s">
        <v>26</v>
      </c>
      <c r="B44" s="32" t="s">
        <v>101</v>
      </c>
      <c r="C44" s="32" t="s">
        <v>102</v>
      </c>
      <c r="D44" s="38" t="s">
        <v>18</v>
      </c>
      <c r="E44" s="38"/>
      <c r="F44" s="38"/>
      <c r="G44" s="34">
        <f t="shared" si="0"/>
        <v>0</v>
      </c>
      <c r="H44" s="38"/>
      <c r="I44" s="38"/>
      <c r="J44" s="34">
        <f t="shared" si="1"/>
        <v>0</v>
      </c>
      <c r="K44" s="2">
        <f>6800000+11000+500000+50000+1271434+571588+3900000+4606866</f>
        <v>17710888</v>
      </c>
      <c r="L44" s="2">
        <f>147373.05</f>
        <v>147373.05</v>
      </c>
      <c r="M44" s="2">
        <f t="shared" si="3"/>
        <v>17858261.05</v>
      </c>
      <c r="N44" s="3">
        <f t="shared" si="2"/>
        <v>17858.3</v>
      </c>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13"/>
      <c r="AZ44" s="13"/>
      <c r="BA44" s="13"/>
      <c r="BB44" s="13"/>
      <c r="BC44" s="13"/>
      <c r="BD44" s="13"/>
      <c r="BE44" s="13"/>
      <c r="BF44" s="13"/>
      <c r="BG44" s="13"/>
    </row>
    <row r="45" spans="1:59" s="37" customFormat="1" ht="63.75" customHeight="1">
      <c r="A45" s="32" t="s">
        <v>27</v>
      </c>
      <c r="B45" s="32" t="s">
        <v>103</v>
      </c>
      <c r="C45" s="32" t="s">
        <v>104</v>
      </c>
      <c r="D45" s="38" t="s">
        <v>19</v>
      </c>
      <c r="E45" s="38"/>
      <c r="F45" s="38"/>
      <c r="G45" s="34">
        <f t="shared" si="0"/>
        <v>0</v>
      </c>
      <c r="H45" s="38"/>
      <c r="I45" s="38"/>
      <c r="J45" s="34">
        <f t="shared" si="1"/>
        <v>0</v>
      </c>
      <c r="K45" s="2">
        <v>150000</v>
      </c>
      <c r="L45" s="2">
        <f>76717</f>
        <v>76717</v>
      </c>
      <c r="M45" s="2">
        <f t="shared" si="3"/>
        <v>226717</v>
      </c>
      <c r="N45" s="3">
        <f t="shared" si="2"/>
        <v>226.7</v>
      </c>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3"/>
      <c r="AZ45" s="13"/>
      <c r="BA45" s="13"/>
      <c r="BB45" s="13"/>
      <c r="BC45" s="13"/>
      <c r="BD45" s="13"/>
      <c r="BE45" s="13"/>
      <c r="BF45" s="13"/>
      <c r="BG45" s="13"/>
    </row>
    <row r="46" spans="1:59" s="37" customFormat="1" ht="38.25" customHeight="1">
      <c r="A46" s="32" t="s">
        <v>28</v>
      </c>
      <c r="B46" s="32" t="s">
        <v>105</v>
      </c>
      <c r="C46" s="32" t="s">
        <v>106</v>
      </c>
      <c r="D46" s="38" t="s">
        <v>20</v>
      </c>
      <c r="E46" s="38"/>
      <c r="F46" s="38"/>
      <c r="G46" s="34">
        <f t="shared" si="0"/>
        <v>0</v>
      </c>
      <c r="H46" s="38"/>
      <c r="I46" s="38"/>
      <c r="J46" s="34">
        <f t="shared" si="1"/>
        <v>0</v>
      </c>
      <c r="K46" s="2">
        <v>600000</v>
      </c>
      <c r="L46" s="54"/>
      <c r="M46" s="2">
        <f t="shared" si="3"/>
        <v>600000</v>
      </c>
      <c r="N46" s="3">
        <f t="shared" si="2"/>
        <v>600</v>
      </c>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c r="AZ46" s="13"/>
      <c r="BA46" s="13"/>
      <c r="BB46" s="13"/>
      <c r="BC46" s="13"/>
      <c r="BD46" s="13"/>
      <c r="BE46" s="13"/>
      <c r="BF46" s="13"/>
      <c r="BG46" s="13"/>
    </row>
    <row r="47" spans="1:59" s="37" customFormat="1" ht="39" customHeight="1">
      <c r="A47" s="32" t="s">
        <v>353</v>
      </c>
      <c r="B47" s="32" t="s">
        <v>354</v>
      </c>
      <c r="C47" s="32" t="s">
        <v>355</v>
      </c>
      <c r="D47" s="38" t="s">
        <v>356</v>
      </c>
      <c r="E47" s="38"/>
      <c r="F47" s="38"/>
      <c r="G47" s="34">
        <f t="shared" si="0"/>
        <v>0</v>
      </c>
      <c r="H47" s="38"/>
      <c r="I47" s="38"/>
      <c r="J47" s="34">
        <f t="shared" si="1"/>
        <v>0</v>
      </c>
      <c r="K47" s="2">
        <v>330000</v>
      </c>
      <c r="L47" s="2"/>
      <c r="M47" s="2">
        <f t="shared" si="3"/>
        <v>330000</v>
      </c>
      <c r="N47" s="3">
        <f t="shared" si="2"/>
        <v>330</v>
      </c>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13"/>
    </row>
    <row r="48" spans="1:59" s="37" customFormat="1" ht="30" customHeight="1">
      <c r="A48" s="32" t="s">
        <v>29</v>
      </c>
      <c r="B48" s="32" t="s">
        <v>107</v>
      </c>
      <c r="C48" s="32" t="s">
        <v>108</v>
      </c>
      <c r="D48" s="38" t="s">
        <v>21</v>
      </c>
      <c r="E48" s="38"/>
      <c r="F48" s="38"/>
      <c r="G48" s="34">
        <f t="shared" si="0"/>
        <v>0</v>
      </c>
      <c r="H48" s="38"/>
      <c r="I48" s="38"/>
      <c r="J48" s="34">
        <f t="shared" si="1"/>
        <v>0</v>
      </c>
      <c r="K48" s="2">
        <f>23000-11800</f>
        <v>11200</v>
      </c>
      <c r="L48" s="2"/>
      <c r="M48" s="2">
        <f t="shared" si="3"/>
        <v>11200</v>
      </c>
      <c r="N48" s="3">
        <f t="shared" si="2"/>
        <v>11.2</v>
      </c>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c r="BF48" s="13"/>
      <c r="BG48" s="13"/>
    </row>
    <row r="49" spans="1:59" s="37" customFormat="1" ht="28.5" customHeight="1">
      <c r="A49" s="32" t="s">
        <v>30</v>
      </c>
      <c r="B49" s="32" t="s">
        <v>109</v>
      </c>
      <c r="C49" s="32" t="s">
        <v>108</v>
      </c>
      <c r="D49" s="38" t="s">
        <v>22</v>
      </c>
      <c r="E49" s="38"/>
      <c r="F49" s="38"/>
      <c r="G49" s="34">
        <f t="shared" si="0"/>
        <v>0</v>
      </c>
      <c r="H49" s="38"/>
      <c r="I49" s="38"/>
      <c r="J49" s="34">
        <f t="shared" si="1"/>
        <v>0</v>
      </c>
      <c r="K49" s="2">
        <v>50000</v>
      </c>
      <c r="L49" s="54"/>
      <c r="M49" s="2">
        <f t="shared" si="3"/>
        <v>50000</v>
      </c>
      <c r="N49" s="3">
        <f t="shared" si="2"/>
        <v>50</v>
      </c>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c r="AT49" s="13"/>
      <c r="AU49" s="13"/>
      <c r="AV49" s="13"/>
      <c r="AW49" s="13"/>
      <c r="AX49" s="13"/>
      <c r="AY49" s="13"/>
      <c r="AZ49" s="13"/>
      <c r="BA49" s="13"/>
      <c r="BB49" s="13"/>
      <c r="BC49" s="13"/>
      <c r="BD49" s="13"/>
      <c r="BE49" s="13"/>
      <c r="BF49" s="13"/>
      <c r="BG49" s="13"/>
    </row>
    <row r="50" spans="1:59" s="37" customFormat="1" ht="28.5" customHeight="1">
      <c r="A50" s="32" t="s">
        <v>31</v>
      </c>
      <c r="B50" s="32" t="s">
        <v>110</v>
      </c>
      <c r="C50" s="32" t="s">
        <v>108</v>
      </c>
      <c r="D50" s="38" t="s">
        <v>23</v>
      </c>
      <c r="E50" s="38"/>
      <c r="F50" s="38"/>
      <c r="G50" s="34">
        <f t="shared" si="0"/>
        <v>0</v>
      </c>
      <c r="H50" s="38"/>
      <c r="I50" s="38"/>
      <c r="J50" s="34">
        <f t="shared" si="1"/>
        <v>0</v>
      </c>
      <c r="K50" s="2">
        <f>150000+17500</f>
        <v>167500</v>
      </c>
      <c r="L50" s="2"/>
      <c r="M50" s="2">
        <f t="shared" si="3"/>
        <v>167500</v>
      </c>
      <c r="N50" s="3">
        <f t="shared" si="2"/>
        <v>167.5</v>
      </c>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c r="AV50" s="13"/>
      <c r="AW50" s="13"/>
      <c r="AX50" s="13"/>
      <c r="AY50" s="13"/>
      <c r="AZ50" s="13"/>
      <c r="BA50" s="13"/>
      <c r="BB50" s="13"/>
      <c r="BC50" s="13"/>
      <c r="BD50" s="13"/>
      <c r="BE50" s="13"/>
      <c r="BF50" s="13"/>
      <c r="BG50" s="13"/>
    </row>
    <row r="51" spans="1:59" s="47" customFormat="1" ht="28.5" customHeight="1">
      <c r="A51" s="32" t="s">
        <v>152</v>
      </c>
      <c r="B51" s="32" t="s">
        <v>140</v>
      </c>
      <c r="C51" s="32" t="s">
        <v>141</v>
      </c>
      <c r="D51" s="38" t="s">
        <v>66</v>
      </c>
      <c r="E51" s="38"/>
      <c r="F51" s="38"/>
      <c r="G51" s="34">
        <f t="shared" si="0"/>
        <v>0</v>
      </c>
      <c r="H51" s="38"/>
      <c r="I51" s="38"/>
      <c r="J51" s="34">
        <f t="shared" si="1"/>
        <v>0</v>
      </c>
      <c r="K51" s="2">
        <f>3794460+18000+600000+6209000</f>
        <v>10621460</v>
      </c>
      <c r="L51" s="2"/>
      <c r="M51" s="2">
        <f t="shared" si="3"/>
        <v>10621460</v>
      </c>
      <c r="N51" s="3">
        <f t="shared" si="2"/>
        <v>10621.5</v>
      </c>
      <c r="O51" s="46"/>
      <c r="P51" s="46"/>
      <c r="Q51" s="46"/>
      <c r="R51" s="46"/>
      <c r="S51" s="46"/>
      <c r="T51" s="46"/>
      <c r="U51" s="46"/>
      <c r="V51" s="46"/>
      <c r="W51" s="46"/>
      <c r="X51" s="46"/>
      <c r="Y51" s="46"/>
      <c r="Z51" s="46"/>
      <c r="AA51" s="46"/>
      <c r="AB51" s="46"/>
      <c r="AC51" s="46"/>
      <c r="AD51" s="46"/>
      <c r="AE51" s="46"/>
      <c r="AF51" s="46"/>
      <c r="AG51" s="46"/>
      <c r="AH51" s="46"/>
      <c r="AI51" s="46"/>
      <c r="AJ51" s="46"/>
      <c r="AK51" s="46"/>
      <c r="AL51" s="46"/>
      <c r="AM51" s="46"/>
      <c r="AN51" s="46"/>
      <c r="AO51" s="46"/>
      <c r="AP51" s="46"/>
      <c r="AQ51" s="46"/>
      <c r="AR51" s="46"/>
      <c r="AS51" s="46"/>
      <c r="AT51" s="46"/>
      <c r="AU51" s="46"/>
      <c r="AV51" s="46"/>
      <c r="AW51" s="46"/>
      <c r="AX51" s="46"/>
      <c r="AY51" s="46"/>
      <c r="AZ51" s="46"/>
      <c r="BA51" s="46"/>
      <c r="BB51" s="46"/>
      <c r="BC51" s="46"/>
      <c r="BD51" s="46"/>
      <c r="BE51" s="46"/>
      <c r="BF51" s="46"/>
      <c r="BG51" s="46"/>
    </row>
    <row r="52" spans="1:59" s="37" customFormat="1" ht="34.5" customHeight="1">
      <c r="A52" s="31" t="s">
        <v>164</v>
      </c>
      <c r="B52" s="32"/>
      <c r="C52" s="32"/>
      <c r="D52" s="61" t="s">
        <v>32</v>
      </c>
      <c r="E52" s="61"/>
      <c r="F52" s="61"/>
      <c r="G52" s="34">
        <f t="shared" si="0"/>
        <v>0</v>
      </c>
      <c r="H52" s="61"/>
      <c r="I52" s="61"/>
      <c r="J52" s="34">
        <f t="shared" si="1"/>
        <v>0</v>
      </c>
      <c r="K52" s="35">
        <f>K53+K54+K55+K56+K57+K58+K59</f>
        <v>51395408</v>
      </c>
      <c r="L52" s="35">
        <f>L53+L54+L55+L56+L57+L58+L59</f>
        <v>0</v>
      </c>
      <c r="M52" s="35">
        <f>M53+M54+M55+M56+M57+M58+M59</f>
        <v>51395408</v>
      </c>
      <c r="N52" s="36">
        <f>N53+N54+N55+N56+N57+N58+N59</f>
        <v>51395.4</v>
      </c>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c r="AO52" s="13"/>
      <c r="AP52" s="13"/>
      <c r="AQ52" s="13"/>
      <c r="AR52" s="13"/>
      <c r="AS52" s="13"/>
      <c r="AT52" s="13"/>
      <c r="AU52" s="13"/>
      <c r="AV52" s="13"/>
      <c r="AW52" s="13"/>
      <c r="AX52" s="13"/>
      <c r="AY52" s="13"/>
      <c r="AZ52" s="13"/>
      <c r="BA52" s="13"/>
      <c r="BB52" s="13"/>
      <c r="BC52" s="13"/>
      <c r="BD52" s="13"/>
      <c r="BE52" s="13"/>
      <c r="BF52" s="13"/>
      <c r="BG52" s="13"/>
    </row>
    <row r="53" spans="1:59" s="37" customFormat="1" ht="44.25" customHeight="1">
      <c r="A53" s="32" t="s">
        <v>33</v>
      </c>
      <c r="B53" s="32" t="s">
        <v>96</v>
      </c>
      <c r="C53" s="32" t="s">
        <v>97</v>
      </c>
      <c r="D53" s="38" t="s">
        <v>248</v>
      </c>
      <c r="E53" s="38"/>
      <c r="F53" s="38"/>
      <c r="G53" s="34">
        <f t="shared" si="0"/>
        <v>0</v>
      </c>
      <c r="H53" s="38"/>
      <c r="I53" s="38"/>
      <c r="J53" s="34">
        <f t="shared" si="1"/>
        <v>0</v>
      </c>
      <c r="K53" s="2">
        <v>13000</v>
      </c>
      <c r="L53" s="54"/>
      <c r="M53" s="2">
        <f t="shared" si="3"/>
        <v>13000</v>
      </c>
      <c r="N53" s="3">
        <f t="shared" si="2"/>
        <v>13</v>
      </c>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row>
    <row r="54" spans="1:59" s="37" customFormat="1" ht="39" customHeight="1">
      <c r="A54" s="32" t="s">
        <v>35</v>
      </c>
      <c r="B54" s="32" t="s">
        <v>111</v>
      </c>
      <c r="C54" s="32" t="s">
        <v>112</v>
      </c>
      <c r="D54" s="38" t="s">
        <v>34</v>
      </c>
      <c r="E54" s="38"/>
      <c r="F54" s="38"/>
      <c r="G54" s="34">
        <f t="shared" si="0"/>
        <v>0</v>
      </c>
      <c r="H54" s="38"/>
      <c r="I54" s="38"/>
      <c r="J54" s="34">
        <f t="shared" si="1"/>
        <v>0</v>
      </c>
      <c r="K54" s="2">
        <f>22150000+2500000+3000000+2025000+723050-399750+15000+10865000</f>
        <v>40878300</v>
      </c>
      <c r="L54" s="2"/>
      <c r="M54" s="2">
        <f t="shared" si="3"/>
        <v>40878300</v>
      </c>
      <c r="N54" s="3">
        <f t="shared" si="2"/>
        <v>40878.3</v>
      </c>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3"/>
      <c r="AU54" s="13"/>
      <c r="AV54" s="13"/>
      <c r="AW54" s="13"/>
      <c r="AX54" s="13"/>
      <c r="AY54" s="13"/>
      <c r="AZ54" s="13"/>
      <c r="BA54" s="13"/>
      <c r="BB54" s="13"/>
      <c r="BC54" s="13"/>
      <c r="BD54" s="13"/>
      <c r="BE54" s="13"/>
      <c r="BF54" s="13"/>
      <c r="BG54" s="13"/>
    </row>
    <row r="55" spans="1:59" s="37" customFormat="1" ht="42" customHeight="1">
      <c r="A55" s="32" t="s">
        <v>37</v>
      </c>
      <c r="B55" s="32" t="s">
        <v>113</v>
      </c>
      <c r="C55" s="32" t="s">
        <v>114</v>
      </c>
      <c r="D55" s="38" t="s">
        <v>36</v>
      </c>
      <c r="E55" s="38"/>
      <c r="F55" s="38"/>
      <c r="G55" s="34">
        <f t="shared" si="0"/>
        <v>0</v>
      </c>
      <c r="H55" s="38"/>
      <c r="I55" s="38"/>
      <c r="J55" s="34">
        <f t="shared" si="1"/>
        <v>0</v>
      </c>
      <c r="K55" s="2">
        <v>3500000</v>
      </c>
      <c r="L55" s="54"/>
      <c r="M55" s="2">
        <f t="shared" si="3"/>
        <v>3500000</v>
      </c>
      <c r="N55" s="3">
        <f t="shared" si="2"/>
        <v>3500</v>
      </c>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c r="AT55" s="13"/>
      <c r="AU55" s="13"/>
      <c r="AV55" s="13"/>
      <c r="AW55" s="13"/>
      <c r="AX55" s="13"/>
      <c r="AY55" s="13"/>
      <c r="AZ55" s="13"/>
      <c r="BA55" s="13"/>
      <c r="BB55" s="13"/>
      <c r="BC55" s="13"/>
      <c r="BD55" s="13"/>
      <c r="BE55" s="13"/>
      <c r="BF55" s="13"/>
      <c r="BG55" s="13"/>
    </row>
    <row r="56" spans="1:59" s="37" customFormat="1" ht="31.5" customHeight="1">
      <c r="A56" s="32" t="s">
        <v>39</v>
      </c>
      <c r="B56" s="32" t="s">
        <v>115</v>
      </c>
      <c r="C56" s="32" t="s">
        <v>116</v>
      </c>
      <c r="D56" s="38" t="s">
        <v>38</v>
      </c>
      <c r="E56" s="38"/>
      <c r="F56" s="38"/>
      <c r="G56" s="34">
        <f t="shared" si="0"/>
        <v>0</v>
      </c>
      <c r="H56" s="38"/>
      <c r="I56" s="38"/>
      <c r="J56" s="34">
        <f t="shared" si="1"/>
        <v>0</v>
      </c>
      <c r="K56" s="2">
        <v>1000000</v>
      </c>
      <c r="L56" s="54"/>
      <c r="M56" s="2">
        <f t="shared" si="3"/>
        <v>1000000</v>
      </c>
      <c r="N56" s="3">
        <f t="shared" si="2"/>
        <v>1000</v>
      </c>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row>
    <row r="57" spans="1:59" s="37" customFormat="1" ht="31.5" customHeight="1">
      <c r="A57" s="32" t="s">
        <v>41</v>
      </c>
      <c r="B57" s="32" t="s">
        <v>117</v>
      </c>
      <c r="C57" s="32" t="s">
        <v>118</v>
      </c>
      <c r="D57" s="38" t="s">
        <v>40</v>
      </c>
      <c r="E57" s="38"/>
      <c r="F57" s="38"/>
      <c r="G57" s="34">
        <f t="shared" si="0"/>
        <v>0</v>
      </c>
      <c r="H57" s="38"/>
      <c r="I57" s="38"/>
      <c r="J57" s="34">
        <f t="shared" si="1"/>
        <v>0</v>
      </c>
      <c r="K57" s="2">
        <f>1250000+475000+137108</f>
        <v>1862108</v>
      </c>
      <c r="L57" s="2"/>
      <c r="M57" s="2">
        <f t="shared" si="3"/>
        <v>1862108</v>
      </c>
      <c r="N57" s="3">
        <f t="shared" si="2"/>
        <v>1862.1</v>
      </c>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13"/>
      <c r="AV57" s="13"/>
      <c r="AW57" s="13"/>
      <c r="AX57" s="13"/>
      <c r="AY57" s="13"/>
      <c r="AZ57" s="13"/>
      <c r="BA57" s="13"/>
      <c r="BB57" s="13"/>
      <c r="BC57" s="13"/>
      <c r="BD57" s="13"/>
      <c r="BE57" s="13"/>
      <c r="BF57" s="13"/>
      <c r="BG57" s="13"/>
    </row>
    <row r="58" spans="1:59" s="47" customFormat="1" ht="31.5" customHeight="1">
      <c r="A58" s="32" t="s">
        <v>151</v>
      </c>
      <c r="B58" s="32" t="s">
        <v>140</v>
      </c>
      <c r="C58" s="32" t="s">
        <v>141</v>
      </c>
      <c r="D58" s="38" t="s">
        <v>66</v>
      </c>
      <c r="E58" s="38"/>
      <c r="F58" s="38"/>
      <c r="G58" s="34">
        <f t="shared" si="0"/>
        <v>0</v>
      </c>
      <c r="H58" s="38"/>
      <c r="I58" s="38"/>
      <c r="J58" s="34">
        <f t="shared" si="1"/>
        <v>0</v>
      </c>
      <c r="K58" s="2">
        <f>1200000+42000+1400000</f>
        <v>2642000</v>
      </c>
      <c r="L58" s="2"/>
      <c r="M58" s="2">
        <f t="shared" si="3"/>
        <v>2642000</v>
      </c>
      <c r="N58" s="3">
        <f t="shared" si="2"/>
        <v>2642</v>
      </c>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46"/>
      <c r="AS58" s="46"/>
      <c r="AT58" s="46"/>
      <c r="AU58" s="46"/>
      <c r="AV58" s="46"/>
      <c r="AW58" s="46"/>
      <c r="AX58" s="46"/>
      <c r="AY58" s="46"/>
      <c r="AZ58" s="46"/>
      <c r="BA58" s="46"/>
      <c r="BB58" s="46"/>
      <c r="BC58" s="46"/>
      <c r="BD58" s="46"/>
      <c r="BE58" s="46"/>
      <c r="BF58" s="46"/>
      <c r="BG58" s="46"/>
    </row>
    <row r="59" spans="1:59" s="37" customFormat="1" ht="31.5" customHeight="1">
      <c r="A59" s="56">
        <v>1418800</v>
      </c>
      <c r="B59" s="56">
        <v>8800</v>
      </c>
      <c r="C59" s="32" t="s">
        <v>96</v>
      </c>
      <c r="D59" s="57" t="s">
        <v>421</v>
      </c>
      <c r="E59" s="57"/>
      <c r="F59" s="57"/>
      <c r="G59" s="34">
        <f t="shared" si="0"/>
        <v>0</v>
      </c>
      <c r="H59" s="57"/>
      <c r="I59" s="57"/>
      <c r="J59" s="34">
        <f t="shared" si="1"/>
        <v>0</v>
      </c>
      <c r="K59" s="2">
        <f>K60</f>
        <v>1500000</v>
      </c>
      <c r="L59" s="2">
        <f>L60</f>
        <v>0</v>
      </c>
      <c r="M59" s="2">
        <f t="shared" si="3"/>
        <v>1500000</v>
      </c>
      <c r="N59" s="2">
        <f>N60</f>
        <v>1500</v>
      </c>
      <c r="O59" s="13"/>
      <c r="P59" s="13"/>
      <c r="Q59" s="13"/>
      <c r="R59" s="13"/>
      <c r="S59" s="13"/>
      <c r="T59" s="13"/>
      <c r="U59" s="13"/>
      <c r="V59" s="13"/>
      <c r="W59" s="13"/>
      <c r="X59" s="13"/>
      <c r="Y59" s="13"/>
      <c r="Z59" s="13"/>
      <c r="AA59" s="13"/>
      <c r="AB59" s="13"/>
      <c r="AC59" s="13"/>
      <c r="AD59" s="13"/>
      <c r="AE59" s="13"/>
      <c r="AF59" s="13"/>
      <c r="AG59" s="13"/>
      <c r="AH59" s="13"/>
      <c r="AI59" s="13"/>
      <c r="AJ59" s="13"/>
      <c r="AK59" s="13"/>
      <c r="AL59" s="13"/>
      <c r="AM59" s="13"/>
      <c r="AN59" s="13"/>
      <c r="AO59" s="13"/>
      <c r="AP59" s="13"/>
      <c r="AQ59" s="13"/>
      <c r="AR59" s="13"/>
      <c r="AS59" s="13"/>
      <c r="AT59" s="13"/>
      <c r="AU59" s="13"/>
      <c r="AV59" s="13"/>
      <c r="AW59" s="13"/>
      <c r="AX59" s="13"/>
      <c r="AY59" s="13"/>
      <c r="AZ59" s="13"/>
      <c r="BA59" s="13"/>
      <c r="BB59" s="13"/>
      <c r="BC59" s="13"/>
      <c r="BD59" s="13"/>
      <c r="BE59" s="13"/>
      <c r="BF59" s="13"/>
      <c r="BG59" s="13"/>
    </row>
    <row r="60" spans="1:59" s="47" customFormat="1" ht="52.5" customHeight="1">
      <c r="A60" s="58">
        <v>1418800</v>
      </c>
      <c r="B60" s="58">
        <v>8800</v>
      </c>
      <c r="C60" s="48" t="s">
        <v>96</v>
      </c>
      <c r="D60" s="59" t="s">
        <v>397</v>
      </c>
      <c r="E60" s="59"/>
      <c r="F60" s="59"/>
      <c r="G60" s="43">
        <f t="shared" si="0"/>
        <v>0</v>
      </c>
      <c r="H60" s="59"/>
      <c r="I60" s="59"/>
      <c r="J60" s="43">
        <f t="shared" si="1"/>
        <v>0</v>
      </c>
      <c r="K60" s="1">
        <v>1500000</v>
      </c>
      <c r="L60" s="1"/>
      <c r="M60" s="1">
        <f t="shared" si="3"/>
        <v>1500000</v>
      </c>
      <c r="N60" s="45">
        <f t="shared" si="2"/>
        <v>1500</v>
      </c>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6"/>
      <c r="BB60" s="46"/>
      <c r="BC60" s="46"/>
      <c r="BD60" s="46"/>
      <c r="BE60" s="46"/>
      <c r="BF60" s="46"/>
      <c r="BG60" s="46"/>
    </row>
    <row r="61" spans="1:59" s="37" customFormat="1" ht="37.5" customHeight="1">
      <c r="A61" s="31" t="s">
        <v>42</v>
      </c>
      <c r="B61" s="32"/>
      <c r="C61" s="32"/>
      <c r="D61" s="61" t="s">
        <v>86</v>
      </c>
      <c r="E61" s="61"/>
      <c r="F61" s="61"/>
      <c r="G61" s="34">
        <f t="shared" si="0"/>
        <v>0</v>
      </c>
      <c r="H61" s="61"/>
      <c r="I61" s="61"/>
      <c r="J61" s="34">
        <f t="shared" si="1"/>
        <v>0</v>
      </c>
      <c r="K61" s="35">
        <f>K62+K63+K65+K67+K70</f>
        <v>2596785</v>
      </c>
      <c r="L61" s="35">
        <f>L62+L63+L65+L67+L70</f>
        <v>0</v>
      </c>
      <c r="M61" s="35">
        <f>M62+M63+M65+M67+M70</f>
        <v>2596785</v>
      </c>
      <c r="N61" s="36">
        <f>N62+N63+N65+N67+N70</f>
        <v>2596.8</v>
      </c>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3"/>
      <c r="AU61" s="13"/>
      <c r="AV61" s="13"/>
      <c r="AW61" s="13"/>
      <c r="AX61" s="13"/>
      <c r="AY61" s="13"/>
      <c r="AZ61" s="13"/>
      <c r="BA61" s="13"/>
      <c r="BB61" s="13"/>
      <c r="BC61" s="13"/>
      <c r="BD61" s="13"/>
      <c r="BE61" s="13"/>
      <c r="BF61" s="13"/>
      <c r="BG61" s="13"/>
    </row>
    <row r="62" spans="1:59" s="37" customFormat="1" ht="39" customHeight="1">
      <c r="A62" s="32" t="s">
        <v>43</v>
      </c>
      <c r="B62" s="32" t="s">
        <v>96</v>
      </c>
      <c r="C62" s="32" t="s">
        <v>97</v>
      </c>
      <c r="D62" s="38" t="s">
        <v>248</v>
      </c>
      <c r="E62" s="38"/>
      <c r="F62" s="38"/>
      <c r="G62" s="34">
        <f t="shared" si="0"/>
        <v>0</v>
      </c>
      <c r="H62" s="38"/>
      <c r="I62" s="38"/>
      <c r="J62" s="34">
        <f t="shared" si="1"/>
        <v>0</v>
      </c>
      <c r="K62" s="2">
        <f>250000+404770</f>
        <v>654770</v>
      </c>
      <c r="L62" s="2"/>
      <c r="M62" s="2">
        <f t="shared" si="3"/>
        <v>654770</v>
      </c>
      <c r="N62" s="3">
        <f t="shared" si="2"/>
        <v>654.8</v>
      </c>
      <c r="O62" s="13"/>
      <c r="P62" s="13"/>
      <c r="Q62" s="13"/>
      <c r="R62" s="13"/>
      <c r="S62" s="13"/>
      <c r="T62" s="13"/>
      <c r="U62" s="13"/>
      <c r="V62" s="13"/>
      <c r="W62" s="13"/>
      <c r="X62" s="13"/>
      <c r="Y62" s="13"/>
      <c r="Z62" s="13"/>
      <c r="AA62" s="13"/>
      <c r="AB62" s="13"/>
      <c r="AC62" s="13"/>
      <c r="AD62" s="13"/>
      <c r="AE62" s="13"/>
      <c r="AF62" s="13"/>
      <c r="AG62" s="13"/>
      <c r="AH62" s="13"/>
      <c r="AI62" s="13"/>
      <c r="AJ62" s="13"/>
      <c r="AK62" s="13"/>
      <c r="AL62" s="13"/>
      <c r="AM62" s="13"/>
      <c r="AN62" s="13"/>
      <c r="AO62" s="13"/>
      <c r="AP62" s="13"/>
      <c r="AQ62" s="13"/>
      <c r="AR62" s="13"/>
      <c r="AS62" s="13"/>
      <c r="AT62" s="13"/>
      <c r="AU62" s="13"/>
      <c r="AV62" s="13"/>
      <c r="AW62" s="13"/>
      <c r="AX62" s="13"/>
      <c r="AY62" s="13"/>
      <c r="AZ62" s="13"/>
      <c r="BA62" s="13"/>
      <c r="BB62" s="13"/>
      <c r="BC62" s="13"/>
      <c r="BD62" s="13"/>
      <c r="BE62" s="13"/>
      <c r="BF62" s="13"/>
      <c r="BG62" s="13"/>
    </row>
    <row r="63" spans="1:59" s="54" customFormat="1" ht="114.75" customHeight="1">
      <c r="A63" s="56">
        <v>1513030</v>
      </c>
      <c r="B63" s="56">
        <v>3030</v>
      </c>
      <c r="C63" s="56">
        <v>1030</v>
      </c>
      <c r="D63" s="38" t="s">
        <v>422</v>
      </c>
      <c r="E63" s="38"/>
      <c r="F63" s="38"/>
      <c r="G63" s="34">
        <f t="shared" si="0"/>
        <v>0</v>
      </c>
      <c r="H63" s="30"/>
      <c r="I63" s="38"/>
      <c r="J63" s="34">
        <f t="shared" si="1"/>
        <v>0</v>
      </c>
      <c r="K63" s="62">
        <f>K64</f>
        <v>154612</v>
      </c>
      <c r="L63" s="62">
        <f>L64</f>
        <v>0</v>
      </c>
      <c r="M63" s="62">
        <f>M64</f>
        <v>154612</v>
      </c>
      <c r="N63" s="3">
        <f>N64</f>
        <v>154.6</v>
      </c>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c r="AZ63" s="13"/>
      <c r="BA63" s="13"/>
      <c r="BB63" s="13"/>
      <c r="BC63" s="13"/>
      <c r="BD63" s="13"/>
      <c r="BE63" s="13"/>
      <c r="BF63" s="13"/>
      <c r="BG63" s="13"/>
    </row>
    <row r="64" spans="1:14" s="46" customFormat="1" ht="137.25" customHeight="1">
      <c r="A64" s="58">
        <v>1513031</v>
      </c>
      <c r="B64" s="58">
        <v>3031</v>
      </c>
      <c r="C64" s="58">
        <v>1030</v>
      </c>
      <c r="D64" s="42" t="s">
        <v>232</v>
      </c>
      <c r="E64" s="42"/>
      <c r="F64" s="42"/>
      <c r="G64" s="43">
        <f t="shared" si="0"/>
        <v>0</v>
      </c>
      <c r="H64" s="100"/>
      <c r="I64" s="42"/>
      <c r="J64" s="43">
        <f t="shared" si="1"/>
        <v>0</v>
      </c>
      <c r="K64" s="63">
        <f>150000+4612</f>
        <v>154612</v>
      </c>
      <c r="L64" s="63"/>
      <c r="M64" s="1">
        <f t="shared" si="3"/>
        <v>154612</v>
      </c>
      <c r="N64" s="45">
        <f t="shared" si="2"/>
        <v>154.6</v>
      </c>
    </row>
    <row r="65" spans="1:59" s="37" customFormat="1" ht="59.25" customHeight="1">
      <c r="A65" s="56">
        <v>1513100</v>
      </c>
      <c r="B65" s="56">
        <v>3100</v>
      </c>
      <c r="C65" s="56"/>
      <c r="D65" s="38" t="s">
        <v>423</v>
      </c>
      <c r="E65" s="38"/>
      <c r="F65" s="38"/>
      <c r="G65" s="34">
        <f t="shared" si="0"/>
        <v>0</v>
      </c>
      <c r="H65" s="30"/>
      <c r="I65" s="38"/>
      <c r="J65" s="34">
        <f t="shared" si="1"/>
        <v>0</v>
      </c>
      <c r="K65" s="62">
        <f>K66</f>
        <v>17903</v>
      </c>
      <c r="L65" s="62">
        <f>L66</f>
        <v>0</v>
      </c>
      <c r="M65" s="62">
        <f>M66</f>
        <v>17903</v>
      </c>
      <c r="N65" s="3">
        <f>N66</f>
        <v>17.9</v>
      </c>
      <c r="O65" s="13"/>
      <c r="P65" s="13"/>
      <c r="Q65" s="13"/>
      <c r="R65" s="13"/>
      <c r="S65" s="13"/>
      <c r="T65" s="13"/>
      <c r="U65" s="13"/>
      <c r="V65" s="13"/>
      <c r="W65" s="13"/>
      <c r="X65" s="13"/>
      <c r="Y65" s="13"/>
      <c r="Z65" s="13"/>
      <c r="AA65" s="13"/>
      <c r="AB65" s="13"/>
      <c r="AC65" s="13"/>
      <c r="AD65" s="13"/>
      <c r="AE65" s="13"/>
      <c r="AF65" s="13"/>
      <c r="AG65" s="13"/>
      <c r="AH65" s="13"/>
      <c r="AI65" s="13"/>
      <c r="AJ65" s="13"/>
      <c r="AK65" s="13"/>
      <c r="AL65" s="13"/>
      <c r="AM65" s="13"/>
      <c r="AN65" s="13"/>
      <c r="AO65" s="13"/>
      <c r="AP65" s="13"/>
      <c r="AQ65" s="13"/>
      <c r="AR65" s="13"/>
      <c r="AS65" s="13"/>
      <c r="AT65" s="13"/>
      <c r="AU65" s="13"/>
      <c r="AV65" s="13"/>
      <c r="AW65" s="13"/>
      <c r="AX65" s="13"/>
      <c r="AY65" s="13"/>
      <c r="AZ65" s="13"/>
      <c r="BA65" s="13"/>
      <c r="BB65" s="13"/>
      <c r="BC65" s="13"/>
      <c r="BD65" s="13"/>
      <c r="BE65" s="13"/>
      <c r="BF65" s="13"/>
      <c r="BG65" s="13"/>
    </row>
    <row r="66" spans="1:59" s="47" customFormat="1" ht="58.5" customHeight="1">
      <c r="A66" s="58">
        <v>1513104</v>
      </c>
      <c r="B66" s="58">
        <v>3104</v>
      </c>
      <c r="C66" s="58">
        <v>1020</v>
      </c>
      <c r="D66" s="42" t="s">
        <v>44</v>
      </c>
      <c r="E66" s="42"/>
      <c r="F66" s="42"/>
      <c r="G66" s="43">
        <f t="shared" si="0"/>
        <v>0</v>
      </c>
      <c r="H66" s="100"/>
      <c r="I66" s="42"/>
      <c r="J66" s="43">
        <f t="shared" si="1"/>
        <v>0</v>
      </c>
      <c r="K66" s="1">
        <f>10000+7903</f>
        <v>17903</v>
      </c>
      <c r="L66" s="1"/>
      <c r="M66" s="1">
        <f t="shared" si="3"/>
        <v>17903</v>
      </c>
      <c r="N66" s="45">
        <f t="shared" si="2"/>
        <v>17.9</v>
      </c>
      <c r="O66" s="46"/>
      <c r="P66" s="46"/>
      <c r="Q66" s="46"/>
      <c r="R66" s="46"/>
      <c r="S66" s="46"/>
      <c r="T66" s="46"/>
      <c r="U66" s="46"/>
      <c r="V66" s="46"/>
      <c r="W66" s="46"/>
      <c r="X66" s="46"/>
      <c r="Y66" s="46"/>
      <c r="Z66" s="46"/>
      <c r="AA66" s="46"/>
      <c r="AB66" s="46"/>
      <c r="AC66" s="46"/>
      <c r="AD66" s="46"/>
      <c r="AE66" s="46"/>
      <c r="AF66" s="46"/>
      <c r="AG66" s="46"/>
      <c r="AH66" s="46"/>
      <c r="AI66" s="46"/>
      <c r="AJ66" s="46"/>
      <c r="AK66" s="46"/>
      <c r="AL66" s="46"/>
      <c r="AM66" s="46"/>
      <c r="AN66" s="46"/>
      <c r="AO66" s="46"/>
      <c r="AP66" s="46"/>
      <c r="AQ66" s="46"/>
      <c r="AR66" s="46"/>
      <c r="AS66" s="46"/>
      <c r="AT66" s="46"/>
      <c r="AU66" s="46"/>
      <c r="AV66" s="46"/>
      <c r="AW66" s="46"/>
      <c r="AX66" s="46"/>
      <c r="AY66" s="46"/>
      <c r="AZ66" s="46"/>
      <c r="BA66" s="46"/>
      <c r="BB66" s="46"/>
      <c r="BC66" s="46"/>
      <c r="BD66" s="46"/>
      <c r="BE66" s="46"/>
      <c r="BF66" s="46"/>
      <c r="BG66" s="46"/>
    </row>
    <row r="67" spans="1:59" s="37" customFormat="1" ht="32.25" customHeight="1">
      <c r="A67" s="56">
        <v>1513300</v>
      </c>
      <c r="B67" s="56">
        <v>3300</v>
      </c>
      <c r="C67" s="56">
        <v>1090</v>
      </c>
      <c r="D67" s="38" t="s">
        <v>424</v>
      </c>
      <c r="E67" s="38"/>
      <c r="F67" s="38"/>
      <c r="G67" s="34">
        <f t="shared" si="0"/>
        <v>0</v>
      </c>
      <c r="H67" s="30"/>
      <c r="I67" s="38"/>
      <c r="J67" s="34">
        <f t="shared" si="1"/>
        <v>0</v>
      </c>
      <c r="K67" s="2">
        <f>K68+K69</f>
        <v>1469500</v>
      </c>
      <c r="L67" s="2">
        <f>L68+L69</f>
        <v>0</v>
      </c>
      <c r="M67" s="2">
        <f>M68+M69</f>
        <v>1469500</v>
      </c>
      <c r="N67" s="40">
        <f>N68+N69</f>
        <v>1469.5</v>
      </c>
      <c r="O67" s="13"/>
      <c r="P67" s="13"/>
      <c r="Q67" s="13"/>
      <c r="R67" s="13"/>
      <c r="S67" s="13"/>
      <c r="T67" s="13"/>
      <c r="U67" s="13"/>
      <c r="V67" s="13"/>
      <c r="W67" s="13"/>
      <c r="X67" s="13"/>
      <c r="Y67" s="13"/>
      <c r="Z67" s="13"/>
      <c r="AA67" s="13"/>
      <c r="AB67" s="13"/>
      <c r="AC67" s="13"/>
      <c r="AD67" s="13"/>
      <c r="AE67" s="13"/>
      <c r="AF67" s="13"/>
      <c r="AG67" s="13"/>
      <c r="AH67" s="13"/>
      <c r="AI67" s="13"/>
      <c r="AJ67" s="13"/>
      <c r="AK67" s="13"/>
      <c r="AL67" s="13"/>
      <c r="AM67" s="13"/>
      <c r="AN67" s="13"/>
      <c r="AO67" s="13"/>
      <c r="AP67" s="13"/>
      <c r="AQ67" s="13"/>
      <c r="AR67" s="13"/>
      <c r="AS67" s="13"/>
      <c r="AT67" s="13"/>
      <c r="AU67" s="13"/>
      <c r="AV67" s="13"/>
      <c r="AW67" s="13"/>
      <c r="AX67" s="13"/>
      <c r="AY67" s="13"/>
      <c r="AZ67" s="13"/>
      <c r="BA67" s="13"/>
      <c r="BB67" s="13"/>
      <c r="BC67" s="13"/>
      <c r="BD67" s="13"/>
      <c r="BE67" s="13"/>
      <c r="BF67" s="13"/>
      <c r="BG67" s="13"/>
    </row>
    <row r="68" spans="1:59" s="47" customFormat="1" ht="40.5" customHeight="1">
      <c r="A68" s="58">
        <v>1513300</v>
      </c>
      <c r="B68" s="58">
        <v>3300</v>
      </c>
      <c r="C68" s="48" t="s">
        <v>105</v>
      </c>
      <c r="D68" s="42" t="s">
        <v>83</v>
      </c>
      <c r="E68" s="42"/>
      <c r="F68" s="42"/>
      <c r="G68" s="43">
        <f t="shared" si="0"/>
        <v>0</v>
      </c>
      <c r="H68" s="100"/>
      <c r="I68" s="42"/>
      <c r="J68" s="43">
        <f t="shared" si="1"/>
        <v>0</v>
      </c>
      <c r="K68" s="1">
        <f>257500-6000</f>
        <v>251500</v>
      </c>
      <c r="L68" s="1"/>
      <c r="M68" s="1">
        <f t="shared" si="3"/>
        <v>251500</v>
      </c>
      <c r="N68" s="45">
        <f t="shared" si="2"/>
        <v>251.5</v>
      </c>
      <c r="O68" s="46"/>
      <c r="P68" s="46"/>
      <c r="Q68" s="46"/>
      <c r="R68" s="46"/>
      <c r="S68" s="46"/>
      <c r="T68" s="46"/>
      <c r="U68" s="46"/>
      <c r="V68" s="46"/>
      <c r="W68" s="46"/>
      <c r="X68" s="46"/>
      <c r="Y68" s="46"/>
      <c r="Z68" s="46"/>
      <c r="AA68" s="46"/>
      <c r="AB68" s="46"/>
      <c r="AC68" s="46"/>
      <c r="AD68" s="46"/>
      <c r="AE68" s="46"/>
      <c r="AF68" s="46"/>
      <c r="AG68" s="46"/>
      <c r="AH68" s="46"/>
      <c r="AI68" s="46"/>
      <c r="AJ68" s="46"/>
      <c r="AK68" s="46"/>
      <c r="AL68" s="46"/>
      <c r="AM68" s="46"/>
      <c r="AN68" s="46"/>
      <c r="AO68" s="46"/>
      <c r="AP68" s="46"/>
      <c r="AQ68" s="46"/>
      <c r="AR68" s="46"/>
      <c r="AS68" s="46"/>
      <c r="AT68" s="46"/>
      <c r="AU68" s="46"/>
      <c r="AV68" s="46"/>
      <c r="AW68" s="46"/>
      <c r="AX68" s="46"/>
      <c r="AY68" s="46"/>
      <c r="AZ68" s="46"/>
      <c r="BA68" s="46"/>
      <c r="BB68" s="46"/>
      <c r="BC68" s="46"/>
      <c r="BD68" s="46"/>
      <c r="BE68" s="46"/>
      <c r="BF68" s="46"/>
      <c r="BG68" s="46"/>
    </row>
    <row r="69" spans="1:59" s="47" customFormat="1" ht="57.75" customHeight="1">
      <c r="A69" s="58">
        <v>1513300</v>
      </c>
      <c r="B69" s="58">
        <v>3300</v>
      </c>
      <c r="C69" s="48" t="s">
        <v>105</v>
      </c>
      <c r="D69" s="42" t="s">
        <v>413</v>
      </c>
      <c r="E69" s="42"/>
      <c r="F69" s="42"/>
      <c r="G69" s="43">
        <f t="shared" si="0"/>
        <v>0</v>
      </c>
      <c r="H69" s="100"/>
      <c r="I69" s="42"/>
      <c r="J69" s="43">
        <f t="shared" si="1"/>
        <v>0</v>
      </c>
      <c r="K69" s="1">
        <f>600000+618000</f>
        <v>1218000</v>
      </c>
      <c r="L69" s="1"/>
      <c r="M69" s="1">
        <f t="shared" si="3"/>
        <v>1218000</v>
      </c>
      <c r="N69" s="45">
        <f t="shared" si="2"/>
        <v>1218</v>
      </c>
      <c r="O69" s="46"/>
      <c r="P69" s="46"/>
      <c r="Q69" s="46"/>
      <c r="R69" s="46"/>
      <c r="S69" s="46"/>
      <c r="T69" s="46"/>
      <c r="U69" s="46"/>
      <c r="V69" s="46"/>
      <c r="W69" s="46"/>
      <c r="X69" s="46"/>
      <c r="Y69" s="46"/>
      <c r="Z69" s="46"/>
      <c r="AA69" s="46"/>
      <c r="AB69" s="46"/>
      <c r="AC69" s="46"/>
      <c r="AD69" s="46"/>
      <c r="AE69" s="46"/>
      <c r="AF69" s="46"/>
      <c r="AG69" s="46"/>
      <c r="AH69" s="46"/>
      <c r="AI69" s="46"/>
      <c r="AJ69" s="46"/>
      <c r="AK69" s="46"/>
      <c r="AL69" s="46"/>
      <c r="AM69" s="46"/>
      <c r="AN69" s="46"/>
      <c r="AO69" s="46"/>
      <c r="AP69" s="46"/>
      <c r="AQ69" s="46"/>
      <c r="AR69" s="46"/>
      <c r="AS69" s="46"/>
      <c r="AT69" s="46"/>
      <c r="AU69" s="46"/>
      <c r="AV69" s="46"/>
      <c r="AW69" s="46"/>
      <c r="AX69" s="46"/>
      <c r="AY69" s="46"/>
      <c r="AZ69" s="46"/>
      <c r="BA69" s="46"/>
      <c r="BB69" s="46"/>
      <c r="BC69" s="46"/>
      <c r="BD69" s="46"/>
      <c r="BE69" s="46"/>
      <c r="BF69" s="46"/>
      <c r="BG69" s="46"/>
    </row>
    <row r="70" spans="1:59" s="47" customFormat="1" ht="33.75" customHeight="1">
      <c r="A70" s="32" t="s">
        <v>150</v>
      </c>
      <c r="B70" s="32" t="s">
        <v>140</v>
      </c>
      <c r="C70" s="32" t="s">
        <v>141</v>
      </c>
      <c r="D70" s="38" t="s">
        <v>66</v>
      </c>
      <c r="E70" s="38"/>
      <c r="F70" s="38"/>
      <c r="G70" s="34">
        <f t="shared" si="0"/>
        <v>0</v>
      </c>
      <c r="H70" s="30"/>
      <c r="I70" s="38"/>
      <c r="J70" s="34">
        <f t="shared" si="1"/>
        <v>0</v>
      </c>
      <c r="K70" s="2">
        <v>300000</v>
      </c>
      <c r="L70" s="54"/>
      <c r="M70" s="2">
        <f t="shared" si="3"/>
        <v>300000</v>
      </c>
      <c r="N70" s="3">
        <f t="shared" si="2"/>
        <v>300</v>
      </c>
      <c r="O70" s="46"/>
      <c r="P70" s="46"/>
      <c r="Q70" s="46"/>
      <c r="R70" s="46"/>
      <c r="S70" s="46"/>
      <c r="T70" s="46"/>
      <c r="U70" s="46"/>
      <c r="V70" s="46"/>
      <c r="W70" s="46"/>
      <c r="X70" s="46"/>
      <c r="Y70" s="46"/>
      <c r="Z70" s="46"/>
      <c r="AA70" s="46"/>
      <c r="AB70" s="46"/>
      <c r="AC70" s="46"/>
      <c r="AD70" s="46"/>
      <c r="AE70" s="46"/>
      <c r="AF70" s="46"/>
      <c r="AG70" s="46"/>
      <c r="AH70" s="46"/>
      <c r="AI70" s="46"/>
      <c r="AJ70" s="46"/>
      <c r="AK70" s="46"/>
      <c r="AL70" s="46"/>
      <c r="AM70" s="46"/>
      <c r="AN70" s="46"/>
      <c r="AO70" s="46"/>
      <c r="AP70" s="46"/>
      <c r="AQ70" s="46"/>
      <c r="AR70" s="46"/>
      <c r="AS70" s="46"/>
      <c r="AT70" s="46"/>
      <c r="AU70" s="46"/>
      <c r="AV70" s="46"/>
      <c r="AW70" s="46"/>
      <c r="AX70" s="46"/>
      <c r="AY70" s="46"/>
      <c r="AZ70" s="46"/>
      <c r="BA70" s="46"/>
      <c r="BB70" s="46"/>
      <c r="BC70" s="46"/>
      <c r="BD70" s="46"/>
      <c r="BE70" s="46"/>
      <c r="BF70" s="46"/>
      <c r="BG70" s="46"/>
    </row>
    <row r="71" spans="1:59" s="37" customFormat="1" ht="29.25" customHeight="1">
      <c r="A71" s="60" t="s">
        <v>45</v>
      </c>
      <c r="B71" s="52"/>
      <c r="C71" s="52"/>
      <c r="D71" s="61" t="s">
        <v>46</v>
      </c>
      <c r="E71" s="61"/>
      <c r="F71" s="61"/>
      <c r="G71" s="34">
        <f t="shared" si="0"/>
        <v>0</v>
      </c>
      <c r="H71" s="26"/>
      <c r="I71" s="61"/>
      <c r="J71" s="34">
        <f t="shared" si="1"/>
        <v>0</v>
      </c>
      <c r="K71" s="35">
        <f>K72</f>
        <v>376000</v>
      </c>
      <c r="L71" s="35">
        <f>L72</f>
        <v>0</v>
      </c>
      <c r="M71" s="35">
        <f>M72</f>
        <v>376000</v>
      </c>
      <c r="N71" s="36">
        <f>N72</f>
        <v>376</v>
      </c>
      <c r="O71" s="13"/>
      <c r="P71" s="13"/>
      <c r="Q71" s="13"/>
      <c r="R71" s="13"/>
      <c r="S71" s="13"/>
      <c r="T71" s="13"/>
      <c r="U71" s="13"/>
      <c r="V71" s="13"/>
      <c r="W71" s="13"/>
      <c r="X71" s="13"/>
      <c r="Y71" s="13"/>
      <c r="Z71" s="13"/>
      <c r="AA71" s="13"/>
      <c r="AB71" s="13"/>
      <c r="AC71" s="13"/>
      <c r="AD71" s="13"/>
      <c r="AE71" s="13"/>
      <c r="AF71" s="13"/>
      <c r="AG71" s="13"/>
      <c r="AH71" s="13"/>
      <c r="AI71" s="13"/>
      <c r="AJ71" s="13"/>
      <c r="AK71" s="13"/>
      <c r="AL71" s="13"/>
      <c r="AM71" s="13"/>
      <c r="AN71" s="13"/>
      <c r="AO71" s="13"/>
      <c r="AP71" s="13"/>
      <c r="AQ71" s="13"/>
      <c r="AR71" s="13"/>
      <c r="AS71" s="13"/>
      <c r="AT71" s="13"/>
      <c r="AU71" s="13"/>
      <c r="AV71" s="13"/>
      <c r="AW71" s="13"/>
      <c r="AX71" s="13"/>
      <c r="AY71" s="13"/>
      <c r="AZ71" s="13"/>
      <c r="BA71" s="13"/>
      <c r="BB71" s="13"/>
      <c r="BC71" s="13"/>
      <c r="BD71" s="13"/>
      <c r="BE71" s="13"/>
      <c r="BF71" s="13"/>
      <c r="BG71" s="13"/>
    </row>
    <row r="72" spans="1:59" s="37" customFormat="1" ht="41.25" customHeight="1">
      <c r="A72" s="32" t="s">
        <v>47</v>
      </c>
      <c r="B72" s="32" t="s">
        <v>96</v>
      </c>
      <c r="C72" s="32" t="s">
        <v>97</v>
      </c>
      <c r="D72" s="38" t="s">
        <v>248</v>
      </c>
      <c r="E72" s="38"/>
      <c r="F72" s="38"/>
      <c r="G72" s="34">
        <f t="shared" si="0"/>
        <v>0</v>
      </c>
      <c r="H72" s="30"/>
      <c r="I72" s="38"/>
      <c r="J72" s="34">
        <f t="shared" si="1"/>
        <v>0</v>
      </c>
      <c r="K72" s="2">
        <f>26000+350000</f>
        <v>376000</v>
      </c>
      <c r="L72" s="2"/>
      <c r="M72" s="2">
        <f t="shared" si="3"/>
        <v>376000</v>
      </c>
      <c r="N72" s="3">
        <f t="shared" si="2"/>
        <v>376</v>
      </c>
      <c r="O72" s="13"/>
      <c r="P72" s="13"/>
      <c r="Q72" s="13"/>
      <c r="R72" s="13"/>
      <c r="S72" s="13"/>
      <c r="T72" s="13"/>
      <c r="U72" s="13"/>
      <c r="V72" s="13"/>
      <c r="W72" s="13"/>
      <c r="X72" s="13"/>
      <c r="Y72" s="13"/>
      <c r="Z72" s="13"/>
      <c r="AA72" s="13"/>
      <c r="AB72" s="13"/>
      <c r="AC72" s="13"/>
      <c r="AD72" s="13"/>
      <c r="AE72" s="13"/>
      <c r="AF72" s="13"/>
      <c r="AG72" s="13"/>
      <c r="AH72" s="13"/>
      <c r="AI72" s="13"/>
      <c r="AJ72" s="13"/>
      <c r="AK72" s="13"/>
      <c r="AL72" s="13"/>
      <c r="AM72" s="13"/>
      <c r="AN72" s="13"/>
      <c r="AO72" s="13"/>
      <c r="AP72" s="13"/>
      <c r="AQ72" s="13"/>
      <c r="AR72" s="13"/>
      <c r="AS72" s="13"/>
      <c r="AT72" s="13"/>
      <c r="AU72" s="13"/>
      <c r="AV72" s="13"/>
      <c r="AW72" s="13"/>
      <c r="AX72" s="13"/>
      <c r="AY72" s="13"/>
      <c r="AZ72" s="13"/>
      <c r="BA72" s="13"/>
      <c r="BB72" s="13"/>
      <c r="BC72" s="13"/>
      <c r="BD72" s="13"/>
      <c r="BE72" s="13"/>
      <c r="BF72" s="13"/>
      <c r="BG72" s="13"/>
    </row>
    <row r="73" spans="1:59" s="37" customFormat="1" ht="42" customHeight="1">
      <c r="A73" s="32" t="s">
        <v>49</v>
      </c>
      <c r="B73" s="32"/>
      <c r="C73" s="32"/>
      <c r="D73" s="61" t="s">
        <v>48</v>
      </c>
      <c r="E73" s="61"/>
      <c r="F73" s="61"/>
      <c r="G73" s="34">
        <f t="shared" si="0"/>
        <v>0</v>
      </c>
      <c r="H73" s="26"/>
      <c r="I73" s="61"/>
      <c r="J73" s="34">
        <f t="shared" si="1"/>
        <v>0</v>
      </c>
      <c r="K73" s="35">
        <f>K74+K75+K76+K77+K79</f>
        <v>5304927</v>
      </c>
      <c r="L73" s="35">
        <f>L74+L75+L76+L77+L79</f>
        <v>0</v>
      </c>
      <c r="M73" s="35">
        <f>M74+M75+M76+M77+M79</f>
        <v>5304927</v>
      </c>
      <c r="N73" s="36">
        <f>N74+N75+N76+N77+N79</f>
        <v>5304.9</v>
      </c>
      <c r="O73" s="13"/>
      <c r="P73" s="13"/>
      <c r="Q73" s="13"/>
      <c r="R73" s="13"/>
      <c r="S73" s="13"/>
      <c r="T73" s="13"/>
      <c r="U73" s="13"/>
      <c r="V73" s="13"/>
      <c r="W73" s="13"/>
      <c r="X73" s="13"/>
      <c r="Y73" s="13"/>
      <c r="Z73" s="13"/>
      <c r="AA73" s="13"/>
      <c r="AB73" s="13"/>
      <c r="AC73" s="13"/>
      <c r="AD73" s="13"/>
      <c r="AE73" s="13"/>
      <c r="AF73" s="13"/>
      <c r="AG73" s="13"/>
      <c r="AH73" s="13"/>
      <c r="AI73" s="13"/>
      <c r="AJ73" s="13"/>
      <c r="AK73" s="13"/>
      <c r="AL73" s="13"/>
      <c r="AM73" s="13"/>
      <c r="AN73" s="13"/>
      <c r="AO73" s="13"/>
      <c r="AP73" s="13"/>
      <c r="AQ73" s="13"/>
      <c r="AR73" s="13"/>
      <c r="AS73" s="13"/>
      <c r="AT73" s="13"/>
      <c r="AU73" s="13"/>
      <c r="AV73" s="13"/>
      <c r="AW73" s="13"/>
      <c r="AX73" s="13"/>
      <c r="AY73" s="13"/>
      <c r="AZ73" s="13"/>
      <c r="BA73" s="13"/>
      <c r="BB73" s="13"/>
      <c r="BC73" s="13"/>
      <c r="BD73" s="13"/>
      <c r="BE73" s="13"/>
      <c r="BF73" s="13"/>
      <c r="BG73" s="13"/>
    </row>
    <row r="74" spans="1:59" s="37" customFormat="1" ht="42" customHeight="1">
      <c r="A74" s="32" t="s">
        <v>50</v>
      </c>
      <c r="B74" s="32" t="s">
        <v>96</v>
      </c>
      <c r="C74" s="32" t="s">
        <v>97</v>
      </c>
      <c r="D74" s="38" t="s">
        <v>248</v>
      </c>
      <c r="E74" s="38"/>
      <c r="F74" s="38"/>
      <c r="G74" s="34">
        <f t="shared" si="0"/>
        <v>0</v>
      </c>
      <c r="H74" s="30"/>
      <c r="I74" s="38"/>
      <c r="J74" s="34">
        <f t="shared" si="1"/>
        <v>0</v>
      </c>
      <c r="K74" s="2">
        <f>13000+241500</f>
        <v>254500</v>
      </c>
      <c r="L74" s="2"/>
      <c r="M74" s="2">
        <f t="shared" si="3"/>
        <v>254500</v>
      </c>
      <c r="N74" s="3">
        <f t="shared" si="2"/>
        <v>254.5</v>
      </c>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3"/>
      <c r="AZ74" s="13"/>
      <c r="BA74" s="13"/>
      <c r="BB74" s="13"/>
      <c r="BC74" s="13"/>
      <c r="BD74" s="13"/>
      <c r="BE74" s="13"/>
      <c r="BF74" s="13"/>
      <c r="BG74" s="13"/>
    </row>
    <row r="75" spans="1:59" s="37" customFormat="1" ht="27" customHeight="1">
      <c r="A75" s="32" t="s">
        <v>52</v>
      </c>
      <c r="B75" s="32" t="s">
        <v>126</v>
      </c>
      <c r="C75" s="32" t="s">
        <v>127</v>
      </c>
      <c r="D75" s="38" t="s">
        <v>51</v>
      </c>
      <c r="E75" s="38"/>
      <c r="F75" s="38"/>
      <c r="G75" s="34">
        <f t="shared" si="0"/>
        <v>0</v>
      </c>
      <c r="H75" s="30"/>
      <c r="I75" s="38"/>
      <c r="J75" s="34">
        <f t="shared" si="1"/>
        <v>0</v>
      </c>
      <c r="K75" s="2">
        <f>460000+600000+995000+13000+463500</f>
        <v>2531500</v>
      </c>
      <c r="L75" s="62"/>
      <c r="M75" s="2">
        <f t="shared" si="3"/>
        <v>2531500</v>
      </c>
      <c r="N75" s="3">
        <f t="shared" si="2"/>
        <v>2531.5</v>
      </c>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c r="BF75" s="13"/>
      <c r="BG75" s="13"/>
    </row>
    <row r="76" spans="1:59" s="37" customFormat="1" ht="27" customHeight="1">
      <c r="A76" s="32" t="s">
        <v>54</v>
      </c>
      <c r="B76" s="32" t="s">
        <v>128</v>
      </c>
      <c r="C76" s="32" t="s">
        <v>106</v>
      </c>
      <c r="D76" s="38" t="s">
        <v>53</v>
      </c>
      <c r="E76" s="38"/>
      <c r="F76" s="38"/>
      <c r="G76" s="34">
        <f aca="true" t="shared" si="4" ref="G76:G135">ROUND(F76/1000,1)</f>
        <v>0</v>
      </c>
      <c r="H76" s="30"/>
      <c r="I76" s="38"/>
      <c r="J76" s="34">
        <f aca="true" t="shared" si="5" ref="J76:J135">ROUND(I76/1000,1)</f>
        <v>0</v>
      </c>
      <c r="K76" s="2">
        <f>50000+250000+300000-192573</f>
        <v>407427</v>
      </c>
      <c r="L76" s="2"/>
      <c r="M76" s="2">
        <f t="shared" si="3"/>
        <v>407427</v>
      </c>
      <c r="N76" s="3">
        <f aca="true" t="shared" si="6" ref="N76:N135">ROUND(M76/1000,1)</f>
        <v>407.4</v>
      </c>
      <c r="O76" s="13"/>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c r="AO76" s="13"/>
      <c r="AP76" s="13"/>
      <c r="AQ76" s="13"/>
      <c r="AR76" s="13"/>
      <c r="AS76" s="13"/>
      <c r="AT76" s="13"/>
      <c r="AU76" s="13"/>
      <c r="AV76" s="13"/>
      <c r="AW76" s="13"/>
      <c r="AX76" s="13"/>
      <c r="AY76" s="13"/>
      <c r="AZ76" s="13"/>
      <c r="BA76" s="13"/>
      <c r="BB76" s="13"/>
      <c r="BC76" s="13"/>
      <c r="BD76" s="13"/>
      <c r="BE76" s="13"/>
      <c r="BF76" s="13"/>
      <c r="BG76" s="13"/>
    </row>
    <row r="77" spans="1:59" s="37" customFormat="1" ht="27" customHeight="1">
      <c r="A77" s="32" t="s">
        <v>55</v>
      </c>
      <c r="B77" s="32" t="s">
        <v>129</v>
      </c>
      <c r="C77" s="32" t="s">
        <v>130</v>
      </c>
      <c r="D77" s="38" t="s">
        <v>417</v>
      </c>
      <c r="E77" s="38"/>
      <c r="F77" s="38"/>
      <c r="G77" s="34">
        <f t="shared" si="4"/>
        <v>0</v>
      </c>
      <c r="H77" s="30"/>
      <c r="I77" s="38"/>
      <c r="J77" s="34">
        <f t="shared" si="5"/>
        <v>0</v>
      </c>
      <c r="K77" s="2">
        <f>K78</f>
        <v>309500</v>
      </c>
      <c r="L77" s="2">
        <f>L78</f>
        <v>0</v>
      </c>
      <c r="M77" s="2">
        <f>M78</f>
        <v>309500</v>
      </c>
      <c r="N77" s="40">
        <f>N78</f>
        <v>309.5</v>
      </c>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c r="AT77" s="13"/>
      <c r="AU77" s="13"/>
      <c r="AV77" s="13"/>
      <c r="AW77" s="13"/>
      <c r="AX77" s="13"/>
      <c r="AY77" s="13"/>
      <c r="AZ77" s="13"/>
      <c r="BA77" s="13"/>
      <c r="BB77" s="13"/>
      <c r="BC77" s="13"/>
      <c r="BD77" s="13"/>
      <c r="BE77" s="13"/>
      <c r="BF77" s="13"/>
      <c r="BG77" s="13"/>
    </row>
    <row r="78" spans="1:59" s="47" customFormat="1" ht="42" customHeight="1">
      <c r="A78" s="41" t="s">
        <v>55</v>
      </c>
      <c r="B78" s="41" t="s">
        <v>129</v>
      </c>
      <c r="C78" s="48" t="s">
        <v>130</v>
      </c>
      <c r="D78" s="42" t="s">
        <v>56</v>
      </c>
      <c r="E78" s="42"/>
      <c r="F78" s="42"/>
      <c r="G78" s="43">
        <f t="shared" si="4"/>
        <v>0</v>
      </c>
      <c r="H78" s="100"/>
      <c r="I78" s="42"/>
      <c r="J78" s="43">
        <f t="shared" si="5"/>
        <v>0</v>
      </c>
      <c r="K78" s="1">
        <f>51000+258500</f>
        <v>309500</v>
      </c>
      <c r="L78" s="1"/>
      <c r="M78" s="1">
        <f t="shared" si="3"/>
        <v>309500</v>
      </c>
      <c r="N78" s="45">
        <f t="shared" si="6"/>
        <v>309.5</v>
      </c>
      <c r="O78" s="46"/>
      <c r="P78" s="46"/>
      <c r="Q78" s="46"/>
      <c r="R78" s="46"/>
      <c r="S78" s="46"/>
      <c r="T78" s="46"/>
      <c r="U78" s="46"/>
      <c r="V78" s="46"/>
      <c r="W78" s="46"/>
      <c r="X78" s="46"/>
      <c r="Y78" s="46"/>
      <c r="Z78" s="46"/>
      <c r="AA78" s="46"/>
      <c r="AB78" s="46"/>
      <c r="AC78" s="46"/>
      <c r="AD78" s="46"/>
      <c r="AE78" s="46"/>
      <c r="AF78" s="46"/>
      <c r="AG78" s="46"/>
      <c r="AH78" s="46"/>
      <c r="AI78" s="46"/>
      <c r="AJ78" s="46"/>
      <c r="AK78" s="46"/>
      <c r="AL78" s="46"/>
      <c r="AM78" s="46"/>
      <c r="AN78" s="46"/>
      <c r="AO78" s="46"/>
      <c r="AP78" s="46"/>
      <c r="AQ78" s="46"/>
      <c r="AR78" s="46"/>
      <c r="AS78" s="46"/>
      <c r="AT78" s="46"/>
      <c r="AU78" s="46"/>
      <c r="AV78" s="46"/>
      <c r="AW78" s="46"/>
      <c r="AX78" s="46"/>
      <c r="AY78" s="46"/>
      <c r="AZ78" s="46"/>
      <c r="BA78" s="46"/>
      <c r="BB78" s="46"/>
      <c r="BC78" s="46"/>
      <c r="BD78" s="46"/>
      <c r="BE78" s="46"/>
      <c r="BF78" s="46"/>
      <c r="BG78" s="46"/>
    </row>
    <row r="79" spans="1:59" s="37" customFormat="1" ht="27" customHeight="1">
      <c r="A79" s="32" t="s">
        <v>149</v>
      </c>
      <c r="B79" s="32" t="s">
        <v>140</v>
      </c>
      <c r="C79" s="32" t="s">
        <v>141</v>
      </c>
      <c r="D79" s="38" t="s">
        <v>66</v>
      </c>
      <c r="E79" s="38"/>
      <c r="F79" s="38"/>
      <c r="G79" s="34">
        <f t="shared" si="4"/>
        <v>0</v>
      </c>
      <c r="H79" s="30"/>
      <c r="I79" s="38"/>
      <c r="J79" s="34">
        <f t="shared" si="5"/>
        <v>0</v>
      </c>
      <c r="K79" s="2">
        <f>1088000+439000+275000</f>
        <v>1802000</v>
      </c>
      <c r="L79" s="2"/>
      <c r="M79" s="2">
        <f t="shared" si="3"/>
        <v>1802000</v>
      </c>
      <c r="N79" s="3">
        <f t="shared" si="6"/>
        <v>1802</v>
      </c>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3"/>
      <c r="AY79" s="13"/>
      <c r="AZ79" s="13"/>
      <c r="BA79" s="13"/>
      <c r="BB79" s="13"/>
      <c r="BC79" s="13"/>
      <c r="BD79" s="13"/>
      <c r="BE79" s="13"/>
      <c r="BF79" s="13"/>
      <c r="BG79" s="13"/>
    </row>
    <row r="80" spans="1:59" s="37" customFormat="1" ht="39.75" customHeight="1">
      <c r="A80" s="31" t="s">
        <v>58</v>
      </c>
      <c r="B80" s="32"/>
      <c r="C80" s="32"/>
      <c r="D80" s="61" t="s">
        <v>57</v>
      </c>
      <c r="E80" s="61"/>
      <c r="F80" s="61"/>
      <c r="G80" s="34">
        <f t="shared" si="4"/>
        <v>0</v>
      </c>
      <c r="H80" s="26"/>
      <c r="I80" s="61"/>
      <c r="J80" s="34">
        <f t="shared" si="5"/>
        <v>0</v>
      </c>
      <c r="K80" s="35">
        <f>K81+K82+K85+K105+K114+K86+K87+K100+K113+K104</f>
        <v>173254634</v>
      </c>
      <c r="L80" s="35">
        <f>L81+L82+L85+L105+L114+L86+L87+L100+L113+L104</f>
        <v>-167790</v>
      </c>
      <c r="M80" s="35">
        <f>M81+M82+M85+M105+M114+M86+M87+M100+M113+M104</f>
        <v>173086844</v>
      </c>
      <c r="N80" s="36">
        <f>N81+N82+N85+N105+N114+N86+N87+N100+N113+N104</f>
        <v>173086.80000000002</v>
      </c>
      <c r="O80" s="13"/>
      <c r="P80" s="13"/>
      <c r="Q80" s="13"/>
      <c r="R80" s="13"/>
      <c r="S80" s="13"/>
      <c r="T80" s="13"/>
      <c r="U80" s="13"/>
      <c r="V80" s="13"/>
      <c r="W80" s="13"/>
      <c r="X80" s="13"/>
      <c r="Y80" s="13"/>
      <c r="Z80" s="13"/>
      <c r="AA80" s="13"/>
      <c r="AB80" s="13"/>
      <c r="AC80" s="13"/>
      <c r="AD80" s="13"/>
      <c r="AE80" s="13"/>
      <c r="AF80" s="13"/>
      <c r="AG80" s="13"/>
      <c r="AH80" s="13"/>
      <c r="AI80" s="13"/>
      <c r="AJ80" s="13"/>
      <c r="AK80" s="13"/>
      <c r="AL80" s="13"/>
      <c r="AM80" s="13"/>
      <c r="AN80" s="13"/>
      <c r="AO80" s="13"/>
      <c r="AP80" s="13"/>
      <c r="AQ80" s="13"/>
      <c r="AR80" s="13"/>
      <c r="AS80" s="13"/>
      <c r="AT80" s="13"/>
      <c r="AU80" s="13"/>
      <c r="AV80" s="13"/>
      <c r="AW80" s="13"/>
      <c r="AX80" s="13"/>
      <c r="AY80" s="13"/>
      <c r="AZ80" s="13"/>
      <c r="BA80" s="13"/>
      <c r="BB80" s="13"/>
      <c r="BC80" s="13"/>
      <c r="BD80" s="13"/>
      <c r="BE80" s="13"/>
      <c r="BF80" s="13"/>
      <c r="BG80" s="13"/>
    </row>
    <row r="81" spans="1:59" s="37" customFormat="1" ht="43.5" customHeight="1">
      <c r="A81" s="32" t="s">
        <v>59</v>
      </c>
      <c r="B81" s="32" t="s">
        <v>96</v>
      </c>
      <c r="C81" s="32" t="s">
        <v>97</v>
      </c>
      <c r="D81" s="38" t="s">
        <v>248</v>
      </c>
      <c r="E81" s="38"/>
      <c r="F81" s="38"/>
      <c r="G81" s="34">
        <f t="shared" si="4"/>
        <v>0</v>
      </c>
      <c r="H81" s="30"/>
      <c r="I81" s="38"/>
      <c r="J81" s="34">
        <f t="shared" si="5"/>
        <v>0</v>
      </c>
      <c r="K81" s="2">
        <v>200000</v>
      </c>
      <c r="L81" s="54"/>
      <c r="M81" s="2">
        <f t="shared" si="3"/>
        <v>200000</v>
      </c>
      <c r="N81" s="3">
        <f t="shared" si="6"/>
        <v>200</v>
      </c>
      <c r="O81" s="13"/>
      <c r="P81" s="13"/>
      <c r="Q81" s="13"/>
      <c r="R81" s="13"/>
      <c r="S81" s="13"/>
      <c r="T81" s="13"/>
      <c r="U81" s="13"/>
      <c r="V81" s="13"/>
      <c r="W81" s="13"/>
      <c r="X81" s="13"/>
      <c r="Y81" s="13"/>
      <c r="Z81" s="13"/>
      <c r="AA81" s="13"/>
      <c r="AB81" s="13"/>
      <c r="AC81" s="13"/>
      <c r="AD81" s="13"/>
      <c r="AE81" s="13"/>
      <c r="AF81" s="13"/>
      <c r="AG81" s="13"/>
      <c r="AH81" s="13"/>
      <c r="AI81" s="13"/>
      <c r="AJ81" s="13"/>
      <c r="AK81" s="13"/>
      <c r="AL81" s="13"/>
      <c r="AM81" s="13"/>
      <c r="AN81" s="13"/>
      <c r="AO81" s="13"/>
      <c r="AP81" s="13"/>
      <c r="AQ81" s="13"/>
      <c r="AR81" s="13"/>
      <c r="AS81" s="13"/>
      <c r="AT81" s="13"/>
      <c r="AU81" s="13"/>
      <c r="AV81" s="13"/>
      <c r="AW81" s="13"/>
      <c r="AX81" s="13"/>
      <c r="AY81" s="13"/>
      <c r="AZ81" s="13"/>
      <c r="BA81" s="13"/>
      <c r="BB81" s="13"/>
      <c r="BC81" s="13"/>
      <c r="BD81" s="13"/>
      <c r="BE81" s="13"/>
      <c r="BF81" s="13"/>
      <c r="BG81" s="13"/>
    </row>
    <row r="82" spans="1:59" s="37" customFormat="1" ht="39.75" customHeight="1">
      <c r="A82" s="32" t="s">
        <v>60</v>
      </c>
      <c r="B82" s="32" t="s">
        <v>120</v>
      </c>
      <c r="C82" s="32"/>
      <c r="D82" s="38" t="s">
        <v>425</v>
      </c>
      <c r="E82" s="38"/>
      <c r="F82" s="38"/>
      <c r="G82" s="34">
        <f t="shared" si="4"/>
        <v>0</v>
      </c>
      <c r="H82" s="30"/>
      <c r="I82" s="38"/>
      <c r="J82" s="34">
        <f t="shared" si="5"/>
        <v>0</v>
      </c>
      <c r="K82" s="2">
        <f>K83+K84</f>
        <v>66021327</v>
      </c>
      <c r="L82" s="2">
        <f>L83+L84</f>
        <v>610000</v>
      </c>
      <c r="M82" s="2">
        <f>M83+M84</f>
        <v>66631327</v>
      </c>
      <c r="N82" s="40">
        <f>N83+N84</f>
        <v>66631.3</v>
      </c>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c r="AY82" s="13"/>
      <c r="AZ82" s="13"/>
      <c r="BA82" s="13"/>
      <c r="BB82" s="13"/>
      <c r="BC82" s="13"/>
      <c r="BD82" s="13"/>
      <c r="BE82" s="13"/>
      <c r="BF82" s="13"/>
      <c r="BG82" s="13"/>
    </row>
    <row r="83" spans="1:59" s="47" customFormat="1" ht="28.5" customHeight="1">
      <c r="A83" s="41" t="s">
        <v>62</v>
      </c>
      <c r="B83" s="41" t="s">
        <v>121</v>
      </c>
      <c r="C83" s="41" t="s">
        <v>119</v>
      </c>
      <c r="D83" s="42" t="s">
        <v>61</v>
      </c>
      <c r="E83" s="42"/>
      <c r="F83" s="42"/>
      <c r="G83" s="43">
        <f t="shared" si="4"/>
        <v>0</v>
      </c>
      <c r="H83" s="100"/>
      <c r="I83" s="42"/>
      <c r="J83" s="43">
        <f t="shared" si="5"/>
        <v>0</v>
      </c>
      <c r="K83" s="1">
        <f>45000000+327958-10000000+1500000+10984469+106100+150000+1408000</f>
        <v>49476527</v>
      </c>
      <c r="L83" s="1"/>
      <c r="M83" s="1">
        <f t="shared" si="3"/>
        <v>49476527</v>
      </c>
      <c r="N83" s="45">
        <f t="shared" si="6"/>
        <v>49476.5</v>
      </c>
      <c r="O83" s="46"/>
      <c r="P83" s="46"/>
      <c r="Q83" s="46"/>
      <c r="R83" s="46"/>
      <c r="S83" s="46"/>
      <c r="T83" s="46"/>
      <c r="U83" s="46"/>
      <c r="V83" s="46"/>
      <c r="W83" s="46"/>
      <c r="X83" s="46"/>
      <c r="Y83" s="46"/>
      <c r="Z83" s="46"/>
      <c r="AA83" s="46"/>
      <c r="AB83" s="46"/>
      <c r="AC83" s="46"/>
      <c r="AD83" s="46"/>
      <c r="AE83" s="46"/>
      <c r="AF83" s="46"/>
      <c r="AG83" s="46"/>
      <c r="AH83" s="46"/>
      <c r="AI83" s="46"/>
      <c r="AJ83" s="46"/>
      <c r="AK83" s="46"/>
      <c r="AL83" s="46"/>
      <c r="AM83" s="46"/>
      <c r="AN83" s="46"/>
      <c r="AO83" s="46"/>
      <c r="AP83" s="46"/>
      <c r="AQ83" s="46"/>
      <c r="AR83" s="46"/>
      <c r="AS83" s="46"/>
      <c r="AT83" s="46"/>
      <c r="AU83" s="46"/>
      <c r="AV83" s="46"/>
      <c r="AW83" s="46"/>
      <c r="AX83" s="46"/>
      <c r="AY83" s="46"/>
      <c r="AZ83" s="46"/>
      <c r="BA83" s="46"/>
      <c r="BB83" s="46"/>
      <c r="BC83" s="46"/>
      <c r="BD83" s="46"/>
      <c r="BE83" s="46"/>
      <c r="BF83" s="46"/>
      <c r="BG83" s="46"/>
    </row>
    <row r="84" spans="1:59" s="47" customFormat="1" ht="64.5" customHeight="1">
      <c r="A84" s="41" t="s">
        <v>64</v>
      </c>
      <c r="B84" s="41" t="s">
        <v>122</v>
      </c>
      <c r="C84" s="41" t="s">
        <v>119</v>
      </c>
      <c r="D84" s="42" t="s">
        <v>63</v>
      </c>
      <c r="E84" s="42"/>
      <c r="F84" s="42"/>
      <c r="G84" s="43">
        <f t="shared" si="4"/>
        <v>0</v>
      </c>
      <c r="H84" s="100"/>
      <c r="I84" s="42"/>
      <c r="J84" s="43">
        <f t="shared" si="5"/>
        <v>0</v>
      </c>
      <c r="K84" s="1">
        <f>5000000+10000000+500000+1000000+44800</f>
        <v>16544800</v>
      </c>
      <c r="L84" s="1">
        <v>610000</v>
      </c>
      <c r="M84" s="1">
        <f t="shared" si="3"/>
        <v>17154800</v>
      </c>
      <c r="N84" s="45">
        <f t="shared" si="6"/>
        <v>17154.8</v>
      </c>
      <c r="O84" s="46"/>
      <c r="P84" s="46"/>
      <c r="Q84" s="46"/>
      <c r="R84" s="46"/>
      <c r="S84" s="46"/>
      <c r="T84" s="46"/>
      <c r="U84" s="46"/>
      <c r="V84" s="46"/>
      <c r="W84" s="46"/>
      <c r="X84" s="46"/>
      <c r="Y84" s="46"/>
      <c r="Z84" s="46"/>
      <c r="AA84" s="46"/>
      <c r="AB84" s="46"/>
      <c r="AC84" s="46"/>
      <c r="AD84" s="46"/>
      <c r="AE84" s="46"/>
      <c r="AF84" s="46"/>
      <c r="AG84" s="46"/>
      <c r="AH84" s="46"/>
      <c r="AI84" s="46"/>
      <c r="AJ84" s="46"/>
      <c r="AK84" s="46"/>
      <c r="AL84" s="46"/>
      <c r="AM84" s="46"/>
      <c r="AN84" s="46"/>
      <c r="AO84" s="46"/>
      <c r="AP84" s="46"/>
      <c r="AQ84" s="46"/>
      <c r="AR84" s="46"/>
      <c r="AS84" s="46"/>
      <c r="AT84" s="46"/>
      <c r="AU84" s="46"/>
      <c r="AV84" s="46"/>
      <c r="AW84" s="46"/>
      <c r="AX84" s="46"/>
      <c r="AY84" s="46"/>
      <c r="AZ84" s="46"/>
      <c r="BA84" s="46"/>
      <c r="BB84" s="46"/>
      <c r="BC84" s="46"/>
      <c r="BD84" s="46"/>
      <c r="BE84" s="46"/>
      <c r="BF84" s="46"/>
      <c r="BG84" s="46"/>
    </row>
    <row r="85" spans="1:59" s="37" customFormat="1" ht="28.5" customHeight="1">
      <c r="A85" s="32" t="s">
        <v>65</v>
      </c>
      <c r="B85" s="32" t="s">
        <v>124</v>
      </c>
      <c r="C85" s="32" t="s">
        <v>123</v>
      </c>
      <c r="D85" s="38" t="s">
        <v>8</v>
      </c>
      <c r="E85" s="38"/>
      <c r="F85" s="38"/>
      <c r="G85" s="34">
        <f t="shared" si="4"/>
        <v>0</v>
      </c>
      <c r="H85" s="30"/>
      <c r="I85" s="38"/>
      <c r="J85" s="34">
        <f t="shared" si="5"/>
        <v>0</v>
      </c>
      <c r="K85" s="62">
        <f>33612000-12000000+1650158-327958+12000000+150000+20450915-837068-87788+1254012</f>
        <v>55864271</v>
      </c>
      <c r="L85" s="2">
        <f>43500-211290</f>
        <v>-167790</v>
      </c>
      <c r="M85" s="2">
        <f aca="true" t="shared" si="7" ref="M85:M247">K85+L85</f>
        <v>55696481</v>
      </c>
      <c r="N85" s="3">
        <f t="shared" si="6"/>
        <v>55696.5</v>
      </c>
      <c r="O85" s="13"/>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c r="AO85" s="13"/>
      <c r="AP85" s="13"/>
      <c r="AQ85" s="13"/>
      <c r="AR85" s="13"/>
      <c r="AS85" s="13"/>
      <c r="AT85" s="13"/>
      <c r="AU85" s="13"/>
      <c r="AV85" s="13"/>
      <c r="AW85" s="13"/>
      <c r="AX85" s="13"/>
      <c r="AY85" s="13"/>
      <c r="AZ85" s="13"/>
      <c r="BA85" s="13"/>
      <c r="BB85" s="13"/>
      <c r="BC85" s="13"/>
      <c r="BD85" s="13"/>
      <c r="BE85" s="13"/>
      <c r="BF85" s="13"/>
      <c r="BG85" s="13"/>
    </row>
    <row r="86" spans="1:59" s="37" customFormat="1" ht="45" customHeight="1">
      <c r="A86" s="32" t="s">
        <v>157</v>
      </c>
      <c r="B86" s="32" t="s">
        <v>125</v>
      </c>
      <c r="C86" s="32" t="s">
        <v>123</v>
      </c>
      <c r="D86" s="38" t="s">
        <v>85</v>
      </c>
      <c r="E86" s="38"/>
      <c r="F86" s="38"/>
      <c r="G86" s="34">
        <f t="shared" si="4"/>
        <v>0</v>
      </c>
      <c r="H86" s="30"/>
      <c r="I86" s="38"/>
      <c r="J86" s="34">
        <f t="shared" si="5"/>
        <v>0</v>
      </c>
      <c r="K86" s="2">
        <f>1000000-300000</f>
        <v>700000</v>
      </c>
      <c r="L86" s="2"/>
      <c r="M86" s="2">
        <f t="shared" si="7"/>
        <v>700000</v>
      </c>
      <c r="N86" s="3">
        <f t="shared" si="6"/>
        <v>700</v>
      </c>
      <c r="O86" s="13"/>
      <c r="P86" s="13"/>
      <c r="Q86" s="13"/>
      <c r="R86" s="13"/>
      <c r="S86" s="13"/>
      <c r="T86" s="13"/>
      <c r="U86" s="13"/>
      <c r="V86" s="13"/>
      <c r="W86" s="13"/>
      <c r="X86" s="13"/>
      <c r="Y86" s="13"/>
      <c r="Z86" s="13"/>
      <c r="AA86" s="13"/>
      <c r="AB86" s="13"/>
      <c r="AC86" s="13"/>
      <c r="AD86" s="13"/>
      <c r="AE86" s="13"/>
      <c r="AF86" s="13"/>
      <c r="AG86" s="13"/>
      <c r="AH86" s="13"/>
      <c r="AI86" s="13"/>
      <c r="AJ86" s="13"/>
      <c r="AK86" s="13"/>
      <c r="AL86" s="13"/>
      <c r="AM86" s="13"/>
      <c r="AN86" s="13"/>
      <c r="AO86" s="13"/>
      <c r="AP86" s="13"/>
      <c r="AQ86" s="13"/>
      <c r="AR86" s="13"/>
      <c r="AS86" s="13"/>
      <c r="AT86" s="13"/>
      <c r="AU86" s="13"/>
      <c r="AV86" s="13"/>
      <c r="AW86" s="13"/>
      <c r="AX86" s="13"/>
      <c r="AY86" s="13"/>
      <c r="AZ86" s="13"/>
      <c r="BA86" s="13"/>
      <c r="BB86" s="13"/>
      <c r="BC86" s="13"/>
      <c r="BD86" s="13"/>
      <c r="BE86" s="13"/>
      <c r="BF86" s="13"/>
      <c r="BG86" s="13"/>
    </row>
    <row r="87" spans="1:59" s="66" customFormat="1" ht="45.75" customHeight="1">
      <c r="A87" s="31" t="s">
        <v>235</v>
      </c>
      <c r="B87" s="31" t="s">
        <v>133</v>
      </c>
      <c r="C87" s="31" t="s">
        <v>134</v>
      </c>
      <c r="D87" s="61" t="s">
        <v>70</v>
      </c>
      <c r="E87" s="61"/>
      <c r="F87" s="61"/>
      <c r="G87" s="64">
        <f t="shared" si="4"/>
        <v>0</v>
      </c>
      <c r="H87" s="26"/>
      <c r="I87" s="61"/>
      <c r="J87" s="64">
        <f t="shared" si="5"/>
        <v>0</v>
      </c>
      <c r="K87" s="35">
        <f>K94+K88+K92</f>
        <v>13381716</v>
      </c>
      <c r="L87" s="35">
        <f>L94+L88+L92</f>
        <v>-610000</v>
      </c>
      <c r="M87" s="35">
        <f>M94+M88+M92</f>
        <v>12771716</v>
      </c>
      <c r="N87" s="36">
        <f>N94+N88+N92</f>
        <v>12771.7</v>
      </c>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c r="BG87" s="65"/>
    </row>
    <row r="88" spans="1:59" s="37" customFormat="1" ht="27.75" customHeight="1">
      <c r="A88" s="32"/>
      <c r="B88" s="32"/>
      <c r="C88" s="32"/>
      <c r="D88" s="61" t="s">
        <v>173</v>
      </c>
      <c r="E88" s="61" t="s">
        <v>173</v>
      </c>
      <c r="F88" s="38"/>
      <c r="G88" s="34">
        <f t="shared" si="4"/>
        <v>0</v>
      </c>
      <c r="H88" s="30"/>
      <c r="I88" s="38"/>
      <c r="J88" s="34">
        <f t="shared" si="5"/>
        <v>0</v>
      </c>
      <c r="K88" s="35">
        <f>K89+K91+K90</f>
        <v>1897000</v>
      </c>
      <c r="L88" s="35">
        <f>L89+L91+L90</f>
        <v>0</v>
      </c>
      <c r="M88" s="35">
        <f>M89+M91+M90</f>
        <v>1897000</v>
      </c>
      <c r="N88" s="36">
        <f>N89+N91+N90</f>
        <v>1897</v>
      </c>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c r="AY88" s="13"/>
      <c r="AZ88" s="13"/>
      <c r="BA88" s="13"/>
      <c r="BB88" s="13"/>
      <c r="BC88" s="13"/>
      <c r="BD88" s="13"/>
      <c r="BE88" s="13"/>
      <c r="BF88" s="13"/>
      <c r="BG88" s="13"/>
    </row>
    <row r="89" spans="1:59" s="37" customFormat="1" ht="39" customHeight="1">
      <c r="A89" s="32"/>
      <c r="B89" s="32"/>
      <c r="C89" s="32"/>
      <c r="D89" s="38" t="s">
        <v>426</v>
      </c>
      <c r="E89" s="38" t="s">
        <v>291</v>
      </c>
      <c r="F89" s="38"/>
      <c r="G89" s="34">
        <f t="shared" si="4"/>
        <v>0</v>
      </c>
      <c r="H89" s="30"/>
      <c r="I89" s="38"/>
      <c r="J89" s="34">
        <f t="shared" si="5"/>
        <v>0</v>
      </c>
      <c r="K89" s="2">
        <f>500000+1000000</f>
        <v>1500000</v>
      </c>
      <c r="L89" s="2"/>
      <c r="M89" s="2">
        <f t="shared" si="7"/>
        <v>1500000</v>
      </c>
      <c r="N89" s="3">
        <f t="shared" si="6"/>
        <v>1500</v>
      </c>
      <c r="O89" s="13"/>
      <c r="P89" s="13"/>
      <c r="Q89" s="13"/>
      <c r="R89" s="13"/>
      <c r="S89" s="13"/>
      <c r="T89" s="13"/>
      <c r="U89" s="13"/>
      <c r="V89" s="13"/>
      <c r="W89" s="13"/>
      <c r="X89" s="13"/>
      <c r="Y89" s="13"/>
      <c r="Z89" s="13"/>
      <c r="AA89" s="13"/>
      <c r="AB89" s="13"/>
      <c r="AC89" s="13"/>
      <c r="AD89" s="13"/>
      <c r="AE89" s="13"/>
      <c r="AF89" s="13"/>
      <c r="AG89" s="13"/>
      <c r="AH89" s="13"/>
      <c r="AI89" s="13"/>
      <c r="AJ89" s="13"/>
      <c r="AK89" s="13"/>
      <c r="AL89" s="13"/>
      <c r="AM89" s="13"/>
      <c r="AN89" s="13"/>
      <c r="AO89" s="13"/>
      <c r="AP89" s="13"/>
      <c r="AQ89" s="13"/>
      <c r="AR89" s="13"/>
      <c r="AS89" s="13"/>
      <c r="AT89" s="13"/>
      <c r="AU89" s="13"/>
      <c r="AV89" s="13"/>
      <c r="AW89" s="13"/>
      <c r="AX89" s="13"/>
      <c r="AY89" s="13"/>
      <c r="AZ89" s="13"/>
      <c r="BA89" s="13"/>
      <c r="BB89" s="13"/>
      <c r="BC89" s="13"/>
      <c r="BD89" s="13"/>
      <c r="BE89" s="13"/>
      <c r="BF89" s="13"/>
      <c r="BG89" s="13"/>
    </row>
    <row r="90" spans="1:59" s="37" customFormat="1" ht="39" customHeight="1">
      <c r="A90" s="32"/>
      <c r="B90" s="32"/>
      <c r="C90" s="32"/>
      <c r="D90" s="38" t="s">
        <v>402</v>
      </c>
      <c r="E90" s="38" t="s">
        <v>402</v>
      </c>
      <c r="F90" s="38"/>
      <c r="G90" s="34">
        <f t="shared" si="4"/>
        <v>0</v>
      </c>
      <c r="H90" s="30"/>
      <c r="I90" s="38"/>
      <c r="J90" s="34">
        <f t="shared" si="5"/>
        <v>0</v>
      </c>
      <c r="K90" s="2">
        <v>87000</v>
      </c>
      <c r="L90" s="2"/>
      <c r="M90" s="2">
        <f t="shared" si="7"/>
        <v>87000</v>
      </c>
      <c r="N90" s="3">
        <f t="shared" si="6"/>
        <v>87</v>
      </c>
      <c r="O90" s="13"/>
      <c r="P90" s="13"/>
      <c r="Q90" s="13"/>
      <c r="R90" s="13"/>
      <c r="S90" s="13"/>
      <c r="T90" s="13"/>
      <c r="U90" s="13"/>
      <c r="V90" s="13"/>
      <c r="W90" s="13"/>
      <c r="X90" s="13"/>
      <c r="Y90" s="13"/>
      <c r="Z90" s="13"/>
      <c r="AA90" s="13"/>
      <c r="AB90" s="13"/>
      <c r="AC90" s="13"/>
      <c r="AD90" s="13"/>
      <c r="AE90" s="13"/>
      <c r="AF90" s="13"/>
      <c r="AG90" s="13"/>
      <c r="AH90" s="13"/>
      <c r="AI90" s="13"/>
      <c r="AJ90" s="13"/>
      <c r="AK90" s="13"/>
      <c r="AL90" s="13"/>
      <c r="AM90" s="13"/>
      <c r="AN90" s="13"/>
      <c r="AO90" s="13"/>
      <c r="AP90" s="13"/>
      <c r="AQ90" s="13"/>
      <c r="AR90" s="13"/>
      <c r="AS90" s="13"/>
      <c r="AT90" s="13"/>
      <c r="AU90" s="13"/>
      <c r="AV90" s="13"/>
      <c r="AW90" s="13"/>
      <c r="AX90" s="13"/>
      <c r="AY90" s="13"/>
      <c r="AZ90" s="13"/>
      <c r="BA90" s="13"/>
      <c r="BB90" s="13"/>
      <c r="BC90" s="13"/>
      <c r="BD90" s="13"/>
      <c r="BE90" s="13"/>
      <c r="BF90" s="13"/>
      <c r="BG90" s="13"/>
    </row>
    <row r="91" spans="1:59" s="37" customFormat="1" ht="36.75" customHeight="1">
      <c r="A91" s="32"/>
      <c r="B91" s="32"/>
      <c r="C91" s="32"/>
      <c r="D91" s="38" t="s">
        <v>357</v>
      </c>
      <c r="E91" s="38" t="s">
        <v>357</v>
      </c>
      <c r="F91" s="38"/>
      <c r="G91" s="34">
        <f t="shared" si="4"/>
        <v>0</v>
      </c>
      <c r="H91" s="30"/>
      <c r="I91" s="38"/>
      <c r="J91" s="34">
        <f t="shared" si="5"/>
        <v>0</v>
      </c>
      <c r="K91" s="2">
        <f>250000-43000+103000</f>
        <v>310000</v>
      </c>
      <c r="L91" s="2"/>
      <c r="M91" s="2">
        <f t="shared" si="7"/>
        <v>310000</v>
      </c>
      <c r="N91" s="3">
        <f t="shared" si="6"/>
        <v>310</v>
      </c>
      <c r="O91" s="13"/>
      <c r="P91" s="13"/>
      <c r="Q91" s="13"/>
      <c r="R91" s="13"/>
      <c r="S91" s="13"/>
      <c r="T91" s="13"/>
      <c r="U91" s="13"/>
      <c r="V91" s="13"/>
      <c r="W91" s="13"/>
      <c r="X91" s="13"/>
      <c r="Y91" s="13"/>
      <c r="Z91" s="13"/>
      <c r="AA91" s="13"/>
      <c r="AB91" s="13"/>
      <c r="AC91" s="13"/>
      <c r="AD91" s="13"/>
      <c r="AE91" s="13"/>
      <c r="AF91" s="13"/>
      <c r="AG91" s="13"/>
      <c r="AH91" s="13"/>
      <c r="AI91" s="13"/>
      <c r="AJ91" s="13"/>
      <c r="AK91" s="13"/>
      <c r="AL91" s="13"/>
      <c r="AM91" s="13"/>
      <c r="AN91" s="13"/>
      <c r="AO91" s="13"/>
      <c r="AP91" s="13"/>
      <c r="AQ91" s="13"/>
      <c r="AR91" s="13"/>
      <c r="AS91" s="13"/>
      <c r="AT91" s="13"/>
      <c r="AU91" s="13"/>
      <c r="AV91" s="13"/>
      <c r="AW91" s="13"/>
      <c r="AX91" s="13"/>
      <c r="AY91" s="13"/>
      <c r="AZ91" s="13"/>
      <c r="BA91" s="13"/>
      <c r="BB91" s="13"/>
      <c r="BC91" s="13"/>
      <c r="BD91" s="13"/>
      <c r="BE91" s="13"/>
      <c r="BF91" s="13"/>
      <c r="BG91" s="13"/>
    </row>
    <row r="92" spans="1:59" s="37" customFormat="1" ht="40.5">
      <c r="A92" s="32"/>
      <c r="B92" s="32"/>
      <c r="C92" s="32"/>
      <c r="D92" s="61" t="s">
        <v>193</v>
      </c>
      <c r="E92" s="61" t="s">
        <v>193</v>
      </c>
      <c r="F92" s="38"/>
      <c r="G92" s="34">
        <f t="shared" si="4"/>
        <v>0</v>
      </c>
      <c r="H92" s="30"/>
      <c r="I92" s="38"/>
      <c r="J92" s="34">
        <f t="shared" si="5"/>
        <v>0</v>
      </c>
      <c r="K92" s="35">
        <f>K93</f>
        <v>650000</v>
      </c>
      <c r="L92" s="35">
        <f>L93</f>
        <v>0</v>
      </c>
      <c r="M92" s="35">
        <f>M93</f>
        <v>650000</v>
      </c>
      <c r="N92" s="36">
        <f>N93</f>
        <v>650</v>
      </c>
      <c r="O92" s="13"/>
      <c r="P92" s="13"/>
      <c r="Q92" s="13"/>
      <c r="R92" s="13"/>
      <c r="S92" s="13"/>
      <c r="T92" s="13"/>
      <c r="U92" s="13"/>
      <c r="V92" s="13"/>
      <c r="W92" s="13"/>
      <c r="X92" s="13"/>
      <c r="Y92" s="13"/>
      <c r="Z92" s="13"/>
      <c r="AA92" s="13"/>
      <c r="AB92" s="13"/>
      <c r="AC92" s="13"/>
      <c r="AD92" s="13"/>
      <c r="AE92" s="13"/>
      <c r="AF92" s="13"/>
      <c r="AG92" s="13"/>
      <c r="AH92" s="13"/>
      <c r="AI92" s="13"/>
      <c r="AJ92" s="13"/>
      <c r="AK92" s="13"/>
      <c r="AL92" s="13"/>
      <c r="AM92" s="13"/>
      <c r="AN92" s="13"/>
      <c r="AO92" s="13"/>
      <c r="AP92" s="13"/>
      <c r="AQ92" s="13"/>
      <c r="AR92" s="13"/>
      <c r="AS92" s="13"/>
      <c r="AT92" s="13"/>
      <c r="AU92" s="13"/>
      <c r="AV92" s="13"/>
      <c r="AW92" s="13"/>
      <c r="AX92" s="13"/>
      <c r="AY92" s="13"/>
      <c r="AZ92" s="13"/>
      <c r="BA92" s="13"/>
      <c r="BB92" s="13"/>
      <c r="BC92" s="13"/>
      <c r="BD92" s="13"/>
      <c r="BE92" s="13"/>
      <c r="BF92" s="13"/>
      <c r="BG92" s="13"/>
    </row>
    <row r="93" spans="1:59" s="37" customFormat="1" ht="43.5" customHeight="1">
      <c r="A93" s="32"/>
      <c r="B93" s="32"/>
      <c r="C93" s="32"/>
      <c r="D93" s="67" t="s">
        <v>277</v>
      </c>
      <c r="E93" s="67" t="s">
        <v>277</v>
      </c>
      <c r="F93" s="38"/>
      <c r="G93" s="34">
        <f t="shared" si="4"/>
        <v>0</v>
      </c>
      <c r="H93" s="30"/>
      <c r="I93" s="38"/>
      <c r="J93" s="34">
        <f t="shared" si="5"/>
        <v>0</v>
      </c>
      <c r="K93" s="2">
        <f>737000-87000</f>
        <v>650000</v>
      </c>
      <c r="L93" s="2"/>
      <c r="M93" s="2">
        <f>K93+L93</f>
        <v>650000</v>
      </c>
      <c r="N93" s="3">
        <f t="shared" si="6"/>
        <v>650</v>
      </c>
      <c r="O93" s="13"/>
      <c r="P93" s="13"/>
      <c r="Q93" s="13"/>
      <c r="R93" s="13"/>
      <c r="S93" s="13"/>
      <c r="T93" s="13"/>
      <c r="U93" s="13"/>
      <c r="V93" s="13"/>
      <c r="W93" s="13"/>
      <c r="X93" s="13"/>
      <c r="Y93" s="13"/>
      <c r="Z93" s="13"/>
      <c r="AA93" s="13"/>
      <c r="AB93" s="13"/>
      <c r="AC93" s="13"/>
      <c r="AD93" s="13"/>
      <c r="AE93" s="13"/>
      <c r="AF93" s="13"/>
      <c r="AG93" s="13"/>
      <c r="AH93" s="13"/>
      <c r="AI93" s="13"/>
      <c r="AJ93" s="13"/>
      <c r="AK93" s="13"/>
      <c r="AL93" s="13"/>
      <c r="AM93" s="13"/>
      <c r="AN93" s="13"/>
      <c r="AO93" s="13"/>
      <c r="AP93" s="13"/>
      <c r="AQ93" s="13"/>
      <c r="AR93" s="13"/>
      <c r="AS93" s="13"/>
      <c r="AT93" s="13"/>
      <c r="AU93" s="13"/>
      <c r="AV93" s="13"/>
      <c r="AW93" s="13"/>
      <c r="AX93" s="13"/>
      <c r="AY93" s="13"/>
      <c r="AZ93" s="13"/>
      <c r="BA93" s="13"/>
      <c r="BB93" s="13"/>
      <c r="BC93" s="13"/>
      <c r="BD93" s="13"/>
      <c r="BE93" s="13"/>
      <c r="BF93" s="13"/>
      <c r="BG93" s="13"/>
    </row>
    <row r="94" spans="1:59" s="37" customFormat="1" ht="24" customHeight="1">
      <c r="A94" s="32"/>
      <c r="B94" s="32"/>
      <c r="C94" s="32"/>
      <c r="D94" s="61" t="s">
        <v>192</v>
      </c>
      <c r="E94" s="61" t="s">
        <v>192</v>
      </c>
      <c r="F94" s="38"/>
      <c r="G94" s="34">
        <f t="shared" si="4"/>
        <v>0</v>
      </c>
      <c r="H94" s="30"/>
      <c r="I94" s="38"/>
      <c r="J94" s="34">
        <f t="shared" si="5"/>
        <v>0</v>
      </c>
      <c r="K94" s="35">
        <f>K96+K97+K98+K95+K99</f>
        <v>10834716</v>
      </c>
      <c r="L94" s="35">
        <f>L96+L97+L98+L95+L99</f>
        <v>-610000</v>
      </c>
      <c r="M94" s="35">
        <f>M96+M97+M98+M95+M99</f>
        <v>10224716</v>
      </c>
      <c r="N94" s="36">
        <f>N96+N97+N98+N95+N99</f>
        <v>10224.7</v>
      </c>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3"/>
      <c r="AY94" s="13"/>
      <c r="AZ94" s="13"/>
      <c r="BA94" s="13"/>
      <c r="BB94" s="13"/>
      <c r="BC94" s="13"/>
      <c r="BD94" s="13"/>
      <c r="BE94" s="13"/>
      <c r="BF94" s="13"/>
      <c r="BG94" s="13"/>
    </row>
    <row r="95" spans="1:59" s="37" customFormat="1" ht="45" customHeight="1">
      <c r="A95" s="32"/>
      <c r="B95" s="32"/>
      <c r="C95" s="32"/>
      <c r="D95" s="38" t="s">
        <v>362</v>
      </c>
      <c r="E95" s="38" t="s">
        <v>362</v>
      </c>
      <c r="F95" s="38"/>
      <c r="G95" s="34">
        <f t="shared" si="4"/>
        <v>0</v>
      </c>
      <c r="H95" s="30"/>
      <c r="I95" s="38"/>
      <c r="J95" s="34">
        <f t="shared" si="5"/>
        <v>0</v>
      </c>
      <c r="K95" s="2">
        <v>1467750</v>
      </c>
      <c r="L95" s="2"/>
      <c r="M95" s="2">
        <f t="shared" si="7"/>
        <v>1467750</v>
      </c>
      <c r="N95" s="3">
        <f t="shared" si="6"/>
        <v>1467.8</v>
      </c>
      <c r="O95" s="13"/>
      <c r="P95" s="13"/>
      <c r="Q95" s="13"/>
      <c r="R95" s="13"/>
      <c r="S95" s="13"/>
      <c r="T95" s="13"/>
      <c r="U95" s="13"/>
      <c r="V95" s="13"/>
      <c r="W95" s="13"/>
      <c r="X95" s="13"/>
      <c r="Y95" s="13"/>
      <c r="Z95" s="13"/>
      <c r="AA95" s="13"/>
      <c r="AB95" s="13"/>
      <c r="AC95" s="13"/>
      <c r="AD95" s="13"/>
      <c r="AE95" s="13"/>
      <c r="AF95" s="13"/>
      <c r="AG95" s="13"/>
      <c r="AH95" s="13"/>
      <c r="AI95" s="13"/>
      <c r="AJ95" s="13"/>
      <c r="AK95" s="13"/>
      <c r="AL95" s="13"/>
      <c r="AM95" s="13"/>
      <c r="AN95" s="13"/>
      <c r="AO95" s="13"/>
      <c r="AP95" s="13"/>
      <c r="AQ95" s="13"/>
      <c r="AR95" s="13"/>
      <c r="AS95" s="13"/>
      <c r="AT95" s="13"/>
      <c r="AU95" s="13"/>
      <c r="AV95" s="13"/>
      <c r="AW95" s="13"/>
      <c r="AX95" s="13"/>
      <c r="AY95" s="13"/>
      <c r="AZ95" s="13"/>
      <c r="BA95" s="13"/>
      <c r="BB95" s="13"/>
      <c r="BC95" s="13"/>
      <c r="BD95" s="13"/>
      <c r="BE95" s="13"/>
      <c r="BF95" s="13"/>
      <c r="BG95" s="13"/>
    </row>
    <row r="96" spans="1:59" s="37" customFormat="1" ht="53.25" customHeight="1">
      <c r="A96" s="32"/>
      <c r="B96" s="32"/>
      <c r="C96" s="32"/>
      <c r="D96" s="67" t="s">
        <v>236</v>
      </c>
      <c r="E96" s="67" t="s">
        <v>236</v>
      </c>
      <c r="F96" s="38"/>
      <c r="G96" s="34">
        <f t="shared" si="4"/>
        <v>0</v>
      </c>
      <c r="H96" s="30"/>
      <c r="I96" s="38"/>
      <c r="J96" s="34">
        <f t="shared" si="5"/>
        <v>0</v>
      </c>
      <c r="K96" s="2">
        <f>2000000-140383</f>
        <v>1859617</v>
      </c>
      <c r="L96" s="2">
        <v>-610000</v>
      </c>
      <c r="M96" s="2">
        <f t="shared" si="7"/>
        <v>1249617</v>
      </c>
      <c r="N96" s="3">
        <f t="shared" si="6"/>
        <v>1249.6</v>
      </c>
      <c r="O96" s="13"/>
      <c r="P96" s="13"/>
      <c r="Q96" s="13"/>
      <c r="R96" s="13"/>
      <c r="S96" s="13"/>
      <c r="T96" s="13"/>
      <c r="U96" s="13"/>
      <c r="V96" s="13"/>
      <c r="W96" s="13"/>
      <c r="X96" s="13"/>
      <c r="Y96" s="13"/>
      <c r="Z96" s="13"/>
      <c r="AA96" s="13"/>
      <c r="AB96" s="13"/>
      <c r="AC96" s="13"/>
      <c r="AD96" s="13"/>
      <c r="AE96" s="13"/>
      <c r="AF96" s="13"/>
      <c r="AG96" s="13"/>
      <c r="AH96" s="13"/>
      <c r="AI96" s="13"/>
      <c r="AJ96" s="13"/>
      <c r="AK96" s="13"/>
      <c r="AL96" s="13"/>
      <c r="AM96" s="13"/>
      <c r="AN96" s="13"/>
      <c r="AO96" s="13"/>
      <c r="AP96" s="13"/>
      <c r="AQ96" s="13"/>
      <c r="AR96" s="13"/>
      <c r="AS96" s="13"/>
      <c r="AT96" s="13"/>
      <c r="AU96" s="13"/>
      <c r="AV96" s="13"/>
      <c r="AW96" s="13"/>
      <c r="AX96" s="13"/>
      <c r="AY96" s="13"/>
      <c r="AZ96" s="13"/>
      <c r="BA96" s="13"/>
      <c r="BB96" s="13"/>
      <c r="BC96" s="13"/>
      <c r="BD96" s="13"/>
      <c r="BE96" s="13"/>
      <c r="BF96" s="13"/>
      <c r="BG96" s="13"/>
    </row>
    <row r="97" spans="1:59" s="37" customFormat="1" ht="74.25" customHeight="1">
      <c r="A97" s="32"/>
      <c r="B97" s="32"/>
      <c r="C97" s="32"/>
      <c r="D97" s="67" t="s">
        <v>384</v>
      </c>
      <c r="E97" s="67" t="s">
        <v>384</v>
      </c>
      <c r="F97" s="38"/>
      <c r="G97" s="34">
        <f t="shared" si="4"/>
        <v>0</v>
      </c>
      <c r="H97" s="30"/>
      <c r="I97" s="38"/>
      <c r="J97" s="34">
        <f t="shared" si="5"/>
        <v>0</v>
      </c>
      <c r="K97" s="2">
        <f>2000000-1087159</f>
        <v>912841</v>
      </c>
      <c r="L97" s="2"/>
      <c r="M97" s="2">
        <f t="shared" si="7"/>
        <v>912841</v>
      </c>
      <c r="N97" s="3">
        <f t="shared" si="6"/>
        <v>912.8</v>
      </c>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3"/>
      <c r="AU97" s="13"/>
      <c r="AV97" s="13"/>
      <c r="AW97" s="13"/>
      <c r="AX97" s="13"/>
      <c r="AY97" s="13"/>
      <c r="AZ97" s="13"/>
      <c r="BA97" s="13"/>
      <c r="BB97" s="13"/>
      <c r="BC97" s="13"/>
      <c r="BD97" s="13"/>
      <c r="BE97" s="13"/>
      <c r="BF97" s="13"/>
      <c r="BG97" s="13"/>
    </row>
    <row r="98" spans="1:59" s="37" customFormat="1" ht="52.5" customHeight="1">
      <c r="A98" s="32"/>
      <c r="B98" s="32"/>
      <c r="C98" s="32"/>
      <c r="D98" s="67" t="s">
        <v>358</v>
      </c>
      <c r="E98" s="67" t="s">
        <v>358</v>
      </c>
      <c r="F98" s="38"/>
      <c r="G98" s="34">
        <f t="shared" si="4"/>
        <v>0</v>
      </c>
      <c r="H98" s="30"/>
      <c r="I98" s="38"/>
      <c r="J98" s="34">
        <f t="shared" si="5"/>
        <v>0</v>
      </c>
      <c r="K98" s="2">
        <v>350000</v>
      </c>
      <c r="L98" s="2"/>
      <c r="M98" s="2">
        <f t="shared" si="7"/>
        <v>350000</v>
      </c>
      <c r="N98" s="3">
        <f t="shared" si="6"/>
        <v>350</v>
      </c>
      <c r="O98" s="13"/>
      <c r="P98" s="13"/>
      <c r="Q98" s="13"/>
      <c r="R98" s="13"/>
      <c r="S98" s="13"/>
      <c r="T98" s="13"/>
      <c r="U98" s="13"/>
      <c r="V98" s="13"/>
      <c r="W98" s="13"/>
      <c r="X98" s="13"/>
      <c r="Y98" s="13"/>
      <c r="Z98" s="13"/>
      <c r="AA98" s="13"/>
      <c r="AB98" s="13"/>
      <c r="AC98" s="13"/>
      <c r="AD98" s="13"/>
      <c r="AE98" s="13"/>
      <c r="AF98" s="13"/>
      <c r="AG98" s="13"/>
      <c r="AH98" s="13"/>
      <c r="AI98" s="13"/>
      <c r="AJ98" s="13"/>
      <c r="AK98" s="13"/>
      <c r="AL98" s="13"/>
      <c r="AM98" s="13"/>
      <c r="AN98" s="13"/>
      <c r="AO98" s="13"/>
      <c r="AP98" s="13"/>
      <c r="AQ98" s="13"/>
      <c r="AR98" s="13"/>
      <c r="AS98" s="13"/>
      <c r="AT98" s="13"/>
      <c r="AU98" s="13"/>
      <c r="AV98" s="13"/>
      <c r="AW98" s="13"/>
      <c r="AX98" s="13"/>
      <c r="AY98" s="13"/>
      <c r="AZ98" s="13"/>
      <c r="BA98" s="13"/>
      <c r="BB98" s="13"/>
      <c r="BC98" s="13"/>
      <c r="BD98" s="13"/>
      <c r="BE98" s="13"/>
      <c r="BF98" s="13"/>
      <c r="BG98" s="13"/>
    </row>
    <row r="99" spans="1:59" s="37" customFormat="1" ht="54" customHeight="1">
      <c r="A99" s="32"/>
      <c r="B99" s="32"/>
      <c r="C99" s="32"/>
      <c r="D99" s="38" t="s">
        <v>387</v>
      </c>
      <c r="E99" s="38" t="s">
        <v>387</v>
      </c>
      <c r="F99" s="38"/>
      <c r="G99" s="34">
        <f t="shared" si="4"/>
        <v>0</v>
      </c>
      <c r="H99" s="30"/>
      <c r="I99" s="38"/>
      <c r="J99" s="34">
        <f t="shared" si="5"/>
        <v>0</v>
      </c>
      <c r="K99" s="2">
        <v>6244508</v>
      </c>
      <c r="L99" s="2"/>
      <c r="M99" s="2">
        <f t="shared" si="7"/>
        <v>6244508</v>
      </c>
      <c r="N99" s="3">
        <f t="shared" si="6"/>
        <v>6244.5</v>
      </c>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3"/>
      <c r="BG99" s="13"/>
    </row>
    <row r="100" spans="1:59" s="66" customFormat="1" ht="31.5" customHeight="1">
      <c r="A100" s="31" t="s">
        <v>249</v>
      </c>
      <c r="B100" s="31" t="s">
        <v>135</v>
      </c>
      <c r="C100" s="31"/>
      <c r="D100" s="61" t="s">
        <v>92</v>
      </c>
      <c r="E100" s="61"/>
      <c r="F100" s="61"/>
      <c r="G100" s="64">
        <f t="shared" si="4"/>
        <v>0</v>
      </c>
      <c r="H100" s="26"/>
      <c r="I100" s="61"/>
      <c r="J100" s="64">
        <f t="shared" si="5"/>
        <v>0</v>
      </c>
      <c r="K100" s="35">
        <f>K101</f>
        <v>2535000</v>
      </c>
      <c r="L100" s="35">
        <f>L101</f>
        <v>0</v>
      </c>
      <c r="M100" s="35">
        <f>M101</f>
        <v>2535000</v>
      </c>
      <c r="N100" s="36">
        <f>N101</f>
        <v>2535</v>
      </c>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c r="BG100" s="65"/>
    </row>
    <row r="101" spans="1:59" s="37" customFormat="1" ht="42" customHeight="1">
      <c r="A101" s="32" t="s">
        <v>250</v>
      </c>
      <c r="B101" s="32" t="s">
        <v>136</v>
      </c>
      <c r="C101" s="32" t="s">
        <v>130</v>
      </c>
      <c r="D101" s="38" t="s">
        <v>427</v>
      </c>
      <c r="E101" s="54"/>
      <c r="F101" s="38"/>
      <c r="G101" s="34">
        <f t="shared" si="4"/>
        <v>0</v>
      </c>
      <c r="H101" s="30"/>
      <c r="I101" s="38"/>
      <c r="J101" s="34">
        <f t="shared" si="5"/>
        <v>0</v>
      </c>
      <c r="K101" s="2">
        <f>K102+K103</f>
        <v>2535000</v>
      </c>
      <c r="L101" s="2">
        <f>L102+L103</f>
        <v>0</v>
      </c>
      <c r="M101" s="2">
        <f>M102+M103</f>
        <v>2535000</v>
      </c>
      <c r="N101" s="3">
        <f t="shared" si="6"/>
        <v>2535</v>
      </c>
      <c r="O101" s="13"/>
      <c r="P101" s="13"/>
      <c r="Q101" s="13"/>
      <c r="R101" s="13"/>
      <c r="S101" s="13"/>
      <c r="T101" s="13"/>
      <c r="U101" s="13"/>
      <c r="V101" s="13"/>
      <c r="W101" s="13"/>
      <c r="X101" s="13"/>
      <c r="Y101" s="13"/>
      <c r="Z101" s="13"/>
      <c r="AA101" s="13"/>
      <c r="AB101" s="13"/>
      <c r="AC101" s="13"/>
      <c r="AD101" s="13"/>
      <c r="AE101" s="13"/>
      <c r="AF101" s="13"/>
      <c r="AG101" s="13"/>
      <c r="AH101" s="13"/>
      <c r="AI101" s="13"/>
      <c r="AJ101" s="13"/>
      <c r="AK101" s="13"/>
      <c r="AL101" s="13"/>
      <c r="AM101" s="13"/>
      <c r="AN101" s="13"/>
      <c r="AO101" s="13"/>
      <c r="AP101" s="13"/>
      <c r="AQ101" s="13"/>
      <c r="AR101" s="13"/>
      <c r="AS101" s="13"/>
      <c r="AT101" s="13"/>
      <c r="AU101" s="13"/>
      <c r="AV101" s="13"/>
      <c r="AW101" s="13"/>
      <c r="AX101" s="13"/>
      <c r="AY101" s="13"/>
      <c r="AZ101" s="13"/>
      <c r="BA101" s="13"/>
      <c r="BB101" s="13"/>
      <c r="BC101" s="13"/>
      <c r="BD101" s="13"/>
      <c r="BE101" s="13"/>
      <c r="BF101" s="13"/>
      <c r="BG101" s="13"/>
    </row>
    <row r="102" spans="1:59" s="47" customFormat="1" ht="25.5" customHeight="1">
      <c r="A102" s="41"/>
      <c r="B102" s="41"/>
      <c r="C102" s="41"/>
      <c r="D102" s="51" t="s">
        <v>312</v>
      </c>
      <c r="E102" s="51" t="s">
        <v>312</v>
      </c>
      <c r="F102" s="42"/>
      <c r="G102" s="43">
        <f t="shared" si="4"/>
        <v>0</v>
      </c>
      <c r="H102" s="100"/>
      <c r="I102" s="42"/>
      <c r="J102" s="43">
        <f t="shared" si="5"/>
        <v>0</v>
      </c>
      <c r="K102" s="1">
        <v>35000</v>
      </c>
      <c r="L102" s="1"/>
      <c r="M102" s="1">
        <f>L102+K102</f>
        <v>35000</v>
      </c>
      <c r="N102" s="45">
        <f t="shared" si="6"/>
        <v>35</v>
      </c>
      <c r="O102" s="46"/>
      <c r="P102" s="46"/>
      <c r="Q102" s="46"/>
      <c r="R102" s="46"/>
      <c r="S102" s="46"/>
      <c r="T102" s="46"/>
      <c r="U102" s="46"/>
      <c r="V102" s="46"/>
      <c r="W102" s="46"/>
      <c r="X102" s="46"/>
      <c r="Y102" s="46"/>
      <c r="Z102" s="46"/>
      <c r="AA102" s="46"/>
      <c r="AB102" s="46"/>
      <c r="AC102" s="46"/>
      <c r="AD102" s="46"/>
      <c r="AE102" s="46"/>
      <c r="AF102" s="46"/>
      <c r="AG102" s="46"/>
      <c r="AH102" s="46"/>
      <c r="AI102" s="46"/>
      <c r="AJ102" s="46"/>
      <c r="AK102" s="46"/>
      <c r="AL102" s="46"/>
      <c r="AM102" s="46"/>
      <c r="AN102" s="46"/>
      <c r="AO102" s="46"/>
      <c r="AP102" s="46"/>
      <c r="AQ102" s="46"/>
      <c r="AR102" s="46"/>
      <c r="AS102" s="46"/>
      <c r="AT102" s="46"/>
      <c r="AU102" s="46"/>
      <c r="AV102" s="46"/>
      <c r="AW102" s="46"/>
      <c r="AX102" s="46"/>
      <c r="AY102" s="46"/>
      <c r="AZ102" s="46"/>
      <c r="BA102" s="46"/>
      <c r="BB102" s="46"/>
      <c r="BC102" s="46"/>
      <c r="BD102" s="46"/>
      <c r="BE102" s="46"/>
      <c r="BF102" s="46"/>
      <c r="BG102" s="46"/>
    </row>
    <row r="103" spans="1:59" s="47" customFormat="1" ht="39" customHeight="1">
      <c r="A103" s="41"/>
      <c r="B103" s="41"/>
      <c r="C103" s="41"/>
      <c r="D103" s="49" t="s">
        <v>310</v>
      </c>
      <c r="E103" s="49" t="s">
        <v>310</v>
      </c>
      <c r="F103" s="42"/>
      <c r="G103" s="43">
        <f t="shared" si="4"/>
        <v>0</v>
      </c>
      <c r="H103" s="100"/>
      <c r="I103" s="42"/>
      <c r="J103" s="43">
        <f t="shared" si="5"/>
        <v>0</v>
      </c>
      <c r="K103" s="1">
        <v>2500000</v>
      </c>
      <c r="L103" s="1"/>
      <c r="M103" s="1">
        <f>L103+K103</f>
        <v>2500000</v>
      </c>
      <c r="N103" s="45">
        <f t="shared" si="6"/>
        <v>2500</v>
      </c>
      <c r="O103" s="46"/>
      <c r="P103" s="46"/>
      <c r="Q103" s="46"/>
      <c r="R103" s="46"/>
      <c r="S103" s="46"/>
      <c r="T103" s="46"/>
      <c r="U103" s="46"/>
      <c r="V103" s="46"/>
      <c r="W103" s="46"/>
      <c r="X103" s="46"/>
      <c r="Y103" s="46"/>
      <c r="Z103" s="46"/>
      <c r="AA103" s="46"/>
      <c r="AB103" s="46"/>
      <c r="AC103" s="46"/>
      <c r="AD103" s="46"/>
      <c r="AE103" s="46"/>
      <c r="AF103" s="46"/>
      <c r="AG103" s="46"/>
      <c r="AH103" s="46"/>
      <c r="AI103" s="46"/>
      <c r="AJ103" s="46"/>
      <c r="AK103" s="46"/>
      <c r="AL103" s="46"/>
      <c r="AM103" s="46"/>
      <c r="AN103" s="46"/>
      <c r="AO103" s="46"/>
      <c r="AP103" s="46"/>
      <c r="AQ103" s="46"/>
      <c r="AR103" s="46"/>
      <c r="AS103" s="46"/>
      <c r="AT103" s="46"/>
      <c r="AU103" s="46"/>
      <c r="AV103" s="46"/>
      <c r="AW103" s="46"/>
      <c r="AX103" s="46"/>
      <c r="AY103" s="46"/>
      <c r="AZ103" s="46"/>
      <c r="BA103" s="46"/>
      <c r="BB103" s="46"/>
      <c r="BC103" s="46"/>
      <c r="BD103" s="46"/>
      <c r="BE103" s="46"/>
      <c r="BF103" s="46"/>
      <c r="BG103" s="46"/>
    </row>
    <row r="104" spans="1:59" s="66" customFormat="1" ht="42" customHeight="1">
      <c r="A104" s="31" t="s">
        <v>287</v>
      </c>
      <c r="B104" s="31" t="s">
        <v>288</v>
      </c>
      <c r="C104" s="31" t="s">
        <v>289</v>
      </c>
      <c r="D104" s="61" t="s">
        <v>290</v>
      </c>
      <c r="E104" s="33"/>
      <c r="F104" s="61"/>
      <c r="G104" s="64">
        <f t="shared" si="4"/>
        <v>0</v>
      </c>
      <c r="H104" s="26"/>
      <c r="I104" s="61"/>
      <c r="J104" s="64">
        <f t="shared" si="5"/>
        <v>0</v>
      </c>
      <c r="K104" s="35">
        <f>130000-42784</f>
        <v>87216</v>
      </c>
      <c r="L104" s="35"/>
      <c r="M104" s="35">
        <f>L104+K104</f>
        <v>87216</v>
      </c>
      <c r="N104" s="68">
        <f t="shared" si="6"/>
        <v>87.2</v>
      </c>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c r="BG104" s="65"/>
    </row>
    <row r="105" spans="1:59" s="37" customFormat="1" ht="39" customHeight="1">
      <c r="A105" s="32" t="s">
        <v>67</v>
      </c>
      <c r="B105" s="32" t="s">
        <v>144</v>
      </c>
      <c r="C105" s="32" t="s">
        <v>134</v>
      </c>
      <c r="D105" s="38" t="s">
        <v>420</v>
      </c>
      <c r="E105" s="38"/>
      <c r="F105" s="38"/>
      <c r="G105" s="34">
        <f t="shared" si="4"/>
        <v>0</v>
      </c>
      <c r="H105" s="30"/>
      <c r="I105" s="38"/>
      <c r="J105" s="34">
        <f t="shared" si="5"/>
        <v>0</v>
      </c>
      <c r="K105" s="2">
        <f>K106+K107+K108+K109+K110+K111+K112</f>
        <v>26780700</v>
      </c>
      <c r="L105" s="2">
        <f>L106+L107+L108+L109+L110+L111+L112</f>
        <v>0</v>
      </c>
      <c r="M105" s="2">
        <f>M106+M107+M108+M109+M110+M111+M112</f>
        <v>26780700</v>
      </c>
      <c r="N105" s="3">
        <f t="shared" si="6"/>
        <v>26780.7</v>
      </c>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c r="AY105" s="13"/>
      <c r="AZ105" s="13"/>
      <c r="BA105" s="13"/>
      <c r="BB105" s="13"/>
      <c r="BC105" s="13"/>
      <c r="BD105" s="13"/>
      <c r="BE105" s="13"/>
      <c r="BF105" s="13"/>
      <c r="BG105" s="13"/>
    </row>
    <row r="106" spans="1:59" s="47" customFormat="1" ht="19.5" customHeight="1">
      <c r="A106" s="41"/>
      <c r="B106" s="41"/>
      <c r="C106" s="41"/>
      <c r="D106" s="42" t="s">
        <v>165</v>
      </c>
      <c r="E106" s="42" t="s">
        <v>165</v>
      </c>
      <c r="F106" s="42"/>
      <c r="G106" s="43">
        <f t="shared" si="4"/>
        <v>0</v>
      </c>
      <c r="H106" s="100"/>
      <c r="I106" s="42"/>
      <c r="J106" s="43">
        <f t="shared" si="5"/>
        <v>0</v>
      </c>
      <c r="K106" s="1">
        <f>2651900+543000+60000</f>
        <v>3254900</v>
      </c>
      <c r="L106" s="1"/>
      <c r="M106" s="1">
        <f t="shared" si="7"/>
        <v>3254900</v>
      </c>
      <c r="N106" s="45">
        <f t="shared" si="6"/>
        <v>3254.9</v>
      </c>
      <c r="O106" s="46"/>
      <c r="P106" s="46"/>
      <c r="Q106" s="46"/>
      <c r="R106" s="46"/>
      <c r="S106" s="46"/>
      <c r="T106" s="46"/>
      <c r="U106" s="46"/>
      <c r="V106" s="46"/>
      <c r="W106" s="46"/>
      <c r="X106" s="46"/>
      <c r="Y106" s="46"/>
      <c r="Z106" s="46"/>
      <c r="AA106" s="46"/>
      <c r="AB106" s="46"/>
      <c r="AC106" s="46"/>
      <c r="AD106" s="46"/>
      <c r="AE106" s="46"/>
      <c r="AF106" s="46"/>
      <c r="AG106" s="46"/>
      <c r="AH106" s="46"/>
      <c r="AI106" s="46"/>
      <c r="AJ106" s="46"/>
      <c r="AK106" s="46"/>
      <c r="AL106" s="46"/>
      <c r="AM106" s="46"/>
      <c r="AN106" s="46"/>
      <c r="AO106" s="46"/>
      <c r="AP106" s="46"/>
      <c r="AQ106" s="46"/>
      <c r="AR106" s="46"/>
      <c r="AS106" s="46"/>
      <c r="AT106" s="46"/>
      <c r="AU106" s="46"/>
      <c r="AV106" s="46"/>
      <c r="AW106" s="46"/>
      <c r="AX106" s="46"/>
      <c r="AY106" s="46"/>
      <c r="AZ106" s="46"/>
      <c r="BA106" s="46"/>
      <c r="BB106" s="46"/>
      <c r="BC106" s="46"/>
      <c r="BD106" s="46"/>
      <c r="BE106" s="46"/>
      <c r="BF106" s="46"/>
      <c r="BG106" s="46"/>
    </row>
    <row r="107" spans="1:59" s="47" customFormat="1" ht="24" customHeight="1">
      <c r="A107" s="41"/>
      <c r="B107" s="41"/>
      <c r="C107" s="41"/>
      <c r="D107" s="42" t="s">
        <v>166</v>
      </c>
      <c r="E107" s="42" t="s">
        <v>166</v>
      </c>
      <c r="F107" s="42"/>
      <c r="G107" s="43">
        <f t="shared" si="4"/>
        <v>0</v>
      </c>
      <c r="H107" s="100"/>
      <c r="I107" s="42"/>
      <c r="J107" s="43">
        <f t="shared" si="5"/>
        <v>0</v>
      </c>
      <c r="K107" s="1">
        <f>810000+1250000+300000</f>
        <v>2360000</v>
      </c>
      <c r="L107" s="1"/>
      <c r="M107" s="1">
        <f t="shared" si="7"/>
        <v>2360000</v>
      </c>
      <c r="N107" s="45">
        <f t="shared" si="6"/>
        <v>2360</v>
      </c>
      <c r="O107" s="46"/>
      <c r="P107" s="46"/>
      <c r="Q107" s="46"/>
      <c r="R107" s="46"/>
      <c r="S107" s="46"/>
      <c r="T107" s="46"/>
      <c r="U107" s="46"/>
      <c r="V107" s="46"/>
      <c r="W107" s="46"/>
      <c r="X107" s="46"/>
      <c r="Y107" s="46"/>
      <c r="Z107" s="46"/>
      <c r="AA107" s="46"/>
      <c r="AB107" s="46"/>
      <c r="AC107" s="46"/>
      <c r="AD107" s="46"/>
      <c r="AE107" s="46"/>
      <c r="AF107" s="46"/>
      <c r="AG107" s="46"/>
      <c r="AH107" s="46"/>
      <c r="AI107" s="46"/>
      <c r="AJ107" s="46"/>
      <c r="AK107" s="46"/>
      <c r="AL107" s="46"/>
      <c r="AM107" s="46"/>
      <c r="AN107" s="46"/>
      <c r="AO107" s="46"/>
      <c r="AP107" s="46"/>
      <c r="AQ107" s="46"/>
      <c r="AR107" s="46"/>
      <c r="AS107" s="46"/>
      <c r="AT107" s="46"/>
      <c r="AU107" s="46"/>
      <c r="AV107" s="46"/>
      <c r="AW107" s="46"/>
      <c r="AX107" s="46"/>
      <c r="AY107" s="46"/>
      <c r="AZ107" s="46"/>
      <c r="BA107" s="46"/>
      <c r="BB107" s="46"/>
      <c r="BC107" s="46"/>
      <c r="BD107" s="46"/>
      <c r="BE107" s="46"/>
      <c r="BF107" s="46"/>
      <c r="BG107" s="46"/>
    </row>
    <row r="108" spans="1:59" s="47" customFormat="1" ht="23.25" customHeight="1">
      <c r="A108" s="41"/>
      <c r="B108" s="41"/>
      <c r="C108" s="41"/>
      <c r="D108" s="42" t="s">
        <v>167</v>
      </c>
      <c r="E108" s="42" t="s">
        <v>167</v>
      </c>
      <c r="F108" s="42"/>
      <c r="G108" s="43">
        <f t="shared" si="4"/>
        <v>0</v>
      </c>
      <c r="H108" s="100"/>
      <c r="I108" s="42"/>
      <c r="J108" s="43">
        <f t="shared" si="5"/>
        <v>0</v>
      </c>
      <c r="K108" s="1">
        <v>2500000</v>
      </c>
      <c r="L108" s="1"/>
      <c r="M108" s="1">
        <f t="shared" si="7"/>
        <v>2500000</v>
      </c>
      <c r="N108" s="45">
        <f t="shared" si="6"/>
        <v>2500</v>
      </c>
      <c r="O108" s="46"/>
      <c r="P108" s="46"/>
      <c r="Q108" s="46"/>
      <c r="R108" s="46"/>
      <c r="S108" s="46"/>
      <c r="T108" s="46"/>
      <c r="U108" s="46"/>
      <c r="V108" s="46"/>
      <c r="W108" s="46"/>
      <c r="X108" s="46"/>
      <c r="Y108" s="46"/>
      <c r="Z108" s="46"/>
      <c r="AA108" s="46"/>
      <c r="AB108" s="46"/>
      <c r="AC108" s="46"/>
      <c r="AD108" s="46"/>
      <c r="AE108" s="46"/>
      <c r="AF108" s="46"/>
      <c r="AG108" s="46"/>
      <c r="AH108" s="46"/>
      <c r="AI108" s="46"/>
      <c r="AJ108" s="46"/>
      <c r="AK108" s="46"/>
      <c r="AL108" s="46"/>
      <c r="AM108" s="46"/>
      <c r="AN108" s="46"/>
      <c r="AO108" s="46"/>
      <c r="AP108" s="46"/>
      <c r="AQ108" s="46"/>
      <c r="AR108" s="46"/>
      <c r="AS108" s="46"/>
      <c r="AT108" s="46"/>
      <c r="AU108" s="46"/>
      <c r="AV108" s="46"/>
      <c r="AW108" s="46"/>
      <c r="AX108" s="46"/>
      <c r="AY108" s="46"/>
      <c r="AZ108" s="46"/>
      <c r="BA108" s="46"/>
      <c r="BB108" s="46"/>
      <c r="BC108" s="46"/>
      <c r="BD108" s="46"/>
      <c r="BE108" s="46"/>
      <c r="BF108" s="46"/>
      <c r="BG108" s="46"/>
    </row>
    <row r="109" spans="1:59" s="47" customFormat="1" ht="25.5" customHeight="1">
      <c r="A109" s="41"/>
      <c r="B109" s="41"/>
      <c r="C109" s="41"/>
      <c r="D109" s="42" t="s">
        <v>168</v>
      </c>
      <c r="E109" s="42" t="s">
        <v>168</v>
      </c>
      <c r="F109" s="42"/>
      <c r="G109" s="43">
        <f t="shared" si="4"/>
        <v>0</v>
      </c>
      <c r="H109" s="100"/>
      <c r="I109" s="42"/>
      <c r="J109" s="43">
        <f t="shared" si="5"/>
        <v>0</v>
      </c>
      <c r="K109" s="1">
        <f>9800000+3000000-1000000+4270800</f>
        <v>16070800</v>
      </c>
      <c r="L109" s="1"/>
      <c r="M109" s="1">
        <f t="shared" si="7"/>
        <v>16070800</v>
      </c>
      <c r="N109" s="45">
        <f t="shared" si="6"/>
        <v>16070.8</v>
      </c>
      <c r="O109" s="46"/>
      <c r="P109" s="46"/>
      <c r="Q109" s="46"/>
      <c r="R109" s="46"/>
      <c r="S109" s="46"/>
      <c r="T109" s="46"/>
      <c r="U109" s="46"/>
      <c r="V109" s="46"/>
      <c r="W109" s="46"/>
      <c r="X109" s="46"/>
      <c r="Y109" s="46"/>
      <c r="Z109" s="46"/>
      <c r="AA109" s="46"/>
      <c r="AB109" s="46"/>
      <c r="AC109" s="46"/>
      <c r="AD109" s="46"/>
      <c r="AE109" s="46"/>
      <c r="AF109" s="46"/>
      <c r="AG109" s="46"/>
      <c r="AH109" s="46"/>
      <c r="AI109" s="46"/>
      <c r="AJ109" s="46"/>
      <c r="AK109" s="46"/>
      <c r="AL109" s="46"/>
      <c r="AM109" s="46"/>
      <c r="AN109" s="46"/>
      <c r="AO109" s="46"/>
      <c r="AP109" s="46"/>
      <c r="AQ109" s="46"/>
      <c r="AR109" s="46"/>
      <c r="AS109" s="46"/>
      <c r="AT109" s="46"/>
      <c r="AU109" s="46"/>
      <c r="AV109" s="46"/>
      <c r="AW109" s="46"/>
      <c r="AX109" s="46"/>
      <c r="AY109" s="46"/>
      <c r="AZ109" s="46"/>
      <c r="BA109" s="46"/>
      <c r="BB109" s="46"/>
      <c r="BC109" s="46"/>
      <c r="BD109" s="46"/>
      <c r="BE109" s="46"/>
      <c r="BF109" s="46"/>
      <c r="BG109" s="46"/>
    </row>
    <row r="110" spans="1:59" s="47" customFormat="1" ht="21" customHeight="1">
      <c r="A110" s="41"/>
      <c r="B110" s="41"/>
      <c r="C110" s="41"/>
      <c r="D110" s="42" t="s">
        <v>169</v>
      </c>
      <c r="E110" s="42" t="s">
        <v>169</v>
      </c>
      <c r="F110" s="42"/>
      <c r="G110" s="43">
        <f t="shared" si="4"/>
        <v>0</v>
      </c>
      <c r="H110" s="100"/>
      <c r="I110" s="42"/>
      <c r="J110" s="43">
        <f t="shared" si="5"/>
        <v>0</v>
      </c>
      <c r="K110" s="1">
        <v>200000</v>
      </c>
      <c r="L110" s="1"/>
      <c r="M110" s="1">
        <f t="shared" si="7"/>
        <v>200000</v>
      </c>
      <c r="N110" s="45">
        <f t="shared" si="6"/>
        <v>200</v>
      </c>
      <c r="O110" s="46"/>
      <c r="P110" s="46"/>
      <c r="Q110" s="46"/>
      <c r="R110" s="46"/>
      <c r="S110" s="46"/>
      <c r="T110" s="46"/>
      <c r="U110" s="46"/>
      <c r="V110" s="46"/>
      <c r="W110" s="46"/>
      <c r="X110" s="46"/>
      <c r="Y110" s="46"/>
      <c r="Z110" s="46"/>
      <c r="AA110" s="46"/>
      <c r="AB110" s="46"/>
      <c r="AC110" s="46"/>
      <c r="AD110" s="46"/>
      <c r="AE110" s="46"/>
      <c r="AF110" s="46"/>
      <c r="AG110" s="46"/>
      <c r="AH110" s="46"/>
      <c r="AI110" s="46"/>
      <c r="AJ110" s="46"/>
      <c r="AK110" s="46"/>
      <c r="AL110" s="46"/>
      <c r="AM110" s="46"/>
      <c r="AN110" s="46"/>
      <c r="AO110" s="46"/>
      <c r="AP110" s="46"/>
      <c r="AQ110" s="46"/>
      <c r="AR110" s="46"/>
      <c r="AS110" s="46"/>
      <c r="AT110" s="46"/>
      <c r="AU110" s="46"/>
      <c r="AV110" s="46"/>
      <c r="AW110" s="46"/>
      <c r="AX110" s="46"/>
      <c r="AY110" s="46"/>
      <c r="AZ110" s="46"/>
      <c r="BA110" s="46"/>
      <c r="BB110" s="46"/>
      <c r="BC110" s="46"/>
      <c r="BD110" s="46"/>
      <c r="BE110" s="46"/>
      <c r="BF110" s="46"/>
      <c r="BG110" s="46"/>
    </row>
    <row r="111" spans="1:59" s="47" customFormat="1" ht="24.75" customHeight="1">
      <c r="A111" s="41"/>
      <c r="B111" s="41"/>
      <c r="C111" s="41"/>
      <c r="D111" s="42" t="s">
        <v>170</v>
      </c>
      <c r="E111" s="42" t="s">
        <v>170</v>
      </c>
      <c r="F111" s="42"/>
      <c r="G111" s="43">
        <f t="shared" si="4"/>
        <v>0</v>
      </c>
      <c r="H111" s="100"/>
      <c r="I111" s="42"/>
      <c r="J111" s="43">
        <f t="shared" si="5"/>
        <v>0</v>
      </c>
      <c r="K111" s="1">
        <f>1500000+370000</f>
        <v>1870000</v>
      </c>
      <c r="L111" s="1"/>
      <c r="M111" s="1">
        <f t="shared" si="7"/>
        <v>1870000</v>
      </c>
      <c r="N111" s="45">
        <f t="shared" si="6"/>
        <v>1870</v>
      </c>
      <c r="O111" s="46"/>
      <c r="P111" s="46"/>
      <c r="Q111" s="46"/>
      <c r="R111" s="46"/>
      <c r="S111" s="46"/>
      <c r="T111" s="46"/>
      <c r="U111" s="46"/>
      <c r="V111" s="46"/>
      <c r="W111" s="46"/>
      <c r="X111" s="46"/>
      <c r="Y111" s="46"/>
      <c r="Z111" s="46"/>
      <c r="AA111" s="46"/>
      <c r="AB111" s="46"/>
      <c r="AC111" s="46"/>
      <c r="AD111" s="46"/>
      <c r="AE111" s="46"/>
      <c r="AF111" s="46"/>
      <c r="AG111" s="46"/>
      <c r="AH111" s="46"/>
      <c r="AI111" s="46"/>
      <c r="AJ111" s="46"/>
      <c r="AK111" s="46"/>
      <c r="AL111" s="46"/>
      <c r="AM111" s="46"/>
      <c r="AN111" s="46"/>
      <c r="AO111" s="46"/>
      <c r="AP111" s="46"/>
      <c r="AQ111" s="46"/>
      <c r="AR111" s="46"/>
      <c r="AS111" s="46"/>
      <c r="AT111" s="46"/>
      <c r="AU111" s="46"/>
      <c r="AV111" s="46"/>
      <c r="AW111" s="46"/>
      <c r="AX111" s="46"/>
      <c r="AY111" s="46"/>
      <c r="AZ111" s="46"/>
      <c r="BA111" s="46"/>
      <c r="BB111" s="46"/>
      <c r="BC111" s="46"/>
      <c r="BD111" s="46"/>
      <c r="BE111" s="46"/>
      <c r="BF111" s="46"/>
      <c r="BG111" s="46"/>
    </row>
    <row r="112" spans="1:59" s="47" customFormat="1" ht="29.25" customHeight="1">
      <c r="A112" s="41"/>
      <c r="B112" s="41"/>
      <c r="C112" s="41"/>
      <c r="D112" s="42" t="s">
        <v>364</v>
      </c>
      <c r="E112" s="42" t="s">
        <v>364</v>
      </c>
      <c r="F112" s="42"/>
      <c r="G112" s="43">
        <f t="shared" si="4"/>
        <v>0</v>
      </c>
      <c r="H112" s="100"/>
      <c r="I112" s="42"/>
      <c r="J112" s="43">
        <f t="shared" si="5"/>
        <v>0</v>
      </c>
      <c r="K112" s="1">
        <v>525000</v>
      </c>
      <c r="L112" s="1"/>
      <c r="M112" s="1">
        <f t="shared" si="7"/>
        <v>525000</v>
      </c>
      <c r="N112" s="45">
        <f t="shared" si="6"/>
        <v>525</v>
      </c>
      <c r="O112" s="46"/>
      <c r="P112" s="46"/>
      <c r="Q112" s="46"/>
      <c r="R112" s="46"/>
      <c r="S112" s="46"/>
      <c r="T112" s="46"/>
      <c r="U112" s="46"/>
      <c r="V112" s="46"/>
      <c r="W112" s="46"/>
      <c r="X112" s="46"/>
      <c r="Y112" s="46"/>
      <c r="Z112" s="46"/>
      <c r="AA112" s="46"/>
      <c r="AB112" s="46"/>
      <c r="AC112" s="46"/>
      <c r="AD112" s="46"/>
      <c r="AE112" s="46"/>
      <c r="AF112" s="46"/>
      <c r="AG112" s="46"/>
      <c r="AH112" s="46"/>
      <c r="AI112" s="46"/>
      <c r="AJ112" s="46"/>
      <c r="AK112" s="46"/>
      <c r="AL112" s="46"/>
      <c r="AM112" s="46"/>
      <c r="AN112" s="46"/>
      <c r="AO112" s="46"/>
      <c r="AP112" s="46"/>
      <c r="AQ112" s="46"/>
      <c r="AR112" s="46"/>
      <c r="AS112" s="46"/>
      <c r="AT112" s="46"/>
      <c r="AU112" s="46"/>
      <c r="AV112" s="46"/>
      <c r="AW112" s="46"/>
      <c r="AX112" s="46"/>
      <c r="AY112" s="46"/>
      <c r="AZ112" s="46"/>
      <c r="BA112" s="46"/>
      <c r="BB112" s="46"/>
      <c r="BC112" s="46"/>
      <c r="BD112" s="46"/>
      <c r="BE112" s="46"/>
      <c r="BF112" s="46"/>
      <c r="BG112" s="46"/>
    </row>
    <row r="113" spans="1:59" s="37" customFormat="1" ht="39.75" customHeight="1">
      <c r="A113" s="32" t="s">
        <v>262</v>
      </c>
      <c r="B113" s="32" t="s">
        <v>263</v>
      </c>
      <c r="C113" s="32" t="s">
        <v>264</v>
      </c>
      <c r="D113" s="38" t="s">
        <v>265</v>
      </c>
      <c r="E113" s="38"/>
      <c r="F113" s="38"/>
      <c r="G113" s="34">
        <f t="shared" si="4"/>
        <v>0</v>
      </c>
      <c r="H113" s="30"/>
      <c r="I113" s="38"/>
      <c r="J113" s="34">
        <f t="shared" si="5"/>
        <v>0</v>
      </c>
      <c r="K113" s="2">
        <v>5462904</v>
      </c>
      <c r="L113" s="2"/>
      <c r="M113" s="2">
        <f>L113+K113</f>
        <v>5462904</v>
      </c>
      <c r="N113" s="3">
        <f t="shared" si="6"/>
        <v>5462.9</v>
      </c>
      <c r="O113" s="13"/>
      <c r="P113" s="13"/>
      <c r="Q113" s="13"/>
      <c r="R113" s="13"/>
      <c r="S113" s="13"/>
      <c r="T113" s="13"/>
      <c r="U113" s="13"/>
      <c r="V113" s="13"/>
      <c r="W113" s="13"/>
      <c r="X113" s="13"/>
      <c r="Y113" s="13"/>
      <c r="Z113" s="13"/>
      <c r="AA113" s="13"/>
      <c r="AB113" s="13"/>
      <c r="AC113" s="13"/>
      <c r="AD113" s="13"/>
      <c r="AE113" s="13"/>
      <c r="AF113" s="13"/>
      <c r="AG113" s="13"/>
      <c r="AH113" s="13"/>
      <c r="AI113" s="13"/>
      <c r="AJ113" s="13"/>
      <c r="AK113" s="13"/>
      <c r="AL113" s="13"/>
      <c r="AM113" s="13"/>
      <c r="AN113" s="13"/>
      <c r="AO113" s="13"/>
      <c r="AP113" s="13"/>
      <c r="AQ113" s="13"/>
      <c r="AR113" s="13"/>
      <c r="AS113" s="13"/>
      <c r="AT113" s="13"/>
      <c r="AU113" s="13"/>
      <c r="AV113" s="13"/>
      <c r="AW113" s="13"/>
      <c r="AX113" s="13"/>
      <c r="AY113" s="13"/>
      <c r="AZ113" s="13"/>
      <c r="BA113" s="13"/>
      <c r="BB113" s="13"/>
      <c r="BC113" s="13"/>
      <c r="BD113" s="13"/>
      <c r="BE113" s="13"/>
      <c r="BF113" s="13"/>
      <c r="BG113" s="13"/>
    </row>
    <row r="114" spans="1:59" s="37" customFormat="1" ht="34.5" customHeight="1">
      <c r="A114" s="56">
        <v>4118800</v>
      </c>
      <c r="B114" s="56">
        <v>8800</v>
      </c>
      <c r="C114" s="32" t="s">
        <v>96</v>
      </c>
      <c r="D114" s="57" t="s">
        <v>421</v>
      </c>
      <c r="E114" s="57"/>
      <c r="F114" s="57"/>
      <c r="G114" s="34">
        <f t="shared" si="4"/>
        <v>0</v>
      </c>
      <c r="H114" s="30"/>
      <c r="I114" s="57"/>
      <c r="J114" s="34">
        <f t="shared" si="5"/>
        <v>0</v>
      </c>
      <c r="K114" s="2">
        <f>K115</f>
        <v>2221500</v>
      </c>
      <c r="L114" s="2">
        <f>L115</f>
        <v>0</v>
      </c>
      <c r="M114" s="2">
        <f>M115</f>
        <v>2221500</v>
      </c>
      <c r="N114" s="40">
        <f>N115</f>
        <v>2221.5</v>
      </c>
      <c r="O114" s="13"/>
      <c r="P114" s="13"/>
      <c r="Q114" s="13"/>
      <c r="R114" s="13"/>
      <c r="S114" s="13"/>
      <c r="T114" s="13"/>
      <c r="U114" s="13"/>
      <c r="V114" s="13"/>
      <c r="W114" s="13"/>
      <c r="X114" s="13"/>
      <c r="Y114" s="13"/>
      <c r="Z114" s="13"/>
      <c r="AA114" s="13"/>
      <c r="AB114" s="13"/>
      <c r="AC114" s="13"/>
      <c r="AD114" s="13"/>
      <c r="AE114" s="13"/>
      <c r="AF114" s="13"/>
      <c r="AG114" s="13"/>
      <c r="AH114" s="13"/>
      <c r="AI114" s="13"/>
      <c r="AJ114" s="13"/>
      <c r="AK114" s="13"/>
      <c r="AL114" s="13"/>
      <c r="AM114" s="13"/>
      <c r="AN114" s="13"/>
      <c r="AO114" s="13"/>
      <c r="AP114" s="13"/>
      <c r="AQ114" s="13"/>
      <c r="AR114" s="13"/>
      <c r="AS114" s="13"/>
      <c r="AT114" s="13"/>
      <c r="AU114" s="13"/>
      <c r="AV114" s="13"/>
      <c r="AW114" s="13"/>
      <c r="AX114" s="13"/>
      <c r="AY114" s="13"/>
      <c r="AZ114" s="13"/>
      <c r="BA114" s="13"/>
      <c r="BB114" s="13"/>
      <c r="BC114" s="13"/>
      <c r="BD114" s="13"/>
      <c r="BE114" s="13"/>
      <c r="BF114" s="13"/>
      <c r="BG114" s="13"/>
    </row>
    <row r="115" spans="1:59" s="47" customFormat="1" ht="36" customHeight="1">
      <c r="A115" s="58">
        <v>4118800</v>
      </c>
      <c r="B115" s="58">
        <v>8800</v>
      </c>
      <c r="C115" s="48" t="s">
        <v>96</v>
      </c>
      <c r="D115" s="59" t="s">
        <v>377</v>
      </c>
      <c r="E115" s="59"/>
      <c r="F115" s="59"/>
      <c r="G115" s="43">
        <f t="shared" si="4"/>
        <v>0</v>
      </c>
      <c r="H115" s="101"/>
      <c r="I115" s="59"/>
      <c r="J115" s="43">
        <f t="shared" si="5"/>
        <v>0</v>
      </c>
      <c r="K115" s="1">
        <f>1730000-508500+1000000</f>
        <v>2221500</v>
      </c>
      <c r="L115" s="1"/>
      <c r="M115" s="1">
        <f t="shared" si="7"/>
        <v>2221500</v>
      </c>
      <c r="N115" s="45">
        <f t="shared" si="6"/>
        <v>2221.5</v>
      </c>
      <c r="O115" s="46"/>
      <c r="P115" s="46"/>
      <c r="Q115" s="46"/>
      <c r="R115" s="46"/>
      <c r="S115" s="46"/>
      <c r="T115" s="46"/>
      <c r="U115" s="46"/>
      <c r="V115" s="46"/>
      <c r="W115" s="46"/>
      <c r="X115" s="46"/>
      <c r="Y115" s="46"/>
      <c r="Z115" s="46"/>
      <c r="AA115" s="46"/>
      <c r="AB115" s="46"/>
      <c r="AC115" s="46"/>
      <c r="AD115" s="46"/>
      <c r="AE115" s="46"/>
      <c r="AF115" s="46"/>
      <c r="AG115" s="46"/>
      <c r="AH115" s="46"/>
      <c r="AI115" s="46"/>
      <c r="AJ115" s="46"/>
      <c r="AK115" s="46"/>
      <c r="AL115" s="46"/>
      <c r="AM115" s="46"/>
      <c r="AN115" s="46"/>
      <c r="AO115" s="46"/>
      <c r="AP115" s="46"/>
      <c r="AQ115" s="46"/>
      <c r="AR115" s="46"/>
      <c r="AS115" s="46"/>
      <c r="AT115" s="46"/>
      <c r="AU115" s="46"/>
      <c r="AV115" s="46"/>
      <c r="AW115" s="46"/>
      <c r="AX115" s="46"/>
      <c r="AY115" s="46"/>
      <c r="AZ115" s="46"/>
      <c r="BA115" s="46"/>
      <c r="BB115" s="46"/>
      <c r="BC115" s="46"/>
      <c r="BD115" s="46"/>
      <c r="BE115" s="46"/>
      <c r="BF115" s="46"/>
      <c r="BG115" s="46"/>
    </row>
    <row r="116" spans="1:59" s="66" customFormat="1" ht="45.75" customHeight="1">
      <c r="A116" s="31" t="s">
        <v>69</v>
      </c>
      <c r="B116" s="31"/>
      <c r="C116" s="31"/>
      <c r="D116" s="61" t="s">
        <v>87</v>
      </c>
      <c r="E116" s="61"/>
      <c r="F116" s="61"/>
      <c r="G116" s="34">
        <f t="shared" si="4"/>
        <v>0</v>
      </c>
      <c r="H116" s="26"/>
      <c r="I116" s="61"/>
      <c r="J116" s="34">
        <f t="shared" si="5"/>
        <v>0</v>
      </c>
      <c r="K116" s="35">
        <f>K117+K118</f>
        <v>150000</v>
      </c>
      <c r="L116" s="35">
        <f>L117+L118</f>
        <v>0</v>
      </c>
      <c r="M116" s="35">
        <f>M117+M118</f>
        <v>150000</v>
      </c>
      <c r="N116" s="36">
        <f>N117+N118</f>
        <v>150</v>
      </c>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c r="BG116" s="65"/>
    </row>
    <row r="117" spans="1:59" s="37" customFormat="1" ht="41.25" customHeight="1">
      <c r="A117" s="32" t="s">
        <v>68</v>
      </c>
      <c r="B117" s="32" t="s">
        <v>96</v>
      </c>
      <c r="C117" s="32" t="s">
        <v>97</v>
      </c>
      <c r="D117" s="38" t="s">
        <v>248</v>
      </c>
      <c r="E117" s="38"/>
      <c r="F117" s="38"/>
      <c r="G117" s="34">
        <f t="shared" si="4"/>
        <v>0</v>
      </c>
      <c r="H117" s="30"/>
      <c r="I117" s="38"/>
      <c r="J117" s="34">
        <f t="shared" si="5"/>
        <v>0</v>
      </c>
      <c r="K117" s="2">
        <v>100000</v>
      </c>
      <c r="L117" s="54"/>
      <c r="M117" s="2">
        <f t="shared" si="7"/>
        <v>100000</v>
      </c>
      <c r="N117" s="3">
        <f t="shared" si="6"/>
        <v>100</v>
      </c>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c r="AT117" s="13"/>
      <c r="AU117" s="13"/>
      <c r="AV117" s="13"/>
      <c r="AW117" s="13"/>
      <c r="AX117" s="13"/>
      <c r="AY117" s="13"/>
      <c r="AZ117" s="13"/>
      <c r="BA117" s="13"/>
      <c r="BB117" s="13"/>
      <c r="BC117" s="13"/>
      <c r="BD117" s="13"/>
      <c r="BE117" s="13"/>
      <c r="BF117" s="13"/>
      <c r="BG117" s="13"/>
    </row>
    <row r="118" spans="1:59" s="37" customFormat="1" ht="29.25" customHeight="1">
      <c r="A118" s="32" t="s">
        <v>71</v>
      </c>
      <c r="B118" s="32" t="s">
        <v>155</v>
      </c>
      <c r="C118" s="32" t="s">
        <v>137</v>
      </c>
      <c r="D118" s="38" t="s">
        <v>233</v>
      </c>
      <c r="E118" s="38"/>
      <c r="F118" s="38"/>
      <c r="G118" s="34">
        <f t="shared" si="4"/>
        <v>0</v>
      </c>
      <c r="H118" s="30"/>
      <c r="I118" s="38"/>
      <c r="J118" s="34">
        <f t="shared" si="5"/>
        <v>0</v>
      </c>
      <c r="K118" s="2">
        <v>50000</v>
      </c>
      <c r="L118" s="54"/>
      <c r="M118" s="2">
        <f t="shared" si="7"/>
        <v>50000</v>
      </c>
      <c r="N118" s="3">
        <f t="shared" si="6"/>
        <v>50</v>
      </c>
      <c r="O118" s="13"/>
      <c r="P118" s="13"/>
      <c r="Q118" s="13"/>
      <c r="R118" s="13"/>
      <c r="S118" s="13"/>
      <c r="T118" s="13"/>
      <c r="U118" s="13"/>
      <c r="V118" s="13"/>
      <c r="W118" s="13"/>
      <c r="X118" s="13"/>
      <c r="Y118" s="13"/>
      <c r="Z118" s="13"/>
      <c r="AA118" s="13"/>
      <c r="AB118" s="13"/>
      <c r="AC118" s="13"/>
      <c r="AD118" s="13"/>
      <c r="AE118" s="13"/>
      <c r="AF118" s="13"/>
      <c r="AG118" s="13"/>
      <c r="AH118" s="13"/>
      <c r="AI118" s="13"/>
      <c r="AJ118" s="13"/>
      <c r="AK118" s="13"/>
      <c r="AL118" s="13"/>
      <c r="AM118" s="13"/>
      <c r="AN118" s="13"/>
      <c r="AO118" s="13"/>
      <c r="AP118" s="13"/>
      <c r="AQ118" s="13"/>
      <c r="AR118" s="13"/>
      <c r="AS118" s="13"/>
      <c r="AT118" s="13"/>
      <c r="AU118" s="13"/>
      <c r="AV118" s="13"/>
      <c r="AW118" s="13"/>
      <c r="AX118" s="13"/>
      <c r="AY118" s="13"/>
      <c r="AZ118" s="13"/>
      <c r="BA118" s="13"/>
      <c r="BB118" s="13"/>
      <c r="BC118" s="13"/>
      <c r="BD118" s="13"/>
      <c r="BE118" s="13"/>
      <c r="BF118" s="13"/>
      <c r="BG118" s="13"/>
    </row>
    <row r="119" spans="1:59" s="66" customFormat="1" ht="52.5" customHeight="1">
      <c r="A119" s="69">
        <v>4610000</v>
      </c>
      <c r="B119" s="69"/>
      <c r="C119" s="69"/>
      <c r="D119" s="61" t="s">
        <v>95</v>
      </c>
      <c r="E119" s="61"/>
      <c r="F119" s="61"/>
      <c r="G119" s="34">
        <f t="shared" si="4"/>
        <v>0</v>
      </c>
      <c r="H119" s="26"/>
      <c r="I119" s="61"/>
      <c r="J119" s="34">
        <f t="shared" si="5"/>
        <v>0</v>
      </c>
      <c r="K119" s="35">
        <f>K120</f>
        <v>12000</v>
      </c>
      <c r="L119" s="35">
        <f>L120</f>
        <v>0</v>
      </c>
      <c r="M119" s="35">
        <f>M120</f>
        <v>12000</v>
      </c>
      <c r="N119" s="36">
        <f>N120</f>
        <v>12</v>
      </c>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c r="BG119" s="65"/>
    </row>
    <row r="120" spans="1:59" s="47" customFormat="1" ht="39" customHeight="1">
      <c r="A120" s="32" t="s">
        <v>94</v>
      </c>
      <c r="B120" s="32" t="s">
        <v>96</v>
      </c>
      <c r="C120" s="32" t="s">
        <v>97</v>
      </c>
      <c r="D120" s="38" t="s">
        <v>248</v>
      </c>
      <c r="E120" s="38"/>
      <c r="F120" s="38"/>
      <c r="G120" s="34">
        <f t="shared" si="4"/>
        <v>0</v>
      </c>
      <c r="H120" s="30"/>
      <c r="I120" s="38"/>
      <c r="J120" s="34">
        <f t="shared" si="5"/>
        <v>0</v>
      </c>
      <c r="K120" s="2">
        <v>12000</v>
      </c>
      <c r="L120" s="54"/>
      <c r="M120" s="2">
        <f t="shared" si="7"/>
        <v>12000</v>
      </c>
      <c r="N120" s="3">
        <f t="shared" si="6"/>
        <v>12</v>
      </c>
      <c r="O120" s="46"/>
      <c r="P120" s="46"/>
      <c r="Q120" s="46"/>
      <c r="R120" s="46"/>
      <c r="S120" s="46"/>
      <c r="T120" s="46"/>
      <c r="U120" s="46"/>
      <c r="V120" s="46"/>
      <c r="W120" s="46"/>
      <c r="X120" s="46"/>
      <c r="Y120" s="46"/>
      <c r="Z120" s="46"/>
      <c r="AA120" s="46"/>
      <c r="AB120" s="46"/>
      <c r="AC120" s="46"/>
      <c r="AD120" s="46"/>
      <c r="AE120" s="46"/>
      <c r="AF120" s="46"/>
      <c r="AG120" s="46"/>
      <c r="AH120" s="46"/>
      <c r="AI120" s="46"/>
      <c r="AJ120" s="46"/>
      <c r="AK120" s="46"/>
      <c r="AL120" s="46"/>
      <c r="AM120" s="46"/>
      <c r="AN120" s="46"/>
      <c r="AO120" s="46"/>
      <c r="AP120" s="46"/>
      <c r="AQ120" s="46"/>
      <c r="AR120" s="46"/>
      <c r="AS120" s="46"/>
      <c r="AT120" s="46"/>
      <c r="AU120" s="46"/>
      <c r="AV120" s="46"/>
      <c r="AW120" s="46"/>
      <c r="AX120" s="46"/>
      <c r="AY120" s="46"/>
      <c r="AZ120" s="46"/>
      <c r="BA120" s="46"/>
      <c r="BB120" s="46"/>
      <c r="BC120" s="46"/>
      <c r="BD120" s="46"/>
      <c r="BE120" s="46"/>
      <c r="BF120" s="46"/>
      <c r="BG120" s="46"/>
    </row>
    <row r="121" spans="1:59" s="66" customFormat="1" ht="54" customHeight="1">
      <c r="A121" s="31" t="s">
        <v>73</v>
      </c>
      <c r="B121" s="31"/>
      <c r="C121" s="31"/>
      <c r="D121" s="61" t="s">
        <v>72</v>
      </c>
      <c r="E121" s="61"/>
      <c r="F121" s="61"/>
      <c r="G121" s="64">
        <f t="shared" si="4"/>
        <v>0</v>
      </c>
      <c r="H121" s="26"/>
      <c r="I121" s="61"/>
      <c r="J121" s="64">
        <f t="shared" si="5"/>
        <v>0</v>
      </c>
      <c r="K121" s="35">
        <f>K122+K123+K310+K306+K309</f>
        <v>288044499</v>
      </c>
      <c r="L121" s="35">
        <f>L122+L123+L310+L306+L309</f>
        <v>15500</v>
      </c>
      <c r="M121" s="35">
        <f>M122+M123+M310+M306+M309</f>
        <v>288059999</v>
      </c>
      <c r="N121" s="36">
        <f>N122+N123+N310+N306+N309</f>
        <v>288060</v>
      </c>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c r="BG121" s="65"/>
    </row>
    <row r="122" spans="1:59" s="37" customFormat="1" ht="29.25" customHeight="1">
      <c r="A122" s="32" t="s">
        <v>74</v>
      </c>
      <c r="B122" s="32" t="s">
        <v>124</v>
      </c>
      <c r="C122" s="32" t="s">
        <v>123</v>
      </c>
      <c r="D122" s="38" t="s">
        <v>0</v>
      </c>
      <c r="E122" s="38"/>
      <c r="F122" s="38"/>
      <c r="G122" s="34">
        <f t="shared" si="4"/>
        <v>0</v>
      </c>
      <c r="H122" s="30"/>
      <c r="I122" s="38"/>
      <c r="J122" s="34">
        <f t="shared" si="5"/>
        <v>0</v>
      </c>
      <c r="K122" s="2">
        <f>62165698+12000000-12000000+34000000+14520000+13999400</f>
        <v>124685098</v>
      </c>
      <c r="L122" s="2">
        <f>-43500</f>
        <v>-43500</v>
      </c>
      <c r="M122" s="2">
        <f t="shared" si="7"/>
        <v>124641598</v>
      </c>
      <c r="N122" s="3">
        <f t="shared" si="6"/>
        <v>124641.6</v>
      </c>
      <c r="O122" s="13"/>
      <c r="P122" s="13"/>
      <c r="Q122" s="13"/>
      <c r="R122" s="13"/>
      <c r="S122" s="13"/>
      <c r="T122" s="13"/>
      <c r="U122" s="13"/>
      <c r="V122" s="13"/>
      <c r="W122" s="13"/>
      <c r="X122" s="13"/>
      <c r="Y122" s="13"/>
      <c r="Z122" s="13"/>
      <c r="AA122" s="13"/>
      <c r="AB122" s="13"/>
      <c r="AC122" s="13"/>
      <c r="AD122" s="13"/>
      <c r="AE122" s="13"/>
      <c r="AF122" s="13"/>
      <c r="AG122" s="13"/>
      <c r="AH122" s="13"/>
      <c r="AI122" s="13"/>
      <c r="AJ122" s="13"/>
      <c r="AK122" s="13"/>
      <c r="AL122" s="13"/>
      <c r="AM122" s="13"/>
      <c r="AN122" s="13"/>
      <c r="AO122" s="13"/>
      <c r="AP122" s="13"/>
      <c r="AQ122" s="13"/>
      <c r="AR122" s="13"/>
      <c r="AS122" s="13"/>
      <c r="AT122" s="13"/>
      <c r="AU122" s="13"/>
      <c r="AV122" s="13"/>
      <c r="AW122" s="13"/>
      <c r="AX122" s="13"/>
      <c r="AY122" s="13"/>
      <c r="AZ122" s="13"/>
      <c r="BA122" s="13"/>
      <c r="BB122" s="13"/>
      <c r="BC122" s="13"/>
      <c r="BD122" s="13"/>
      <c r="BE122" s="13"/>
      <c r="BF122" s="13"/>
      <c r="BG122" s="13"/>
    </row>
    <row r="123" spans="1:59" s="66" customFormat="1" ht="39.75" customHeight="1">
      <c r="A123" s="31" t="s">
        <v>75</v>
      </c>
      <c r="B123" s="31" t="s">
        <v>133</v>
      </c>
      <c r="C123" s="31" t="s">
        <v>134</v>
      </c>
      <c r="D123" s="61" t="s">
        <v>70</v>
      </c>
      <c r="E123" s="61"/>
      <c r="F123" s="61"/>
      <c r="G123" s="64">
        <f t="shared" si="4"/>
        <v>0</v>
      </c>
      <c r="H123" s="26"/>
      <c r="I123" s="61"/>
      <c r="J123" s="64">
        <f t="shared" si="5"/>
        <v>0</v>
      </c>
      <c r="K123" s="35">
        <f>K124+K242+K248</f>
        <v>117077301</v>
      </c>
      <c r="L123" s="35">
        <f>L124+L242+L248</f>
        <v>59000</v>
      </c>
      <c r="M123" s="35">
        <f>M124+M242+M248</f>
        <v>117136301</v>
      </c>
      <c r="N123" s="36">
        <f>N124+N242+N248</f>
        <v>117136.3</v>
      </c>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c r="BG123" s="65"/>
    </row>
    <row r="124" spans="1:59" s="66" customFormat="1" ht="20.25">
      <c r="A124" s="31"/>
      <c r="B124" s="31"/>
      <c r="C124" s="31"/>
      <c r="D124" s="61" t="s">
        <v>173</v>
      </c>
      <c r="E124" s="61" t="s">
        <v>173</v>
      </c>
      <c r="F124" s="70"/>
      <c r="G124" s="64">
        <f t="shared" si="4"/>
        <v>0</v>
      </c>
      <c r="H124" s="102"/>
      <c r="I124" s="70"/>
      <c r="J124" s="64">
        <f t="shared" si="5"/>
        <v>0</v>
      </c>
      <c r="K124" s="71">
        <f>SUM(K125:K241)</f>
        <v>20920158</v>
      </c>
      <c r="L124" s="71">
        <f>SUM(L125:L241)</f>
        <v>0</v>
      </c>
      <c r="M124" s="71">
        <f>SUM(M125:M241)</f>
        <v>20920158</v>
      </c>
      <c r="N124" s="72">
        <f>SUM(N125:N241)</f>
        <v>20920.2</v>
      </c>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c r="BG124" s="65"/>
    </row>
    <row r="125" spans="1:59" s="37" customFormat="1" ht="24" customHeight="1">
      <c r="A125" s="32"/>
      <c r="B125" s="32"/>
      <c r="C125" s="32"/>
      <c r="D125" s="38" t="s">
        <v>174</v>
      </c>
      <c r="E125" s="38" t="s">
        <v>174</v>
      </c>
      <c r="F125" s="73">
        <v>28556946</v>
      </c>
      <c r="G125" s="34">
        <f t="shared" si="4"/>
        <v>28556.9</v>
      </c>
      <c r="H125" s="103">
        <v>84.5</v>
      </c>
      <c r="I125" s="73">
        <v>24123406</v>
      </c>
      <c r="J125" s="34">
        <f t="shared" si="5"/>
        <v>24123.4</v>
      </c>
      <c r="K125" s="2">
        <v>3000000</v>
      </c>
      <c r="L125" s="54"/>
      <c r="M125" s="2">
        <f t="shared" si="7"/>
        <v>3000000</v>
      </c>
      <c r="N125" s="3">
        <f t="shared" si="6"/>
        <v>3000</v>
      </c>
      <c r="O125" s="13"/>
      <c r="P125" s="13"/>
      <c r="Q125" s="13"/>
      <c r="R125" s="13"/>
      <c r="S125" s="13"/>
      <c r="T125" s="13"/>
      <c r="U125" s="13"/>
      <c r="V125" s="13"/>
      <c r="W125" s="13"/>
      <c r="X125" s="13"/>
      <c r="Y125" s="13"/>
      <c r="Z125" s="13"/>
      <c r="AA125" s="13"/>
      <c r="AB125" s="13"/>
      <c r="AC125" s="13"/>
      <c r="AD125" s="13"/>
      <c r="AE125" s="13"/>
      <c r="AF125" s="13"/>
      <c r="AG125" s="13"/>
      <c r="AH125" s="13"/>
      <c r="AI125" s="13"/>
      <c r="AJ125" s="13"/>
      <c r="AK125" s="13"/>
      <c r="AL125" s="13"/>
      <c r="AM125" s="13"/>
      <c r="AN125" s="13"/>
      <c r="AO125" s="13"/>
      <c r="AP125" s="13"/>
      <c r="AQ125" s="13"/>
      <c r="AR125" s="13"/>
      <c r="AS125" s="13"/>
      <c r="AT125" s="13"/>
      <c r="AU125" s="13"/>
      <c r="AV125" s="13"/>
      <c r="AW125" s="13"/>
      <c r="AX125" s="13"/>
      <c r="AY125" s="13"/>
      <c r="AZ125" s="13"/>
      <c r="BA125" s="13"/>
      <c r="BB125" s="13"/>
      <c r="BC125" s="13"/>
      <c r="BD125" s="13"/>
      <c r="BE125" s="13"/>
      <c r="BF125" s="13"/>
      <c r="BG125" s="13"/>
    </row>
    <row r="126" spans="1:59" s="37" customFormat="1" ht="46.5" customHeight="1">
      <c r="A126" s="32"/>
      <c r="B126" s="32"/>
      <c r="C126" s="32"/>
      <c r="D126" s="38" t="s">
        <v>175</v>
      </c>
      <c r="E126" s="38" t="s">
        <v>175</v>
      </c>
      <c r="F126" s="73"/>
      <c r="G126" s="34">
        <f t="shared" si="4"/>
        <v>0</v>
      </c>
      <c r="H126" s="104"/>
      <c r="I126" s="73"/>
      <c r="J126" s="34">
        <f t="shared" si="5"/>
        <v>0</v>
      </c>
      <c r="K126" s="2">
        <f>12350000-2000000-30000-8745170-35000-1000000</f>
        <v>539830</v>
      </c>
      <c r="L126" s="2"/>
      <c r="M126" s="2">
        <f t="shared" si="7"/>
        <v>539830</v>
      </c>
      <c r="N126" s="3">
        <f t="shared" si="6"/>
        <v>539.8</v>
      </c>
      <c r="O126" s="13"/>
      <c r="P126" s="13"/>
      <c r="Q126" s="13"/>
      <c r="R126" s="13"/>
      <c r="S126" s="13"/>
      <c r="T126" s="13"/>
      <c r="U126" s="13"/>
      <c r="V126" s="13"/>
      <c r="W126" s="13"/>
      <c r="X126" s="13"/>
      <c r="Y126" s="13"/>
      <c r="Z126" s="13"/>
      <c r="AA126" s="13"/>
      <c r="AB126" s="13"/>
      <c r="AC126" s="13"/>
      <c r="AD126" s="13"/>
      <c r="AE126" s="13"/>
      <c r="AF126" s="13"/>
      <c r="AG126" s="13"/>
      <c r="AH126" s="13"/>
      <c r="AI126" s="13"/>
      <c r="AJ126" s="13"/>
      <c r="AK126" s="13"/>
      <c r="AL126" s="13"/>
      <c r="AM126" s="13"/>
      <c r="AN126" s="13"/>
      <c r="AO126" s="13"/>
      <c r="AP126" s="13"/>
      <c r="AQ126" s="13"/>
      <c r="AR126" s="13"/>
      <c r="AS126" s="13"/>
      <c r="AT126" s="13"/>
      <c r="AU126" s="13"/>
      <c r="AV126" s="13"/>
      <c r="AW126" s="13"/>
      <c r="AX126" s="13"/>
      <c r="AY126" s="13"/>
      <c r="AZ126" s="13"/>
      <c r="BA126" s="13"/>
      <c r="BB126" s="13"/>
      <c r="BC126" s="13"/>
      <c r="BD126" s="13"/>
      <c r="BE126" s="13"/>
      <c r="BF126" s="13"/>
      <c r="BG126" s="13"/>
    </row>
    <row r="127" spans="1:59" s="37" customFormat="1" ht="42" customHeight="1">
      <c r="A127" s="32"/>
      <c r="B127" s="32"/>
      <c r="C127" s="32"/>
      <c r="D127" s="38" t="s">
        <v>428</v>
      </c>
      <c r="E127" s="38" t="s">
        <v>176</v>
      </c>
      <c r="F127" s="73">
        <v>55700800</v>
      </c>
      <c r="G127" s="34">
        <f t="shared" si="4"/>
        <v>55700.8</v>
      </c>
      <c r="H127" s="103">
        <v>65.4</v>
      </c>
      <c r="I127" s="73">
        <v>36425600</v>
      </c>
      <c r="J127" s="34">
        <f t="shared" si="5"/>
        <v>36425.6</v>
      </c>
      <c r="K127" s="2">
        <f>5000000-4500000</f>
        <v>500000</v>
      </c>
      <c r="L127" s="2"/>
      <c r="M127" s="2">
        <f t="shared" si="7"/>
        <v>500000</v>
      </c>
      <c r="N127" s="3">
        <f t="shared" si="6"/>
        <v>500</v>
      </c>
      <c r="O127" s="13"/>
      <c r="P127" s="13"/>
      <c r="Q127" s="13"/>
      <c r="R127" s="13"/>
      <c r="S127" s="13"/>
      <c r="T127" s="13"/>
      <c r="U127" s="13"/>
      <c r="V127" s="13"/>
      <c r="W127" s="13"/>
      <c r="X127" s="13"/>
      <c r="Y127" s="13"/>
      <c r="Z127" s="13"/>
      <c r="AA127" s="13"/>
      <c r="AB127" s="13"/>
      <c r="AC127" s="13"/>
      <c r="AD127" s="13"/>
      <c r="AE127" s="13"/>
      <c r="AF127" s="13"/>
      <c r="AG127" s="13"/>
      <c r="AH127" s="13"/>
      <c r="AI127" s="13"/>
      <c r="AJ127" s="13"/>
      <c r="AK127" s="13"/>
      <c r="AL127" s="13"/>
      <c r="AM127" s="13"/>
      <c r="AN127" s="13"/>
      <c r="AO127" s="13"/>
      <c r="AP127" s="13"/>
      <c r="AQ127" s="13"/>
      <c r="AR127" s="13"/>
      <c r="AS127" s="13"/>
      <c r="AT127" s="13"/>
      <c r="AU127" s="13"/>
      <c r="AV127" s="13"/>
      <c r="AW127" s="13"/>
      <c r="AX127" s="13"/>
      <c r="AY127" s="13"/>
      <c r="AZ127" s="13"/>
      <c r="BA127" s="13"/>
      <c r="BB127" s="13"/>
      <c r="BC127" s="13"/>
      <c r="BD127" s="13"/>
      <c r="BE127" s="13"/>
      <c r="BF127" s="13"/>
      <c r="BG127" s="13"/>
    </row>
    <row r="128" spans="1:59" s="37" customFormat="1" ht="36.75" customHeight="1">
      <c r="A128" s="32"/>
      <c r="B128" s="32"/>
      <c r="C128" s="32"/>
      <c r="D128" s="38" t="s">
        <v>177</v>
      </c>
      <c r="E128" s="38" t="s">
        <v>177</v>
      </c>
      <c r="F128" s="73">
        <v>12997832</v>
      </c>
      <c r="G128" s="34">
        <f t="shared" si="4"/>
        <v>12997.8</v>
      </c>
      <c r="H128" s="103">
        <v>29</v>
      </c>
      <c r="I128" s="73">
        <v>3769686</v>
      </c>
      <c r="J128" s="34">
        <f t="shared" si="5"/>
        <v>3769.7</v>
      </c>
      <c r="K128" s="2">
        <v>500000</v>
      </c>
      <c r="L128" s="54"/>
      <c r="M128" s="2">
        <f t="shared" si="7"/>
        <v>500000</v>
      </c>
      <c r="N128" s="3">
        <f t="shared" si="6"/>
        <v>500</v>
      </c>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3"/>
      <c r="AY128" s="13"/>
      <c r="AZ128" s="13"/>
      <c r="BA128" s="13"/>
      <c r="BB128" s="13"/>
      <c r="BC128" s="13"/>
      <c r="BD128" s="13"/>
      <c r="BE128" s="13"/>
      <c r="BF128" s="13"/>
      <c r="BG128" s="13"/>
    </row>
    <row r="129" spans="1:59" s="37" customFormat="1" ht="24" customHeight="1">
      <c r="A129" s="32"/>
      <c r="B129" s="32"/>
      <c r="C129" s="32"/>
      <c r="D129" s="38" t="s">
        <v>178</v>
      </c>
      <c r="E129" s="38" t="s">
        <v>178</v>
      </c>
      <c r="F129" s="73">
        <v>9888427</v>
      </c>
      <c r="G129" s="34">
        <f t="shared" si="4"/>
        <v>9888.4</v>
      </c>
      <c r="H129" s="103">
        <v>97.9</v>
      </c>
      <c r="I129" s="73">
        <v>9684425</v>
      </c>
      <c r="J129" s="34">
        <f t="shared" si="5"/>
        <v>9684.4</v>
      </c>
      <c r="K129" s="2">
        <f>5000000-3000000</f>
        <v>2000000</v>
      </c>
      <c r="L129" s="54"/>
      <c r="M129" s="2">
        <f t="shared" si="7"/>
        <v>2000000</v>
      </c>
      <c r="N129" s="3">
        <f t="shared" si="6"/>
        <v>2000</v>
      </c>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3"/>
      <c r="AY129" s="13"/>
      <c r="AZ129" s="13"/>
      <c r="BA129" s="13"/>
      <c r="BB129" s="13"/>
      <c r="BC129" s="13"/>
      <c r="BD129" s="13"/>
      <c r="BE129" s="13"/>
      <c r="BF129" s="13"/>
      <c r="BG129" s="13"/>
    </row>
    <row r="130" spans="1:59" s="37" customFormat="1" ht="27.75" customHeight="1">
      <c r="A130" s="32"/>
      <c r="B130" s="32"/>
      <c r="C130" s="32"/>
      <c r="D130" s="38" t="s">
        <v>179</v>
      </c>
      <c r="E130" s="74" t="s">
        <v>179</v>
      </c>
      <c r="F130" s="73"/>
      <c r="G130" s="34">
        <f t="shared" si="4"/>
        <v>0</v>
      </c>
      <c r="H130" s="104"/>
      <c r="I130" s="73"/>
      <c r="J130" s="34">
        <f t="shared" si="5"/>
        <v>0</v>
      </c>
      <c r="K130" s="2">
        <v>1500000</v>
      </c>
      <c r="L130" s="54"/>
      <c r="M130" s="2">
        <f t="shared" si="7"/>
        <v>1500000</v>
      </c>
      <c r="N130" s="3">
        <f t="shared" si="6"/>
        <v>1500</v>
      </c>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3"/>
      <c r="AY130" s="13"/>
      <c r="AZ130" s="13"/>
      <c r="BA130" s="13"/>
      <c r="BB130" s="13"/>
      <c r="BC130" s="13"/>
      <c r="BD130" s="13"/>
      <c r="BE130" s="13"/>
      <c r="BF130" s="13"/>
      <c r="BG130" s="13"/>
    </row>
    <row r="131" spans="1:59" s="37" customFormat="1" ht="27" customHeight="1">
      <c r="A131" s="32"/>
      <c r="B131" s="32"/>
      <c r="C131" s="32"/>
      <c r="D131" s="38" t="s">
        <v>180</v>
      </c>
      <c r="E131" s="38" t="s">
        <v>180</v>
      </c>
      <c r="F131" s="73">
        <v>2186292</v>
      </c>
      <c r="G131" s="34">
        <f t="shared" si="4"/>
        <v>2186.3</v>
      </c>
      <c r="H131" s="103">
        <v>30.7</v>
      </c>
      <c r="I131" s="73">
        <v>670994</v>
      </c>
      <c r="J131" s="34">
        <f t="shared" si="5"/>
        <v>671</v>
      </c>
      <c r="K131" s="2">
        <f>500000+150000</f>
        <v>650000</v>
      </c>
      <c r="L131" s="2"/>
      <c r="M131" s="2">
        <f t="shared" si="7"/>
        <v>650000</v>
      </c>
      <c r="N131" s="3">
        <f t="shared" si="6"/>
        <v>650</v>
      </c>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3"/>
      <c r="AY131" s="13"/>
      <c r="AZ131" s="13"/>
      <c r="BA131" s="13"/>
      <c r="BB131" s="13"/>
      <c r="BC131" s="13"/>
      <c r="BD131" s="13"/>
      <c r="BE131" s="13"/>
      <c r="BF131" s="13"/>
      <c r="BG131" s="13"/>
    </row>
    <row r="132" spans="1:59" s="37" customFormat="1" ht="23.25" customHeight="1">
      <c r="A132" s="32"/>
      <c r="B132" s="32"/>
      <c r="C132" s="32"/>
      <c r="D132" s="38" t="s">
        <v>252</v>
      </c>
      <c r="E132" s="74" t="s">
        <v>252</v>
      </c>
      <c r="F132" s="73"/>
      <c r="G132" s="34">
        <f t="shared" si="4"/>
        <v>0</v>
      </c>
      <c r="H132" s="103"/>
      <c r="I132" s="73"/>
      <c r="J132" s="34">
        <f t="shared" si="5"/>
        <v>0</v>
      </c>
      <c r="K132" s="2">
        <f>500000+300000</f>
        <v>800000</v>
      </c>
      <c r="L132" s="2"/>
      <c r="M132" s="2">
        <f t="shared" si="7"/>
        <v>800000</v>
      </c>
      <c r="N132" s="3">
        <f t="shared" si="6"/>
        <v>800</v>
      </c>
      <c r="O132" s="13"/>
      <c r="P132" s="13"/>
      <c r="Q132" s="13"/>
      <c r="R132" s="13"/>
      <c r="S132" s="13"/>
      <c r="T132" s="13"/>
      <c r="U132" s="13"/>
      <c r="V132" s="13"/>
      <c r="W132" s="13"/>
      <c r="X132" s="13"/>
      <c r="Y132" s="13"/>
      <c r="Z132" s="13"/>
      <c r="AA132" s="13"/>
      <c r="AB132" s="13"/>
      <c r="AC132" s="13"/>
      <c r="AD132" s="13"/>
      <c r="AE132" s="13"/>
      <c r="AF132" s="13"/>
      <c r="AG132" s="13"/>
      <c r="AH132" s="13"/>
      <c r="AI132" s="13"/>
      <c r="AJ132" s="13"/>
      <c r="AK132" s="13"/>
      <c r="AL132" s="13"/>
      <c r="AM132" s="13"/>
      <c r="AN132" s="13"/>
      <c r="AO132" s="13"/>
      <c r="AP132" s="13"/>
      <c r="AQ132" s="13"/>
      <c r="AR132" s="13"/>
      <c r="AS132" s="13"/>
      <c r="AT132" s="13"/>
      <c r="AU132" s="13"/>
      <c r="AV132" s="13"/>
      <c r="AW132" s="13"/>
      <c r="AX132" s="13"/>
      <c r="AY132" s="13"/>
      <c r="AZ132" s="13"/>
      <c r="BA132" s="13"/>
      <c r="BB132" s="13"/>
      <c r="BC132" s="13"/>
      <c r="BD132" s="13"/>
      <c r="BE132" s="13"/>
      <c r="BF132" s="13"/>
      <c r="BG132" s="13"/>
    </row>
    <row r="133" spans="1:59" s="37" customFormat="1" ht="27" customHeight="1">
      <c r="A133" s="32"/>
      <c r="B133" s="32"/>
      <c r="C133" s="32"/>
      <c r="D133" s="38" t="s">
        <v>181</v>
      </c>
      <c r="E133" s="38" t="s">
        <v>181</v>
      </c>
      <c r="F133" s="73">
        <v>41125371</v>
      </c>
      <c r="G133" s="34">
        <f t="shared" si="4"/>
        <v>41125.4</v>
      </c>
      <c r="H133" s="103">
        <v>54.2</v>
      </c>
      <c r="I133" s="73">
        <v>22273896</v>
      </c>
      <c r="J133" s="34">
        <f t="shared" si="5"/>
        <v>22273.9</v>
      </c>
      <c r="K133" s="2">
        <f>5000000-3000000-1000000</f>
        <v>1000000</v>
      </c>
      <c r="L133" s="2"/>
      <c r="M133" s="2">
        <f t="shared" si="7"/>
        <v>1000000</v>
      </c>
      <c r="N133" s="3">
        <f t="shared" si="6"/>
        <v>1000</v>
      </c>
      <c r="O133" s="13"/>
      <c r="P133" s="13"/>
      <c r="Q133" s="13"/>
      <c r="R133" s="13"/>
      <c r="S133" s="13"/>
      <c r="T133" s="13"/>
      <c r="U133" s="13"/>
      <c r="V133" s="13"/>
      <c r="W133" s="13"/>
      <c r="X133" s="13"/>
      <c r="Y133" s="13"/>
      <c r="Z133" s="13"/>
      <c r="AA133" s="13"/>
      <c r="AB133" s="13"/>
      <c r="AC133" s="13"/>
      <c r="AD133" s="13"/>
      <c r="AE133" s="13"/>
      <c r="AF133" s="13"/>
      <c r="AG133" s="13"/>
      <c r="AH133" s="13"/>
      <c r="AI133" s="13"/>
      <c r="AJ133" s="13"/>
      <c r="AK133" s="13"/>
      <c r="AL133" s="13"/>
      <c r="AM133" s="13"/>
      <c r="AN133" s="13"/>
      <c r="AO133" s="13"/>
      <c r="AP133" s="13"/>
      <c r="AQ133" s="13"/>
      <c r="AR133" s="13"/>
      <c r="AS133" s="13"/>
      <c r="AT133" s="13"/>
      <c r="AU133" s="13"/>
      <c r="AV133" s="13"/>
      <c r="AW133" s="13"/>
      <c r="AX133" s="13"/>
      <c r="AY133" s="13"/>
      <c r="AZ133" s="13"/>
      <c r="BA133" s="13"/>
      <c r="BB133" s="13"/>
      <c r="BC133" s="13"/>
      <c r="BD133" s="13"/>
      <c r="BE133" s="13"/>
      <c r="BF133" s="13"/>
      <c r="BG133" s="13"/>
    </row>
    <row r="134" spans="1:59" s="37" customFormat="1" ht="39" customHeight="1">
      <c r="A134" s="32"/>
      <c r="B134" s="32"/>
      <c r="C134" s="32"/>
      <c r="D134" s="38" t="s">
        <v>429</v>
      </c>
      <c r="E134" s="38" t="s">
        <v>251</v>
      </c>
      <c r="F134" s="73"/>
      <c r="G134" s="34">
        <f t="shared" si="4"/>
        <v>0</v>
      </c>
      <c r="H134" s="103"/>
      <c r="I134" s="73"/>
      <c r="J134" s="34">
        <f t="shared" si="5"/>
        <v>0</v>
      </c>
      <c r="K134" s="2">
        <v>850000</v>
      </c>
      <c r="L134" s="2"/>
      <c r="M134" s="2">
        <f t="shared" si="7"/>
        <v>850000</v>
      </c>
      <c r="N134" s="3">
        <f t="shared" si="6"/>
        <v>850</v>
      </c>
      <c r="O134" s="13"/>
      <c r="P134" s="13"/>
      <c r="Q134" s="13"/>
      <c r="R134" s="13"/>
      <c r="S134" s="13"/>
      <c r="T134" s="13"/>
      <c r="U134" s="13"/>
      <c r="V134" s="13"/>
      <c r="W134" s="13"/>
      <c r="X134" s="13"/>
      <c r="Y134" s="13"/>
      <c r="Z134" s="13"/>
      <c r="AA134" s="13"/>
      <c r="AB134" s="13"/>
      <c r="AC134" s="13"/>
      <c r="AD134" s="13"/>
      <c r="AE134" s="13"/>
      <c r="AF134" s="13"/>
      <c r="AG134" s="13"/>
      <c r="AH134" s="13"/>
      <c r="AI134" s="13"/>
      <c r="AJ134" s="13"/>
      <c r="AK134" s="13"/>
      <c r="AL134" s="13"/>
      <c r="AM134" s="13"/>
      <c r="AN134" s="13"/>
      <c r="AO134" s="13"/>
      <c r="AP134" s="13"/>
      <c r="AQ134" s="13"/>
      <c r="AR134" s="13"/>
      <c r="AS134" s="13"/>
      <c r="AT134" s="13"/>
      <c r="AU134" s="13"/>
      <c r="AV134" s="13"/>
      <c r="AW134" s="13"/>
      <c r="AX134" s="13"/>
      <c r="AY134" s="13"/>
      <c r="AZ134" s="13"/>
      <c r="BA134" s="13"/>
      <c r="BB134" s="13"/>
      <c r="BC134" s="13"/>
      <c r="BD134" s="13"/>
      <c r="BE134" s="13"/>
      <c r="BF134" s="13"/>
      <c r="BG134" s="13"/>
    </row>
    <row r="135" spans="1:59" s="37" customFormat="1" ht="31.5" customHeight="1">
      <c r="A135" s="32"/>
      <c r="B135" s="32"/>
      <c r="C135" s="32"/>
      <c r="D135" s="38" t="s">
        <v>278</v>
      </c>
      <c r="E135" s="38" t="s">
        <v>278</v>
      </c>
      <c r="F135" s="73"/>
      <c r="G135" s="34">
        <f t="shared" si="4"/>
        <v>0</v>
      </c>
      <c r="H135" s="103"/>
      <c r="I135" s="73"/>
      <c r="J135" s="34">
        <f t="shared" si="5"/>
        <v>0</v>
      </c>
      <c r="K135" s="2">
        <v>100000</v>
      </c>
      <c r="L135" s="2"/>
      <c r="M135" s="2">
        <f t="shared" si="7"/>
        <v>100000</v>
      </c>
      <c r="N135" s="3">
        <f t="shared" si="6"/>
        <v>100</v>
      </c>
      <c r="O135" s="13"/>
      <c r="P135" s="13"/>
      <c r="Q135" s="13"/>
      <c r="R135" s="13"/>
      <c r="S135" s="13"/>
      <c r="T135" s="13"/>
      <c r="U135" s="13"/>
      <c r="V135" s="13"/>
      <c r="W135" s="13"/>
      <c r="X135" s="13"/>
      <c r="Y135" s="13"/>
      <c r="Z135" s="13"/>
      <c r="AA135" s="13"/>
      <c r="AB135" s="13"/>
      <c r="AC135" s="13"/>
      <c r="AD135" s="13"/>
      <c r="AE135" s="13"/>
      <c r="AF135" s="13"/>
      <c r="AG135" s="13"/>
      <c r="AH135" s="13"/>
      <c r="AI135" s="13"/>
      <c r="AJ135" s="13"/>
      <c r="AK135" s="13"/>
      <c r="AL135" s="13"/>
      <c r="AM135" s="13"/>
      <c r="AN135" s="13"/>
      <c r="AO135" s="13"/>
      <c r="AP135" s="13"/>
      <c r="AQ135" s="13"/>
      <c r="AR135" s="13"/>
      <c r="AS135" s="13"/>
      <c r="AT135" s="13"/>
      <c r="AU135" s="13"/>
      <c r="AV135" s="13"/>
      <c r="AW135" s="13"/>
      <c r="AX135" s="13"/>
      <c r="AY135" s="13"/>
      <c r="AZ135" s="13"/>
      <c r="BA135" s="13"/>
      <c r="BB135" s="13"/>
      <c r="BC135" s="13"/>
      <c r="BD135" s="13"/>
      <c r="BE135" s="13"/>
      <c r="BF135" s="13"/>
      <c r="BG135" s="13"/>
    </row>
    <row r="136" spans="1:59" s="37" customFormat="1" ht="29.25" customHeight="1">
      <c r="A136" s="32"/>
      <c r="B136" s="32"/>
      <c r="C136" s="32"/>
      <c r="D136" s="38" t="s">
        <v>237</v>
      </c>
      <c r="E136" s="38" t="s">
        <v>237</v>
      </c>
      <c r="F136" s="73"/>
      <c r="G136" s="34">
        <f aca="true" t="shared" si="8" ref="G136:G199">ROUND(F136/1000,1)</f>
        <v>0</v>
      </c>
      <c r="H136" s="103"/>
      <c r="I136" s="73"/>
      <c r="J136" s="34">
        <f aca="true" t="shared" si="9" ref="J136:J199">ROUND(I136/1000,1)</f>
        <v>0</v>
      </c>
      <c r="K136" s="2">
        <v>100000</v>
      </c>
      <c r="L136" s="54"/>
      <c r="M136" s="2">
        <f t="shared" si="7"/>
        <v>100000</v>
      </c>
      <c r="N136" s="3">
        <f aca="true" t="shared" si="10" ref="N136:N199">ROUND(M136/1000,1)</f>
        <v>100</v>
      </c>
      <c r="O136" s="13"/>
      <c r="P136" s="13"/>
      <c r="Q136" s="13"/>
      <c r="R136" s="13"/>
      <c r="S136" s="13"/>
      <c r="T136" s="13"/>
      <c r="U136" s="13"/>
      <c r="V136" s="13"/>
      <c r="W136" s="13"/>
      <c r="X136" s="13"/>
      <c r="Y136" s="13"/>
      <c r="Z136" s="13"/>
      <c r="AA136" s="13"/>
      <c r="AB136" s="13"/>
      <c r="AC136" s="13"/>
      <c r="AD136" s="13"/>
      <c r="AE136" s="13"/>
      <c r="AF136" s="13"/>
      <c r="AG136" s="13"/>
      <c r="AH136" s="13"/>
      <c r="AI136" s="13"/>
      <c r="AJ136" s="13"/>
      <c r="AK136" s="13"/>
      <c r="AL136" s="13"/>
      <c r="AM136" s="13"/>
      <c r="AN136" s="13"/>
      <c r="AO136" s="13"/>
      <c r="AP136" s="13"/>
      <c r="AQ136" s="13"/>
      <c r="AR136" s="13"/>
      <c r="AS136" s="13"/>
      <c r="AT136" s="13"/>
      <c r="AU136" s="13"/>
      <c r="AV136" s="13"/>
      <c r="AW136" s="13"/>
      <c r="AX136" s="13"/>
      <c r="AY136" s="13"/>
      <c r="AZ136" s="13"/>
      <c r="BA136" s="13"/>
      <c r="BB136" s="13"/>
      <c r="BC136" s="13"/>
      <c r="BD136" s="13"/>
      <c r="BE136" s="13"/>
      <c r="BF136" s="13"/>
      <c r="BG136" s="13"/>
    </row>
    <row r="137" spans="1:59" s="37" customFormat="1" ht="27" customHeight="1">
      <c r="A137" s="32"/>
      <c r="B137" s="32"/>
      <c r="C137" s="32"/>
      <c r="D137" s="38" t="s">
        <v>182</v>
      </c>
      <c r="E137" s="38" t="s">
        <v>182</v>
      </c>
      <c r="F137" s="73"/>
      <c r="G137" s="34">
        <f t="shared" si="8"/>
        <v>0</v>
      </c>
      <c r="H137" s="104"/>
      <c r="I137" s="73"/>
      <c r="J137" s="34">
        <f t="shared" si="9"/>
        <v>0</v>
      </c>
      <c r="K137" s="2">
        <v>500000</v>
      </c>
      <c r="L137" s="54"/>
      <c r="M137" s="2">
        <f t="shared" si="7"/>
        <v>500000</v>
      </c>
      <c r="N137" s="3">
        <f t="shared" si="10"/>
        <v>500</v>
      </c>
      <c r="O137" s="13"/>
      <c r="P137" s="13"/>
      <c r="Q137" s="13"/>
      <c r="R137" s="13"/>
      <c r="S137" s="13"/>
      <c r="T137" s="13"/>
      <c r="U137" s="13"/>
      <c r="V137" s="13"/>
      <c r="W137" s="13"/>
      <c r="X137" s="13"/>
      <c r="Y137" s="13"/>
      <c r="Z137" s="13"/>
      <c r="AA137" s="13"/>
      <c r="AB137" s="13"/>
      <c r="AC137" s="13"/>
      <c r="AD137" s="13"/>
      <c r="AE137" s="13"/>
      <c r="AF137" s="13"/>
      <c r="AG137" s="13"/>
      <c r="AH137" s="13"/>
      <c r="AI137" s="13"/>
      <c r="AJ137" s="13"/>
      <c r="AK137" s="13"/>
      <c r="AL137" s="13"/>
      <c r="AM137" s="13"/>
      <c r="AN137" s="13"/>
      <c r="AO137" s="13"/>
      <c r="AP137" s="13"/>
      <c r="AQ137" s="13"/>
      <c r="AR137" s="13"/>
      <c r="AS137" s="13"/>
      <c r="AT137" s="13"/>
      <c r="AU137" s="13"/>
      <c r="AV137" s="13"/>
      <c r="AW137" s="13"/>
      <c r="AX137" s="13"/>
      <c r="AY137" s="13"/>
      <c r="AZ137" s="13"/>
      <c r="BA137" s="13"/>
      <c r="BB137" s="13"/>
      <c r="BC137" s="13"/>
      <c r="BD137" s="13"/>
      <c r="BE137" s="13"/>
      <c r="BF137" s="13"/>
      <c r="BG137" s="13"/>
    </row>
    <row r="138" spans="1:59" s="37" customFormat="1" ht="35.25" customHeight="1">
      <c r="A138" s="32"/>
      <c r="B138" s="32"/>
      <c r="C138" s="32"/>
      <c r="D138" s="38" t="s">
        <v>385</v>
      </c>
      <c r="E138" s="38" t="s">
        <v>385</v>
      </c>
      <c r="F138" s="73"/>
      <c r="G138" s="34">
        <f t="shared" si="8"/>
        <v>0</v>
      </c>
      <c r="H138" s="104"/>
      <c r="I138" s="73"/>
      <c r="J138" s="34">
        <f t="shared" si="9"/>
        <v>0</v>
      </c>
      <c r="K138" s="2">
        <v>100000</v>
      </c>
      <c r="L138" s="2"/>
      <c r="M138" s="2">
        <f t="shared" si="7"/>
        <v>100000</v>
      </c>
      <c r="N138" s="3">
        <f t="shared" si="10"/>
        <v>100</v>
      </c>
      <c r="O138" s="13"/>
      <c r="P138" s="13"/>
      <c r="Q138" s="13"/>
      <c r="R138" s="13"/>
      <c r="S138" s="13"/>
      <c r="T138" s="13"/>
      <c r="U138" s="13"/>
      <c r="V138" s="13"/>
      <c r="W138" s="13"/>
      <c r="X138" s="13"/>
      <c r="Y138" s="13"/>
      <c r="Z138" s="13"/>
      <c r="AA138" s="13"/>
      <c r="AB138" s="13"/>
      <c r="AC138" s="13"/>
      <c r="AD138" s="13"/>
      <c r="AE138" s="13"/>
      <c r="AF138" s="13"/>
      <c r="AG138" s="13"/>
      <c r="AH138" s="13"/>
      <c r="AI138" s="13"/>
      <c r="AJ138" s="13"/>
      <c r="AK138" s="13"/>
      <c r="AL138" s="13"/>
      <c r="AM138" s="13"/>
      <c r="AN138" s="13"/>
      <c r="AO138" s="13"/>
      <c r="AP138" s="13"/>
      <c r="AQ138" s="13"/>
      <c r="AR138" s="13"/>
      <c r="AS138" s="13"/>
      <c r="AT138" s="13"/>
      <c r="AU138" s="13"/>
      <c r="AV138" s="13"/>
      <c r="AW138" s="13"/>
      <c r="AX138" s="13"/>
      <c r="AY138" s="13"/>
      <c r="AZ138" s="13"/>
      <c r="BA138" s="13"/>
      <c r="BB138" s="13"/>
      <c r="BC138" s="13"/>
      <c r="BD138" s="13"/>
      <c r="BE138" s="13"/>
      <c r="BF138" s="13"/>
      <c r="BG138" s="13"/>
    </row>
    <row r="139" spans="1:59" s="37" customFormat="1" ht="32.25" customHeight="1">
      <c r="A139" s="32"/>
      <c r="B139" s="32"/>
      <c r="C139" s="32"/>
      <c r="D139" s="38" t="s">
        <v>360</v>
      </c>
      <c r="E139" s="38" t="s">
        <v>360</v>
      </c>
      <c r="F139" s="73"/>
      <c r="G139" s="34">
        <f t="shared" si="8"/>
        <v>0</v>
      </c>
      <c r="H139" s="104"/>
      <c r="I139" s="73"/>
      <c r="J139" s="34">
        <f t="shared" si="9"/>
        <v>0</v>
      </c>
      <c r="K139" s="2">
        <f>2000000-1800000</f>
        <v>200000</v>
      </c>
      <c r="L139" s="2"/>
      <c r="M139" s="2">
        <f t="shared" si="7"/>
        <v>200000</v>
      </c>
      <c r="N139" s="3">
        <f t="shared" si="10"/>
        <v>200</v>
      </c>
      <c r="O139" s="13"/>
      <c r="P139" s="13"/>
      <c r="Q139" s="13"/>
      <c r="R139" s="13"/>
      <c r="S139" s="13"/>
      <c r="T139" s="13"/>
      <c r="U139" s="13"/>
      <c r="V139" s="13"/>
      <c r="W139" s="13"/>
      <c r="X139" s="13"/>
      <c r="Y139" s="13"/>
      <c r="Z139" s="13"/>
      <c r="AA139" s="13"/>
      <c r="AB139" s="13"/>
      <c r="AC139" s="13"/>
      <c r="AD139" s="13"/>
      <c r="AE139" s="13"/>
      <c r="AF139" s="13"/>
      <c r="AG139" s="13"/>
      <c r="AH139" s="13"/>
      <c r="AI139" s="13"/>
      <c r="AJ139" s="13"/>
      <c r="AK139" s="13"/>
      <c r="AL139" s="13"/>
      <c r="AM139" s="13"/>
      <c r="AN139" s="13"/>
      <c r="AO139" s="13"/>
      <c r="AP139" s="13"/>
      <c r="AQ139" s="13"/>
      <c r="AR139" s="13"/>
      <c r="AS139" s="13"/>
      <c r="AT139" s="13"/>
      <c r="AU139" s="13"/>
      <c r="AV139" s="13"/>
      <c r="AW139" s="13"/>
      <c r="AX139" s="13"/>
      <c r="AY139" s="13"/>
      <c r="AZ139" s="13"/>
      <c r="BA139" s="13"/>
      <c r="BB139" s="13"/>
      <c r="BC139" s="13"/>
      <c r="BD139" s="13"/>
      <c r="BE139" s="13"/>
      <c r="BF139" s="13"/>
      <c r="BG139" s="13"/>
    </row>
    <row r="140" spans="1:59" s="37" customFormat="1" ht="32.25" customHeight="1">
      <c r="A140" s="32"/>
      <c r="B140" s="32"/>
      <c r="C140" s="32"/>
      <c r="D140" s="38" t="s">
        <v>183</v>
      </c>
      <c r="E140" s="38" t="s">
        <v>183</v>
      </c>
      <c r="F140" s="73"/>
      <c r="G140" s="34">
        <f t="shared" si="8"/>
        <v>0</v>
      </c>
      <c r="H140" s="104"/>
      <c r="I140" s="73"/>
      <c r="J140" s="34">
        <f t="shared" si="9"/>
        <v>0</v>
      </c>
      <c r="K140" s="2"/>
      <c r="L140" s="2">
        <v>10152</v>
      </c>
      <c r="M140" s="2">
        <f t="shared" si="7"/>
        <v>10152</v>
      </c>
      <c r="N140" s="3">
        <f t="shared" si="10"/>
        <v>10.2</v>
      </c>
      <c r="O140" s="13"/>
      <c r="P140" s="13"/>
      <c r="Q140" s="13"/>
      <c r="R140" s="13"/>
      <c r="S140" s="13"/>
      <c r="T140" s="13"/>
      <c r="U140" s="13"/>
      <c r="V140" s="13"/>
      <c r="W140" s="13"/>
      <c r="X140" s="13"/>
      <c r="Y140" s="13"/>
      <c r="Z140" s="13"/>
      <c r="AA140" s="13"/>
      <c r="AB140" s="13"/>
      <c r="AC140" s="13"/>
      <c r="AD140" s="13"/>
      <c r="AE140" s="13"/>
      <c r="AF140" s="13"/>
      <c r="AG140" s="13"/>
      <c r="AH140" s="13"/>
      <c r="AI140" s="13"/>
      <c r="AJ140" s="13"/>
      <c r="AK140" s="13"/>
      <c r="AL140" s="13"/>
      <c r="AM140" s="13"/>
      <c r="AN140" s="13"/>
      <c r="AO140" s="13"/>
      <c r="AP140" s="13"/>
      <c r="AQ140" s="13"/>
      <c r="AR140" s="13"/>
      <c r="AS140" s="13"/>
      <c r="AT140" s="13"/>
      <c r="AU140" s="13"/>
      <c r="AV140" s="13"/>
      <c r="AW140" s="13"/>
      <c r="AX140" s="13"/>
      <c r="AY140" s="13"/>
      <c r="AZ140" s="13"/>
      <c r="BA140" s="13"/>
      <c r="BB140" s="13"/>
      <c r="BC140" s="13"/>
      <c r="BD140" s="13"/>
      <c r="BE140" s="13"/>
      <c r="BF140" s="13"/>
      <c r="BG140" s="13"/>
    </row>
    <row r="141" spans="1:59" s="37" customFormat="1" ht="37.5" customHeight="1">
      <c r="A141" s="32"/>
      <c r="B141" s="32"/>
      <c r="C141" s="32"/>
      <c r="D141" s="38" t="s">
        <v>383</v>
      </c>
      <c r="E141" s="38" t="s">
        <v>383</v>
      </c>
      <c r="F141" s="73"/>
      <c r="G141" s="34">
        <f t="shared" si="8"/>
        <v>0</v>
      </c>
      <c r="H141" s="104"/>
      <c r="I141" s="73"/>
      <c r="J141" s="34">
        <f t="shared" si="9"/>
        <v>0</v>
      </c>
      <c r="K141" s="2">
        <v>250000</v>
      </c>
      <c r="L141" s="2"/>
      <c r="M141" s="2">
        <f t="shared" si="7"/>
        <v>250000</v>
      </c>
      <c r="N141" s="3">
        <f t="shared" si="10"/>
        <v>250</v>
      </c>
      <c r="O141" s="13"/>
      <c r="P141" s="13"/>
      <c r="Q141" s="13"/>
      <c r="R141" s="13"/>
      <c r="S141" s="13"/>
      <c r="T141" s="13"/>
      <c r="U141" s="13"/>
      <c r="V141" s="13"/>
      <c r="W141" s="13"/>
      <c r="X141" s="13"/>
      <c r="Y141" s="13"/>
      <c r="Z141" s="13"/>
      <c r="AA141" s="13"/>
      <c r="AB141" s="13"/>
      <c r="AC141" s="13"/>
      <c r="AD141" s="13"/>
      <c r="AE141" s="13"/>
      <c r="AF141" s="13"/>
      <c r="AG141" s="13"/>
      <c r="AH141" s="13"/>
      <c r="AI141" s="13"/>
      <c r="AJ141" s="13"/>
      <c r="AK141" s="13"/>
      <c r="AL141" s="13"/>
      <c r="AM141" s="13"/>
      <c r="AN141" s="13"/>
      <c r="AO141" s="13"/>
      <c r="AP141" s="13"/>
      <c r="AQ141" s="13"/>
      <c r="AR141" s="13"/>
      <c r="AS141" s="13"/>
      <c r="AT141" s="13"/>
      <c r="AU141" s="13"/>
      <c r="AV141" s="13"/>
      <c r="AW141" s="13"/>
      <c r="AX141" s="13"/>
      <c r="AY141" s="13"/>
      <c r="AZ141" s="13"/>
      <c r="BA141" s="13"/>
      <c r="BB141" s="13"/>
      <c r="BC141" s="13"/>
      <c r="BD141" s="13"/>
      <c r="BE141" s="13"/>
      <c r="BF141" s="13"/>
      <c r="BG141" s="13"/>
    </row>
    <row r="142" spans="1:59" s="37" customFormat="1" ht="37.5" customHeight="1">
      <c r="A142" s="32"/>
      <c r="B142" s="32"/>
      <c r="C142" s="32"/>
      <c r="D142" s="38" t="s">
        <v>404</v>
      </c>
      <c r="E142" s="38" t="s">
        <v>404</v>
      </c>
      <c r="F142" s="73"/>
      <c r="G142" s="34">
        <f t="shared" si="8"/>
        <v>0</v>
      </c>
      <c r="H142" s="104"/>
      <c r="I142" s="73"/>
      <c r="J142" s="34">
        <f t="shared" si="9"/>
        <v>0</v>
      </c>
      <c r="K142" s="2">
        <v>50000</v>
      </c>
      <c r="L142" s="2"/>
      <c r="M142" s="2">
        <f t="shared" si="7"/>
        <v>50000</v>
      </c>
      <c r="N142" s="3">
        <f t="shared" si="10"/>
        <v>50</v>
      </c>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c r="AO142" s="13"/>
      <c r="AP142" s="13"/>
      <c r="AQ142" s="13"/>
      <c r="AR142" s="13"/>
      <c r="AS142" s="13"/>
      <c r="AT142" s="13"/>
      <c r="AU142" s="13"/>
      <c r="AV142" s="13"/>
      <c r="AW142" s="13"/>
      <c r="AX142" s="13"/>
      <c r="AY142" s="13"/>
      <c r="AZ142" s="13"/>
      <c r="BA142" s="13"/>
      <c r="BB142" s="13"/>
      <c r="BC142" s="13"/>
      <c r="BD142" s="13"/>
      <c r="BE142" s="13"/>
      <c r="BF142" s="13"/>
      <c r="BG142" s="13"/>
    </row>
    <row r="143" spans="1:59" s="37" customFormat="1" ht="46.5" customHeight="1">
      <c r="A143" s="32"/>
      <c r="B143" s="32"/>
      <c r="C143" s="32"/>
      <c r="D143" s="38" t="s">
        <v>405</v>
      </c>
      <c r="E143" s="38" t="s">
        <v>405</v>
      </c>
      <c r="F143" s="73"/>
      <c r="G143" s="34">
        <f t="shared" si="8"/>
        <v>0</v>
      </c>
      <c r="H143" s="104"/>
      <c r="I143" s="73"/>
      <c r="J143" s="34">
        <f t="shared" si="9"/>
        <v>0</v>
      </c>
      <c r="K143" s="2">
        <v>50000</v>
      </c>
      <c r="L143" s="2"/>
      <c r="M143" s="2">
        <f t="shared" si="7"/>
        <v>50000</v>
      </c>
      <c r="N143" s="3">
        <f t="shared" si="10"/>
        <v>50</v>
      </c>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3"/>
      <c r="BA143" s="13"/>
      <c r="BB143" s="13"/>
      <c r="BC143" s="13"/>
      <c r="BD143" s="13"/>
      <c r="BE143" s="13"/>
      <c r="BF143" s="13"/>
      <c r="BG143" s="13"/>
    </row>
    <row r="144" spans="1:59" s="37" customFormat="1" ht="37.5" customHeight="1">
      <c r="A144" s="32"/>
      <c r="B144" s="32"/>
      <c r="C144" s="32"/>
      <c r="D144" s="38" t="s">
        <v>313</v>
      </c>
      <c r="E144" s="38" t="s">
        <v>313</v>
      </c>
      <c r="F144" s="73"/>
      <c r="G144" s="34">
        <f t="shared" si="8"/>
        <v>0</v>
      </c>
      <c r="H144" s="104"/>
      <c r="I144" s="73"/>
      <c r="J144" s="34">
        <f t="shared" si="9"/>
        <v>0</v>
      </c>
      <c r="K144" s="2">
        <v>50000</v>
      </c>
      <c r="L144" s="2">
        <v>-846</v>
      </c>
      <c r="M144" s="2">
        <f t="shared" si="7"/>
        <v>49154</v>
      </c>
      <c r="N144" s="3">
        <f>ROUND(M144/1000,1)-0.1</f>
        <v>49.1</v>
      </c>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3"/>
      <c r="BA144" s="13"/>
      <c r="BB144" s="13"/>
      <c r="BC144" s="13"/>
      <c r="BD144" s="13"/>
      <c r="BE144" s="13"/>
      <c r="BF144" s="13"/>
      <c r="BG144" s="13"/>
    </row>
    <row r="145" spans="1:59" s="37" customFormat="1" ht="37.5" customHeight="1">
      <c r="A145" s="32"/>
      <c r="B145" s="32"/>
      <c r="C145" s="32"/>
      <c r="D145" s="38" t="s">
        <v>297</v>
      </c>
      <c r="E145" s="38" t="s">
        <v>297</v>
      </c>
      <c r="F145" s="73"/>
      <c r="G145" s="34">
        <f t="shared" si="8"/>
        <v>0</v>
      </c>
      <c r="H145" s="104"/>
      <c r="I145" s="73"/>
      <c r="J145" s="34">
        <f t="shared" si="9"/>
        <v>0</v>
      </c>
      <c r="K145" s="2">
        <v>50000</v>
      </c>
      <c r="L145" s="2">
        <v>-846</v>
      </c>
      <c r="M145" s="2">
        <f t="shared" si="7"/>
        <v>49154</v>
      </c>
      <c r="N145" s="3">
        <f>ROUND(M145/1000,1)-0.1</f>
        <v>49.1</v>
      </c>
      <c r="O145" s="13"/>
      <c r="P145" s="13"/>
      <c r="Q145" s="13"/>
      <c r="R145" s="13"/>
      <c r="S145" s="13"/>
      <c r="T145" s="13"/>
      <c r="U145" s="13"/>
      <c r="V145" s="13"/>
      <c r="W145" s="13"/>
      <c r="X145" s="13"/>
      <c r="Y145" s="13"/>
      <c r="Z145" s="13"/>
      <c r="AA145" s="13"/>
      <c r="AB145" s="13"/>
      <c r="AC145" s="13"/>
      <c r="AD145" s="13"/>
      <c r="AE145" s="13"/>
      <c r="AF145" s="13"/>
      <c r="AG145" s="13"/>
      <c r="AH145" s="13"/>
      <c r="AI145" s="13"/>
      <c r="AJ145" s="13"/>
      <c r="AK145" s="13"/>
      <c r="AL145" s="13"/>
      <c r="AM145" s="13"/>
      <c r="AN145" s="13"/>
      <c r="AO145" s="13"/>
      <c r="AP145" s="13"/>
      <c r="AQ145" s="13"/>
      <c r="AR145" s="13"/>
      <c r="AS145" s="13"/>
      <c r="AT145" s="13"/>
      <c r="AU145" s="13"/>
      <c r="AV145" s="13"/>
      <c r="AW145" s="13"/>
      <c r="AX145" s="13"/>
      <c r="AY145" s="13"/>
      <c r="AZ145" s="13"/>
      <c r="BA145" s="13"/>
      <c r="BB145" s="13"/>
      <c r="BC145" s="13"/>
      <c r="BD145" s="13"/>
      <c r="BE145" s="13"/>
      <c r="BF145" s="13"/>
      <c r="BG145" s="13"/>
    </row>
    <row r="146" spans="1:59" s="37" customFormat="1" ht="39" customHeight="1">
      <c r="A146" s="32"/>
      <c r="B146" s="32"/>
      <c r="C146" s="32"/>
      <c r="D146" s="38" t="s">
        <v>298</v>
      </c>
      <c r="E146" s="38" t="s">
        <v>298</v>
      </c>
      <c r="F146" s="73"/>
      <c r="G146" s="34">
        <f t="shared" si="8"/>
        <v>0</v>
      </c>
      <c r="H146" s="104"/>
      <c r="I146" s="73"/>
      <c r="J146" s="34">
        <f t="shared" si="9"/>
        <v>0</v>
      </c>
      <c r="K146" s="2">
        <v>50000</v>
      </c>
      <c r="L146" s="2">
        <v>-846</v>
      </c>
      <c r="M146" s="2">
        <f t="shared" si="7"/>
        <v>49154</v>
      </c>
      <c r="N146" s="3">
        <f>ROUND(M146/1000,1)-0.1</f>
        <v>49.1</v>
      </c>
      <c r="O146" s="13"/>
      <c r="P146" s="13"/>
      <c r="Q146" s="13"/>
      <c r="R146" s="13"/>
      <c r="S146" s="13"/>
      <c r="T146" s="13"/>
      <c r="U146" s="13"/>
      <c r="V146" s="13"/>
      <c r="W146" s="13"/>
      <c r="X146" s="13"/>
      <c r="Y146" s="13"/>
      <c r="Z146" s="13"/>
      <c r="AA146" s="13"/>
      <c r="AB146" s="13"/>
      <c r="AC146" s="13"/>
      <c r="AD146" s="13"/>
      <c r="AE146" s="13"/>
      <c r="AF146" s="13"/>
      <c r="AG146" s="13"/>
      <c r="AH146" s="13"/>
      <c r="AI146" s="13"/>
      <c r="AJ146" s="13"/>
      <c r="AK146" s="13"/>
      <c r="AL146" s="13"/>
      <c r="AM146" s="13"/>
      <c r="AN146" s="13"/>
      <c r="AO146" s="13"/>
      <c r="AP146" s="13"/>
      <c r="AQ146" s="13"/>
      <c r="AR146" s="13"/>
      <c r="AS146" s="13"/>
      <c r="AT146" s="13"/>
      <c r="AU146" s="13"/>
      <c r="AV146" s="13"/>
      <c r="AW146" s="13"/>
      <c r="AX146" s="13"/>
      <c r="AY146" s="13"/>
      <c r="AZ146" s="13"/>
      <c r="BA146" s="13"/>
      <c r="BB146" s="13"/>
      <c r="BC146" s="13"/>
      <c r="BD146" s="13"/>
      <c r="BE146" s="13"/>
      <c r="BF146" s="13"/>
      <c r="BG146" s="13"/>
    </row>
    <row r="147" spans="1:59" s="37" customFormat="1" ht="43.5" customHeight="1">
      <c r="A147" s="32"/>
      <c r="B147" s="32"/>
      <c r="C147" s="32"/>
      <c r="D147" s="38" t="s">
        <v>299</v>
      </c>
      <c r="E147" s="38" t="s">
        <v>299</v>
      </c>
      <c r="F147" s="73"/>
      <c r="G147" s="34">
        <f t="shared" si="8"/>
        <v>0</v>
      </c>
      <c r="H147" s="104"/>
      <c r="I147" s="73"/>
      <c r="J147" s="34">
        <f t="shared" si="9"/>
        <v>0</v>
      </c>
      <c r="K147" s="2">
        <v>65000</v>
      </c>
      <c r="L147" s="2"/>
      <c r="M147" s="2">
        <f t="shared" si="7"/>
        <v>65000</v>
      </c>
      <c r="N147" s="3">
        <f t="shared" si="10"/>
        <v>65</v>
      </c>
      <c r="O147" s="13"/>
      <c r="P147" s="13"/>
      <c r="Q147" s="13"/>
      <c r="R147" s="13"/>
      <c r="S147" s="13"/>
      <c r="T147" s="13"/>
      <c r="U147" s="13"/>
      <c r="V147" s="13"/>
      <c r="W147" s="13"/>
      <c r="X147" s="13"/>
      <c r="Y147" s="13"/>
      <c r="Z147" s="13"/>
      <c r="AA147" s="13"/>
      <c r="AB147" s="13"/>
      <c r="AC147" s="13"/>
      <c r="AD147" s="13"/>
      <c r="AE147" s="13"/>
      <c r="AF147" s="13"/>
      <c r="AG147" s="13"/>
      <c r="AH147" s="13"/>
      <c r="AI147" s="13"/>
      <c r="AJ147" s="13"/>
      <c r="AK147" s="13"/>
      <c r="AL147" s="13"/>
      <c r="AM147" s="13"/>
      <c r="AN147" s="13"/>
      <c r="AO147" s="13"/>
      <c r="AP147" s="13"/>
      <c r="AQ147" s="13"/>
      <c r="AR147" s="13"/>
      <c r="AS147" s="13"/>
      <c r="AT147" s="13"/>
      <c r="AU147" s="13"/>
      <c r="AV147" s="13"/>
      <c r="AW147" s="13"/>
      <c r="AX147" s="13"/>
      <c r="AY147" s="13"/>
      <c r="AZ147" s="13"/>
      <c r="BA147" s="13"/>
      <c r="BB147" s="13"/>
      <c r="BC147" s="13"/>
      <c r="BD147" s="13"/>
      <c r="BE147" s="13"/>
      <c r="BF147" s="13"/>
      <c r="BG147" s="13"/>
    </row>
    <row r="148" spans="1:59" s="37" customFormat="1" ht="36.75" customHeight="1">
      <c r="A148" s="32"/>
      <c r="B148" s="32"/>
      <c r="C148" s="32"/>
      <c r="D148" s="38" t="s">
        <v>300</v>
      </c>
      <c r="E148" s="38" t="s">
        <v>300</v>
      </c>
      <c r="F148" s="73"/>
      <c r="G148" s="34">
        <f t="shared" si="8"/>
        <v>0</v>
      </c>
      <c r="H148" s="104"/>
      <c r="I148" s="73"/>
      <c r="J148" s="34">
        <f t="shared" si="9"/>
        <v>0</v>
      </c>
      <c r="K148" s="2">
        <f>35000+30000</f>
        <v>65000</v>
      </c>
      <c r="L148" s="2"/>
      <c r="M148" s="2">
        <f t="shared" si="7"/>
        <v>65000</v>
      </c>
      <c r="N148" s="3">
        <f t="shared" si="10"/>
        <v>65</v>
      </c>
      <c r="O148" s="13"/>
      <c r="P148" s="13"/>
      <c r="Q148" s="13"/>
      <c r="R148" s="13"/>
      <c r="S148" s="13"/>
      <c r="T148" s="13"/>
      <c r="U148" s="13"/>
      <c r="V148" s="13"/>
      <c r="W148" s="13"/>
      <c r="X148" s="13"/>
      <c r="Y148" s="13"/>
      <c r="Z148" s="13"/>
      <c r="AA148" s="13"/>
      <c r="AB148" s="13"/>
      <c r="AC148" s="13"/>
      <c r="AD148" s="13"/>
      <c r="AE148" s="13"/>
      <c r="AF148" s="13"/>
      <c r="AG148" s="13"/>
      <c r="AH148" s="13"/>
      <c r="AI148" s="13"/>
      <c r="AJ148" s="13"/>
      <c r="AK148" s="13"/>
      <c r="AL148" s="13"/>
      <c r="AM148" s="13"/>
      <c r="AN148" s="13"/>
      <c r="AO148" s="13"/>
      <c r="AP148" s="13"/>
      <c r="AQ148" s="13"/>
      <c r="AR148" s="13"/>
      <c r="AS148" s="13"/>
      <c r="AT148" s="13"/>
      <c r="AU148" s="13"/>
      <c r="AV148" s="13"/>
      <c r="AW148" s="13"/>
      <c r="AX148" s="13"/>
      <c r="AY148" s="13"/>
      <c r="AZ148" s="13"/>
      <c r="BA148" s="13"/>
      <c r="BB148" s="13"/>
      <c r="BC148" s="13"/>
      <c r="BD148" s="13"/>
      <c r="BE148" s="13"/>
      <c r="BF148" s="13"/>
      <c r="BG148" s="13"/>
    </row>
    <row r="149" spans="1:59" s="37" customFormat="1" ht="36.75" customHeight="1">
      <c r="A149" s="32"/>
      <c r="B149" s="32"/>
      <c r="C149" s="32"/>
      <c r="D149" s="38" t="s">
        <v>389</v>
      </c>
      <c r="E149" s="38" t="s">
        <v>389</v>
      </c>
      <c r="F149" s="73"/>
      <c r="G149" s="34">
        <f t="shared" si="8"/>
        <v>0</v>
      </c>
      <c r="H149" s="104"/>
      <c r="I149" s="73"/>
      <c r="J149" s="34">
        <f t="shared" si="9"/>
        <v>0</v>
      </c>
      <c r="K149" s="2">
        <v>75000</v>
      </c>
      <c r="L149" s="2"/>
      <c r="M149" s="2">
        <f t="shared" si="7"/>
        <v>75000</v>
      </c>
      <c r="N149" s="3">
        <f t="shared" si="10"/>
        <v>75</v>
      </c>
      <c r="O149" s="13"/>
      <c r="P149" s="13"/>
      <c r="Q149" s="13"/>
      <c r="R149" s="13"/>
      <c r="S149" s="13"/>
      <c r="T149" s="13"/>
      <c r="U149" s="13"/>
      <c r="V149" s="13"/>
      <c r="W149" s="13"/>
      <c r="X149" s="13"/>
      <c r="Y149" s="13"/>
      <c r="Z149" s="13"/>
      <c r="AA149" s="13"/>
      <c r="AB149" s="13"/>
      <c r="AC149" s="13"/>
      <c r="AD149" s="13"/>
      <c r="AE149" s="13"/>
      <c r="AF149" s="13"/>
      <c r="AG149" s="13"/>
      <c r="AH149" s="13"/>
      <c r="AI149" s="13"/>
      <c r="AJ149" s="13"/>
      <c r="AK149" s="13"/>
      <c r="AL149" s="13"/>
      <c r="AM149" s="13"/>
      <c r="AN149" s="13"/>
      <c r="AO149" s="13"/>
      <c r="AP149" s="13"/>
      <c r="AQ149" s="13"/>
      <c r="AR149" s="13"/>
      <c r="AS149" s="13"/>
      <c r="AT149" s="13"/>
      <c r="AU149" s="13"/>
      <c r="AV149" s="13"/>
      <c r="AW149" s="13"/>
      <c r="AX149" s="13"/>
      <c r="AY149" s="13"/>
      <c r="AZ149" s="13"/>
      <c r="BA149" s="13"/>
      <c r="BB149" s="13"/>
      <c r="BC149" s="13"/>
      <c r="BD149" s="13"/>
      <c r="BE149" s="13"/>
      <c r="BF149" s="13"/>
      <c r="BG149" s="13"/>
    </row>
    <row r="150" spans="1:59" s="37" customFormat="1" ht="43.5" customHeight="1">
      <c r="A150" s="32"/>
      <c r="B150" s="32"/>
      <c r="C150" s="32"/>
      <c r="D150" s="38" t="s">
        <v>309</v>
      </c>
      <c r="E150" s="38" t="s">
        <v>309</v>
      </c>
      <c r="F150" s="73"/>
      <c r="G150" s="34">
        <f t="shared" si="8"/>
        <v>0</v>
      </c>
      <c r="H150" s="104"/>
      <c r="I150" s="73"/>
      <c r="J150" s="34">
        <f t="shared" si="9"/>
        <v>0</v>
      </c>
      <c r="K150" s="2">
        <f>100000-19260</f>
        <v>80740</v>
      </c>
      <c r="L150" s="2"/>
      <c r="M150" s="2">
        <f t="shared" si="7"/>
        <v>80740</v>
      </c>
      <c r="N150" s="3">
        <f>ROUND(M150/1000,1)+0.1</f>
        <v>80.8</v>
      </c>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c r="AR150" s="13"/>
      <c r="AS150" s="13"/>
      <c r="AT150" s="13"/>
      <c r="AU150" s="13"/>
      <c r="AV150" s="13"/>
      <c r="AW150" s="13"/>
      <c r="AX150" s="13"/>
      <c r="AY150" s="13"/>
      <c r="AZ150" s="13"/>
      <c r="BA150" s="13"/>
      <c r="BB150" s="13"/>
      <c r="BC150" s="13"/>
      <c r="BD150" s="13"/>
      <c r="BE150" s="13"/>
      <c r="BF150" s="13"/>
      <c r="BG150" s="13"/>
    </row>
    <row r="151" spans="1:59" s="37" customFormat="1" ht="39" customHeight="1">
      <c r="A151" s="32"/>
      <c r="B151" s="32"/>
      <c r="C151" s="32"/>
      <c r="D151" s="38" t="s">
        <v>373</v>
      </c>
      <c r="E151" s="38" t="s">
        <v>373</v>
      </c>
      <c r="F151" s="73"/>
      <c r="G151" s="34">
        <f t="shared" si="8"/>
        <v>0</v>
      </c>
      <c r="H151" s="104"/>
      <c r="I151" s="73"/>
      <c r="J151" s="34">
        <f t="shared" si="9"/>
        <v>0</v>
      </c>
      <c r="K151" s="2">
        <v>183830</v>
      </c>
      <c r="L151" s="2"/>
      <c r="M151" s="2">
        <f t="shared" si="7"/>
        <v>183830</v>
      </c>
      <c r="N151" s="3">
        <f t="shared" si="10"/>
        <v>183.8</v>
      </c>
      <c r="O151" s="13"/>
      <c r="P151" s="13"/>
      <c r="Q151" s="13"/>
      <c r="R151" s="13"/>
      <c r="S151" s="13"/>
      <c r="T151" s="13"/>
      <c r="U151" s="13"/>
      <c r="V151" s="13"/>
      <c r="W151" s="13"/>
      <c r="X151" s="13"/>
      <c r="Y151" s="13"/>
      <c r="Z151" s="13"/>
      <c r="AA151" s="13"/>
      <c r="AB151" s="13"/>
      <c r="AC151" s="13"/>
      <c r="AD151" s="13"/>
      <c r="AE151" s="13"/>
      <c r="AF151" s="13"/>
      <c r="AG151" s="13"/>
      <c r="AH151" s="13"/>
      <c r="AI151" s="13"/>
      <c r="AJ151" s="13"/>
      <c r="AK151" s="13"/>
      <c r="AL151" s="13"/>
      <c r="AM151" s="13"/>
      <c r="AN151" s="13"/>
      <c r="AO151" s="13"/>
      <c r="AP151" s="13"/>
      <c r="AQ151" s="13"/>
      <c r="AR151" s="13"/>
      <c r="AS151" s="13"/>
      <c r="AT151" s="13"/>
      <c r="AU151" s="13"/>
      <c r="AV151" s="13"/>
      <c r="AW151" s="13"/>
      <c r="AX151" s="13"/>
      <c r="AY151" s="13"/>
      <c r="AZ151" s="13"/>
      <c r="BA151" s="13"/>
      <c r="BB151" s="13"/>
      <c r="BC151" s="13"/>
      <c r="BD151" s="13"/>
      <c r="BE151" s="13"/>
      <c r="BF151" s="13"/>
      <c r="BG151" s="13"/>
    </row>
    <row r="152" spans="1:59" s="37" customFormat="1" ht="39" customHeight="1">
      <c r="A152" s="32"/>
      <c r="B152" s="32"/>
      <c r="C152" s="32"/>
      <c r="D152" s="38" t="s">
        <v>301</v>
      </c>
      <c r="E152" s="38" t="s">
        <v>301</v>
      </c>
      <c r="F152" s="73"/>
      <c r="G152" s="34">
        <f t="shared" si="8"/>
        <v>0</v>
      </c>
      <c r="H152" s="104"/>
      <c r="I152" s="73"/>
      <c r="J152" s="34">
        <f t="shared" si="9"/>
        <v>0</v>
      </c>
      <c r="K152" s="2">
        <v>50000</v>
      </c>
      <c r="L152" s="2">
        <v>-846</v>
      </c>
      <c r="M152" s="2">
        <f t="shared" si="7"/>
        <v>49154</v>
      </c>
      <c r="N152" s="3">
        <f>ROUND(M152/1000,1)-0.1</f>
        <v>49.1</v>
      </c>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c r="AZ152" s="13"/>
      <c r="BA152" s="13"/>
      <c r="BB152" s="13"/>
      <c r="BC152" s="13"/>
      <c r="BD152" s="13"/>
      <c r="BE152" s="13"/>
      <c r="BF152" s="13"/>
      <c r="BG152" s="13"/>
    </row>
    <row r="153" spans="1:59" s="37" customFormat="1" ht="46.5" customHeight="1">
      <c r="A153" s="32"/>
      <c r="B153" s="32"/>
      <c r="C153" s="32"/>
      <c r="D153" s="38" t="s">
        <v>302</v>
      </c>
      <c r="E153" s="38" t="s">
        <v>302</v>
      </c>
      <c r="F153" s="73"/>
      <c r="G153" s="34">
        <f t="shared" si="8"/>
        <v>0</v>
      </c>
      <c r="H153" s="104"/>
      <c r="I153" s="73"/>
      <c r="J153" s="34">
        <f t="shared" si="9"/>
        <v>0</v>
      </c>
      <c r="K153" s="2">
        <v>50000</v>
      </c>
      <c r="L153" s="2">
        <v>-846</v>
      </c>
      <c r="M153" s="2">
        <f t="shared" si="7"/>
        <v>49154</v>
      </c>
      <c r="N153" s="3">
        <f>ROUND(M153/1000,1)-0.1</f>
        <v>49.1</v>
      </c>
      <c r="O153" s="13"/>
      <c r="P153" s="13"/>
      <c r="Q153" s="13"/>
      <c r="R153" s="13"/>
      <c r="S153" s="13"/>
      <c r="T153" s="13"/>
      <c r="U153" s="13"/>
      <c r="V153" s="13"/>
      <c r="W153" s="13"/>
      <c r="X153" s="13"/>
      <c r="Y153" s="13"/>
      <c r="Z153" s="13"/>
      <c r="AA153" s="13"/>
      <c r="AB153" s="13"/>
      <c r="AC153" s="13"/>
      <c r="AD153" s="13"/>
      <c r="AE153" s="13"/>
      <c r="AF153" s="13"/>
      <c r="AG153" s="13"/>
      <c r="AH153" s="13"/>
      <c r="AI153" s="13"/>
      <c r="AJ153" s="13"/>
      <c r="AK153" s="13"/>
      <c r="AL153" s="13"/>
      <c r="AM153" s="13"/>
      <c r="AN153" s="13"/>
      <c r="AO153" s="13"/>
      <c r="AP153" s="13"/>
      <c r="AQ153" s="13"/>
      <c r="AR153" s="13"/>
      <c r="AS153" s="13"/>
      <c r="AT153" s="13"/>
      <c r="AU153" s="13"/>
      <c r="AV153" s="13"/>
      <c r="AW153" s="13"/>
      <c r="AX153" s="13"/>
      <c r="AY153" s="13"/>
      <c r="AZ153" s="13"/>
      <c r="BA153" s="13"/>
      <c r="BB153" s="13"/>
      <c r="BC153" s="13"/>
      <c r="BD153" s="13"/>
      <c r="BE153" s="13"/>
      <c r="BF153" s="13"/>
      <c r="BG153" s="13"/>
    </row>
    <row r="154" spans="1:59" s="37" customFormat="1" ht="39.75" customHeight="1">
      <c r="A154" s="32"/>
      <c r="B154" s="32"/>
      <c r="C154" s="32"/>
      <c r="D154" s="38" t="s">
        <v>329</v>
      </c>
      <c r="E154" s="38" t="s">
        <v>329</v>
      </c>
      <c r="F154" s="73"/>
      <c r="G154" s="34">
        <f t="shared" si="8"/>
        <v>0</v>
      </c>
      <c r="H154" s="104"/>
      <c r="I154" s="73"/>
      <c r="J154" s="34">
        <f t="shared" si="9"/>
        <v>0</v>
      </c>
      <c r="K154" s="2">
        <v>100000</v>
      </c>
      <c r="L154" s="2"/>
      <c r="M154" s="2">
        <f t="shared" si="7"/>
        <v>100000</v>
      </c>
      <c r="N154" s="3">
        <f t="shared" si="10"/>
        <v>100</v>
      </c>
      <c r="O154" s="13"/>
      <c r="P154" s="13"/>
      <c r="Q154" s="13"/>
      <c r="R154" s="13"/>
      <c r="S154" s="13"/>
      <c r="T154" s="13"/>
      <c r="U154" s="13"/>
      <c r="V154" s="13"/>
      <c r="W154" s="13"/>
      <c r="X154" s="13"/>
      <c r="Y154" s="13"/>
      <c r="Z154" s="13"/>
      <c r="AA154" s="13"/>
      <c r="AB154" s="13"/>
      <c r="AC154" s="13"/>
      <c r="AD154" s="13"/>
      <c r="AE154" s="13"/>
      <c r="AF154" s="13"/>
      <c r="AG154" s="13"/>
      <c r="AH154" s="13"/>
      <c r="AI154" s="13"/>
      <c r="AJ154" s="13"/>
      <c r="AK154" s="13"/>
      <c r="AL154" s="13"/>
      <c r="AM154" s="13"/>
      <c r="AN154" s="13"/>
      <c r="AO154" s="13"/>
      <c r="AP154" s="13"/>
      <c r="AQ154" s="13"/>
      <c r="AR154" s="13"/>
      <c r="AS154" s="13"/>
      <c r="AT154" s="13"/>
      <c r="AU154" s="13"/>
      <c r="AV154" s="13"/>
      <c r="AW154" s="13"/>
      <c r="AX154" s="13"/>
      <c r="AY154" s="13"/>
      <c r="AZ154" s="13"/>
      <c r="BA154" s="13"/>
      <c r="BB154" s="13"/>
      <c r="BC154" s="13"/>
      <c r="BD154" s="13"/>
      <c r="BE154" s="13"/>
      <c r="BF154" s="13"/>
      <c r="BG154" s="13"/>
    </row>
    <row r="155" spans="1:59" s="37" customFormat="1" ht="37.5" customHeight="1">
      <c r="A155" s="32"/>
      <c r="B155" s="32"/>
      <c r="C155" s="32"/>
      <c r="D155" s="38" t="s">
        <v>347</v>
      </c>
      <c r="E155" s="38" t="s">
        <v>347</v>
      </c>
      <c r="F155" s="73"/>
      <c r="G155" s="34">
        <f t="shared" si="8"/>
        <v>0</v>
      </c>
      <c r="H155" s="104"/>
      <c r="I155" s="73"/>
      <c r="J155" s="34">
        <f t="shared" si="9"/>
        <v>0</v>
      </c>
      <c r="K155" s="2">
        <v>50000</v>
      </c>
      <c r="L155" s="2"/>
      <c r="M155" s="2">
        <f t="shared" si="7"/>
        <v>50000</v>
      </c>
      <c r="N155" s="3">
        <f t="shared" si="10"/>
        <v>50</v>
      </c>
      <c r="O155" s="13"/>
      <c r="P155" s="13"/>
      <c r="Q155" s="13"/>
      <c r="R155" s="13"/>
      <c r="S155" s="13"/>
      <c r="T155" s="13"/>
      <c r="U155" s="13"/>
      <c r="V155" s="13"/>
      <c r="W155" s="13"/>
      <c r="X155" s="13"/>
      <c r="Y155" s="13"/>
      <c r="Z155" s="13"/>
      <c r="AA155" s="13"/>
      <c r="AB155" s="13"/>
      <c r="AC155" s="13"/>
      <c r="AD155" s="13"/>
      <c r="AE155" s="13"/>
      <c r="AF155" s="13"/>
      <c r="AG155" s="13"/>
      <c r="AH155" s="13"/>
      <c r="AI155" s="13"/>
      <c r="AJ155" s="13"/>
      <c r="AK155" s="13"/>
      <c r="AL155" s="13"/>
      <c r="AM155" s="13"/>
      <c r="AN155" s="13"/>
      <c r="AO155" s="13"/>
      <c r="AP155" s="13"/>
      <c r="AQ155" s="13"/>
      <c r="AR155" s="13"/>
      <c r="AS155" s="13"/>
      <c r="AT155" s="13"/>
      <c r="AU155" s="13"/>
      <c r="AV155" s="13"/>
      <c r="AW155" s="13"/>
      <c r="AX155" s="13"/>
      <c r="AY155" s="13"/>
      <c r="AZ155" s="13"/>
      <c r="BA155" s="13"/>
      <c r="BB155" s="13"/>
      <c r="BC155" s="13"/>
      <c r="BD155" s="13"/>
      <c r="BE155" s="13"/>
      <c r="BF155" s="13"/>
      <c r="BG155" s="13"/>
    </row>
    <row r="156" spans="1:59" s="37" customFormat="1" ht="37.5" customHeight="1">
      <c r="A156" s="32"/>
      <c r="B156" s="32"/>
      <c r="C156" s="32"/>
      <c r="D156" s="38" t="s">
        <v>406</v>
      </c>
      <c r="E156" s="38" t="s">
        <v>406</v>
      </c>
      <c r="F156" s="73"/>
      <c r="G156" s="34">
        <f t="shared" si="8"/>
        <v>0</v>
      </c>
      <c r="H156" s="104"/>
      <c r="I156" s="73"/>
      <c r="J156" s="34">
        <f t="shared" si="9"/>
        <v>0</v>
      </c>
      <c r="K156" s="2">
        <v>50000</v>
      </c>
      <c r="L156" s="2"/>
      <c r="M156" s="2">
        <f t="shared" si="7"/>
        <v>50000</v>
      </c>
      <c r="N156" s="3">
        <f t="shared" si="10"/>
        <v>50</v>
      </c>
      <c r="O156" s="13"/>
      <c r="P156" s="13"/>
      <c r="Q156" s="13"/>
      <c r="R156" s="13"/>
      <c r="S156" s="13"/>
      <c r="T156" s="13"/>
      <c r="U156" s="13"/>
      <c r="V156" s="13"/>
      <c r="W156" s="13"/>
      <c r="X156" s="13"/>
      <c r="Y156" s="13"/>
      <c r="Z156" s="13"/>
      <c r="AA156" s="13"/>
      <c r="AB156" s="13"/>
      <c r="AC156" s="13"/>
      <c r="AD156" s="13"/>
      <c r="AE156" s="13"/>
      <c r="AF156" s="13"/>
      <c r="AG156" s="13"/>
      <c r="AH156" s="13"/>
      <c r="AI156" s="13"/>
      <c r="AJ156" s="13"/>
      <c r="AK156" s="13"/>
      <c r="AL156" s="13"/>
      <c r="AM156" s="13"/>
      <c r="AN156" s="13"/>
      <c r="AO156" s="13"/>
      <c r="AP156" s="13"/>
      <c r="AQ156" s="13"/>
      <c r="AR156" s="13"/>
      <c r="AS156" s="13"/>
      <c r="AT156" s="13"/>
      <c r="AU156" s="13"/>
      <c r="AV156" s="13"/>
      <c r="AW156" s="13"/>
      <c r="AX156" s="13"/>
      <c r="AY156" s="13"/>
      <c r="AZ156" s="13"/>
      <c r="BA156" s="13"/>
      <c r="BB156" s="13"/>
      <c r="BC156" s="13"/>
      <c r="BD156" s="13"/>
      <c r="BE156" s="13"/>
      <c r="BF156" s="13"/>
      <c r="BG156" s="13"/>
    </row>
    <row r="157" spans="1:59" s="37" customFormat="1" ht="37.5" customHeight="1">
      <c r="A157" s="32"/>
      <c r="B157" s="32"/>
      <c r="C157" s="32"/>
      <c r="D157" s="38" t="s">
        <v>407</v>
      </c>
      <c r="E157" s="38" t="s">
        <v>407</v>
      </c>
      <c r="F157" s="73"/>
      <c r="G157" s="34">
        <f t="shared" si="8"/>
        <v>0</v>
      </c>
      <c r="H157" s="104"/>
      <c r="I157" s="73"/>
      <c r="J157" s="34">
        <f t="shared" si="9"/>
        <v>0</v>
      </c>
      <c r="K157" s="2">
        <v>50000</v>
      </c>
      <c r="L157" s="2"/>
      <c r="M157" s="2">
        <f t="shared" si="7"/>
        <v>50000</v>
      </c>
      <c r="N157" s="3">
        <f t="shared" si="10"/>
        <v>50</v>
      </c>
      <c r="O157" s="13"/>
      <c r="P157" s="13"/>
      <c r="Q157" s="13"/>
      <c r="R157" s="13"/>
      <c r="S157" s="13"/>
      <c r="T157" s="13"/>
      <c r="U157" s="13"/>
      <c r="V157" s="13"/>
      <c r="W157" s="13"/>
      <c r="X157" s="13"/>
      <c r="Y157" s="13"/>
      <c r="Z157" s="13"/>
      <c r="AA157" s="13"/>
      <c r="AB157" s="13"/>
      <c r="AC157" s="13"/>
      <c r="AD157" s="13"/>
      <c r="AE157" s="13"/>
      <c r="AF157" s="13"/>
      <c r="AG157" s="13"/>
      <c r="AH157" s="13"/>
      <c r="AI157" s="13"/>
      <c r="AJ157" s="13"/>
      <c r="AK157" s="13"/>
      <c r="AL157" s="13"/>
      <c r="AM157" s="13"/>
      <c r="AN157" s="13"/>
      <c r="AO157" s="13"/>
      <c r="AP157" s="13"/>
      <c r="AQ157" s="13"/>
      <c r="AR157" s="13"/>
      <c r="AS157" s="13"/>
      <c r="AT157" s="13"/>
      <c r="AU157" s="13"/>
      <c r="AV157" s="13"/>
      <c r="AW157" s="13"/>
      <c r="AX157" s="13"/>
      <c r="AY157" s="13"/>
      <c r="AZ157" s="13"/>
      <c r="BA157" s="13"/>
      <c r="BB157" s="13"/>
      <c r="BC157" s="13"/>
      <c r="BD157" s="13"/>
      <c r="BE157" s="13"/>
      <c r="BF157" s="13"/>
      <c r="BG157" s="13"/>
    </row>
    <row r="158" spans="1:59" s="37" customFormat="1" ht="37.5" customHeight="1">
      <c r="A158" s="32"/>
      <c r="B158" s="32"/>
      <c r="C158" s="32"/>
      <c r="D158" s="38" t="s">
        <v>303</v>
      </c>
      <c r="E158" s="38" t="s">
        <v>303</v>
      </c>
      <c r="F158" s="73"/>
      <c r="G158" s="34">
        <f t="shared" si="8"/>
        <v>0</v>
      </c>
      <c r="H158" s="104"/>
      <c r="I158" s="73"/>
      <c r="J158" s="34">
        <f t="shared" si="9"/>
        <v>0</v>
      </c>
      <c r="K158" s="2">
        <v>50000</v>
      </c>
      <c r="L158" s="2">
        <v>-846</v>
      </c>
      <c r="M158" s="2">
        <f t="shared" si="7"/>
        <v>49154</v>
      </c>
      <c r="N158" s="3">
        <f>ROUND(M158/1000,1)-0.1</f>
        <v>49.1</v>
      </c>
      <c r="O158" s="13"/>
      <c r="P158" s="13"/>
      <c r="Q158" s="13"/>
      <c r="R158" s="13"/>
      <c r="S158" s="13"/>
      <c r="T158" s="13"/>
      <c r="U158" s="13"/>
      <c r="V158" s="13"/>
      <c r="W158" s="13"/>
      <c r="X158" s="13"/>
      <c r="Y158" s="13"/>
      <c r="Z158" s="13"/>
      <c r="AA158" s="13"/>
      <c r="AB158" s="13"/>
      <c r="AC158" s="13"/>
      <c r="AD158" s="13"/>
      <c r="AE158" s="13"/>
      <c r="AF158" s="13"/>
      <c r="AG158" s="13"/>
      <c r="AH158" s="13"/>
      <c r="AI158" s="13"/>
      <c r="AJ158" s="13"/>
      <c r="AK158" s="13"/>
      <c r="AL158" s="13"/>
      <c r="AM158" s="13"/>
      <c r="AN158" s="13"/>
      <c r="AO158" s="13"/>
      <c r="AP158" s="13"/>
      <c r="AQ158" s="13"/>
      <c r="AR158" s="13"/>
      <c r="AS158" s="13"/>
      <c r="AT158" s="13"/>
      <c r="AU158" s="13"/>
      <c r="AV158" s="13"/>
      <c r="AW158" s="13"/>
      <c r="AX158" s="13"/>
      <c r="AY158" s="13"/>
      <c r="AZ158" s="13"/>
      <c r="BA158" s="13"/>
      <c r="BB158" s="13"/>
      <c r="BC158" s="13"/>
      <c r="BD158" s="13"/>
      <c r="BE158" s="13"/>
      <c r="BF158" s="13"/>
      <c r="BG158" s="13"/>
    </row>
    <row r="159" spans="1:59" s="37" customFormat="1" ht="36.75" customHeight="1">
      <c r="A159" s="32"/>
      <c r="B159" s="32"/>
      <c r="C159" s="32"/>
      <c r="D159" s="38" t="s">
        <v>304</v>
      </c>
      <c r="E159" s="38" t="s">
        <v>304</v>
      </c>
      <c r="F159" s="73"/>
      <c r="G159" s="34">
        <f t="shared" si="8"/>
        <v>0</v>
      </c>
      <c r="H159" s="104"/>
      <c r="I159" s="73"/>
      <c r="J159" s="34">
        <f t="shared" si="9"/>
        <v>0</v>
      </c>
      <c r="K159" s="2">
        <v>50000</v>
      </c>
      <c r="L159" s="2">
        <v>-846</v>
      </c>
      <c r="M159" s="2">
        <f t="shared" si="7"/>
        <v>49154</v>
      </c>
      <c r="N159" s="3">
        <f>ROUND(M159/1000,1)</f>
        <v>49.2</v>
      </c>
      <c r="O159" s="13"/>
      <c r="P159" s="13"/>
      <c r="Q159" s="13"/>
      <c r="R159" s="13"/>
      <c r="S159" s="13"/>
      <c r="T159" s="13"/>
      <c r="U159" s="13"/>
      <c r="V159" s="13"/>
      <c r="W159" s="13"/>
      <c r="X159" s="13"/>
      <c r="Y159" s="13"/>
      <c r="Z159" s="13"/>
      <c r="AA159" s="13"/>
      <c r="AB159" s="13"/>
      <c r="AC159" s="13"/>
      <c r="AD159" s="13"/>
      <c r="AE159" s="13"/>
      <c r="AF159" s="13"/>
      <c r="AG159" s="13"/>
      <c r="AH159" s="13"/>
      <c r="AI159" s="13"/>
      <c r="AJ159" s="13"/>
      <c r="AK159" s="13"/>
      <c r="AL159" s="13"/>
      <c r="AM159" s="13"/>
      <c r="AN159" s="13"/>
      <c r="AO159" s="13"/>
      <c r="AP159" s="13"/>
      <c r="AQ159" s="13"/>
      <c r="AR159" s="13"/>
      <c r="AS159" s="13"/>
      <c r="AT159" s="13"/>
      <c r="AU159" s="13"/>
      <c r="AV159" s="13"/>
      <c r="AW159" s="13"/>
      <c r="AX159" s="13"/>
      <c r="AY159" s="13"/>
      <c r="AZ159" s="13"/>
      <c r="BA159" s="13"/>
      <c r="BB159" s="13"/>
      <c r="BC159" s="13"/>
      <c r="BD159" s="13"/>
      <c r="BE159" s="13"/>
      <c r="BF159" s="13"/>
      <c r="BG159" s="13"/>
    </row>
    <row r="160" spans="1:59" s="37" customFormat="1" ht="39" customHeight="1">
      <c r="A160" s="32"/>
      <c r="B160" s="32"/>
      <c r="C160" s="32"/>
      <c r="D160" s="38" t="s">
        <v>305</v>
      </c>
      <c r="E160" s="38" t="s">
        <v>305</v>
      </c>
      <c r="F160" s="73"/>
      <c r="G160" s="34">
        <f t="shared" si="8"/>
        <v>0</v>
      </c>
      <c r="H160" s="104"/>
      <c r="I160" s="73"/>
      <c r="J160" s="34">
        <f t="shared" si="9"/>
        <v>0</v>
      </c>
      <c r="K160" s="2">
        <v>50000</v>
      </c>
      <c r="L160" s="2">
        <v>-846</v>
      </c>
      <c r="M160" s="2">
        <f t="shared" si="7"/>
        <v>49154</v>
      </c>
      <c r="N160" s="3">
        <f>ROUND(M160/1000,1)</f>
        <v>49.2</v>
      </c>
      <c r="O160" s="13"/>
      <c r="P160" s="13"/>
      <c r="Q160" s="13"/>
      <c r="R160" s="13"/>
      <c r="S160" s="13"/>
      <c r="T160" s="13"/>
      <c r="U160" s="13"/>
      <c r="V160" s="13"/>
      <c r="W160" s="13"/>
      <c r="X160" s="13"/>
      <c r="Y160" s="13"/>
      <c r="Z160" s="13"/>
      <c r="AA160" s="13"/>
      <c r="AB160" s="13"/>
      <c r="AC160" s="13"/>
      <c r="AD160" s="13"/>
      <c r="AE160" s="13"/>
      <c r="AF160" s="13"/>
      <c r="AG160" s="13"/>
      <c r="AH160" s="13"/>
      <c r="AI160" s="13"/>
      <c r="AJ160" s="13"/>
      <c r="AK160" s="13"/>
      <c r="AL160" s="13"/>
      <c r="AM160" s="13"/>
      <c r="AN160" s="13"/>
      <c r="AO160" s="13"/>
      <c r="AP160" s="13"/>
      <c r="AQ160" s="13"/>
      <c r="AR160" s="13"/>
      <c r="AS160" s="13"/>
      <c r="AT160" s="13"/>
      <c r="AU160" s="13"/>
      <c r="AV160" s="13"/>
      <c r="AW160" s="13"/>
      <c r="AX160" s="13"/>
      <c r="AY160" s="13"/>
      <c r="AZ160" s="13"/>
      <c r="BA160" s="13"/>
      <c r="BB160" s="13"/>
      <c r="BC160" s="13"/>
      <c r="BD160" s="13"/>
      <c r="BE160" s="13"/>
      <c r="BF160" s="13"/>
      <c r="BG160" s="13"/>
    </row>
    <row r="161" spans="1:59" s="37" customFormat="1" ht="39" customHeight="1">
      <c r="A161" s="32"/>
      <c r="B161" s="32"/>
      <c r="C161" s="32"/>
      <c r="D161" s="38" t="s">
        <v>306</v>
      </c>
      <c r="E161" s="38" t="s">
        <v>306</v>
      </c>
      <c r="F161" s="73"/>
      <c r="G161" s="34">
        <f t="shared" si="8"/>
        <v>0</v>
      </c>
      <c r="H161" s="104"/>
      <c r="I161" s="73"/>
      <c r="J161" s="34">
        <f t="shared" si="9"/>
        <v>0</v>
      </c>
      <c r="K161" s="2">
        <v>50000</v>
      </c>
      <c r="L161" s="2">
        <v>-846</v>
      </c>
      <c r="M161" s="2">
        <f t="shared" si="7"/>
        <v>49154</v>
      </c>
      <c r="N161" s="3">
        <f>ROUND(M161/1000,1)</f>
        <v>49.2</v>
      </c>
      <c r="O161" s="13"/>
      <c r="P161" s="13"/>
      <c r="Q161" s="13"/>
      <c r="R161" s="13"/>
      <c r="S161" s="13"/>
      <c r="T161" s="13"/>
      <c r="U161" s="13"/>
      <c r="V161" s="13"/>
      <c r="W161" s="13"/>
      <c r="X161" s="13"/>
      <c r="Y161" s="13"/>
      <c r="Z161" s="13"/>
      <c r="AA161" s="13"/>
      <c r="AB161" s="13"/>
      <c r="AC161" s="13"/>
      <c r="AD161" s="13"/>
      <c r="AE161" s="13"/>
      <c r="AF161" s="13"/>
      <c r="AG161" s="13"/>
      <c r="AH161" s="13"/>
      <c r="AI161" s="13"/>
      <c r="AJ161" s="13"/>
      <c r="AK161" s="13"/>
      <c r="AL161" s="13"/>
      <c r="AM161" s="13"/>
      <c r="AN161" s="13"/>
      <c r="AO161" s="13"/>
      <c r="AP161" s="13"/>
      <c r="AQ161" s="13"/>
      <c r="AR161" s="13"/>
      <c r="AS161" s="13"/>
      <c r="AT161" s="13"/>
      <c r="AU161" s="13"/>
      <c r="AV161" s="13"/>
      <c r="AW161" s="13"/>
      <c r="AX161" s="13"/>
      <c r="AY161" s="13"/>
      <c r="AZ161" s="13"/>
      <c r="BA161" s="13"/>
      <c r="BB161" s="13"/>
      <c r="BC161" s="13"/>
      <c r="BD161" s="13"/>
      <c r="BE161" s="13"/>
      <c r="BF161" s="13"/>
      <c r="BG161" s="13"/>
    </row>
    <row r="162" spans="1:59" s="37" customFormat="1" ht="39" customHeight="1">
      <c r="A162" s="32"/>
      <c r="B162" s="32"/>
      <c r="C162" s="32"/>
      <c r="D162" s="38" t="s">
        <v>411</v>
      </c>
      <c r="E162" s="38" t="s">
        <v>411</v>
      </c>
      <c r="F162" s="73"/>
      <c r="G162" s="34">
        <f t="shared" si="8"/>
        <v>0</v>
      </c>
      <c r="H162" s="104"/>
      <c r="I162" s="73"/>
      <c r="J162" s="34">
        <f t="shared" si="9"/>
        <v>0</v>
      </c>
      <c r="K162" s="2">
        <v>50000</v>
      </c>
      <c r="L162" s="2"/>
      <c r="M162" s="2">
        <f t="shared" si="7"/>
        <v>50000</v>
      </c>
      <c r="N162" s="3">
        <f t="shared" si="10"/>
        <v>50</v>
      </c>
      <c r="O162" s="13"/>
      <c r="P162" s="13"/>
      <c r="Q162" s="13"/>
      <c r="R162" s="13"/>
      <c r="S162" s="13"/>
      <c r="T162" s="13"/>
      <c r="U162" s="13"/>
      <c r="V162" s="13"/>
      <c r="W162" s="13"/>
      <c r="X162" s="13"/>
      <c r="Y162" s="13"/>
      <c r="Z162" s="13"/>
      <c r="AA162" s="13"/>
      <c r="AB162" s="13"/>
      <c r="AC162" s="13"/>
      <c r="AD162" s="13"/>
      <c r="AE162" s="13"/>
      <c r="AF162" s="13"/>
      <c r="AG162" s="13"/>
      <c r="AH162" s="13"/>
      <c r="AI162" s="13"/>
      <c r="AJ162" s="13"/>
      <c r="AK162" s="13"/>
      <c r="AL162" s="13"/>
      <c r="AM162" s="13"/>
      <c r="AN162" s="13"/>
      <c r="AO162" s="13"/>
      <c r="AP162" s="13"/>
      <c r="AQ162" s="13"/>
      <c r="AR162" s="13"/>
      <c r="AS162" s="13"/>
      <c r="AT162" s="13"/>
      <c r="AU162" s="13"/>
      <c r="AV162" s="13"/>
      <c r="AW162" s="13"/>
      <c r="AX162" s="13"/>
      <c r="AY162" s="13"/>
      <c r="AZ162" s="13"/>
      <c r="BA162" s="13"/>
      <c r="BB162" s="13"/>
      <c r="BC162" s="13"/>
      <c r="BD162" s="13"/>
      <c r="BE162" s="13"/>
      <c r="BF162" s="13"/>
      <c r="BG162" s="13"/>
    </row>
    <row r="163" spans="1:59" s="37" customFormat="1" ht="36.75" customHeight="1">
      <c r="A163" s="32"/>
      <c r="B163" s="32"/>
      <c r="C163" s="32"/>
      <c r="D163" s="38" t="s">
        <v>307</v>
      </c>
      <c r="E163" s="38" t="s">
        <v>307</v>
      </c>
      <c r="F163" s="73"/>
      <c r="G163" s="34">
        <f t="shared" si="8"/>
        <v>0</v>
      </c>
      <c r="H163" s="104"/>
      <c r="I163" s="73"/>
      <c r="J163" s="34">
        <f t="shared" si="9"/>
        <v>0</v>
      </c>
      <c r="K163" s="2">
        <v>50000</v>
      </c>
      <c r="L163" s="2">
        <v>-846</v>
      </c>
      <c r="M163" s="2">
        <f t="shared" si="7"/>
        <v>49154</v>
      </c>
      <c r="N163" s="3">
        <f>ROUND(M163/1000,1)</f>
        <v>49.2</v>
      </c>
      <c r="O163" s="13"/>
      <c r="P163" s="13"/>
      <c r="Q163" s="13"/>
      <c r="R163" s="13"/>
      <c r="S163" s="13"/>
      <c r="T163" s="13"/>
      <c r="U163" s="13"/>
      <c r="V163" s="13"/>
      <c r="W163" s="13"/>
      <c r="X163" s="13"/>
      <c r="Y163" s="13"/>
      <c r="Z163" s="13"/>
      <c r="AA163" s="13"/>
      <c r="AB163" s="13"/>
      <c r="AC163" s="13"/>
      <c r="AD163" s="13"/>
      <c r="AE163" s="13"/>
      <c r="AF163" s="13"/>
      <c r="AG163" s="13"/>
      <c r="AH163" s="13"/>
      <c r="AI163" s="13"/>
      <c r="AJ163" s="13"/>
      <c r="AK163" s="13"/>
      <c r="AL163" s="13"/>
      <c r="AM163" s="13"/>
      <c r="AN163" s="13"/>
      <c r="AO163" s="13"/>
      <c r="AP163" s="13"/>
      <c r="AQ163" s="13"/>
      <c r="AR163" s="13"/>
      <c r="AS163" s="13"/>
      <c r="AT163" s="13"/>
      <c r="AU163" s="13"/>
      <c r="AV163" s="13"/>
      <c r="AW163" s="13"/>
      <c r="AX163" s="13"/>
      <c r="AY163" s="13"/>
      <c r="AZ163" s="13"/>
      <c r="BA163" s="13"/>
      <c r="BB163" s="13"/>
      <c r="BC163" s="13"/>
      <c r="BD163" s="13"/>
      <c r="BE163" s="13"/>
      <c r="BF163" s="13"/>
      <c r="BG163" s="13"/>
    </row>
    <row r="164" spans="1:59" s="37" customFormat="1" ht="41.25" customHeight="1">
      <c r="A164" s="32"/>
      <c r="B164" s="32"/>
      <c r="C164" s="32"/>
      <c r="D164" s="38" t="s">
        <v>308</v>
      </c>
      <c r="E164" s="38" t="s">
        <v>308</v>
      </c>
      <c r="F164" s="73"/>
      <c r="G164" s="34">
        <f t="shared" si="8"/>
        <v>0</v>
      </c>
      <c r="H164" s="104"/>
      <c r="I164" s="73"/>
      <c r="J164" s="34">
        <f t="shared" si="9"/>
        <v>0</v>
      </c>
      <c r="K164" s="2">
        <v>50000</v>
      </c>
      <c r="L164" s="2">
        <v>-846</v>
      </c>
      <c r="M164" s="2">
        <f t="shared" si="7"/>
        <v>49154</v>
      </c>
      <c r="N164" s="3">
        <f>ROUND(M164/1000,1)</f>
        <v>49.2</v>
      </c>
      <c r="O164" s="13"/>
      <c r="P164" s="13"/>
      <c r="Q164" s="13"/>
      <c r="R164" s="13"/>
      <c r="S164" s="13"/>
      <c r="T164" s="13"/>
      <c r="U164" s="13"/>
      <c r="V164" s="13"/>
      <c r="W164" s="13"/>
      <c r="X164" s="13"/>
      <c r="Y164" s="13"/>
      <c r="Z164" s="13"/>
      <c r="AA164" s="13"/>
      <c r="AB164" s="13"/>
      <c r="AC164" s="13"/>
      <c r="AD164" s="13"/>
      <c r="AE164" s="13"/>
      <c r="AF164" s="13"/>
      <c r="AG164" s="13"/>
      <c r="AH164" s="13"/>
      <c r="AI164" s="13"/>
      <c r="AJ164" s="13"/>
      <c r="AK164" s="13"/>
      <c r="AL164" s="13"/>
      <c r="AM164" s="13"/>
      <c r="AN164" s="13"/>
      <c r="AO164" s="13"/>
      <c r="AP164" s="13"/>
      <c r="AQ164" s="13"/>
      <c r="AR164" s="13"/>
      <c r="AS164" s="13"/>
      <c r="AT164" s="13"/>
      <c r="AU164" s="13"/>
      <c r="AV164" s="13"/>
      <c r="AW164" s="13"/>
      <c r="AX164" s="13"/>
      <c r="AY164" s="13"/>
      <c r="AZ164" s="13"/>
      <c r="BA164" s="13"/>
      <c r="BB164" s="13"/>
      <c r="BC164" s="13"/>
      <c r="BD164" s="13"/>
      <c r="BE164" s="13"/>
      <c r="BF164" s="13"/>
      <c r="BG164" s="13"/>
    </row>
    <row r="165" spans="1:59" s="37" customFormat="1" ht="41.25" customHeight="1">
      <c r="A165" s="32"/>
      <c r="B165" s="32"/>
      <c r="C165" s="32"/>
      <c r="D165" s="38" t="s">
        <v>391</v>
      </c>
      <c r="E165" s="38" t="s">
        <v>391</v>
      </c>
      <c r="F165" s="73"/>
      <c r="G165" s="34">
        <f t="shared" si="8"/>
        <v>0</v>
      </c>
      <c r="H165" s="104"/>
      <c r="I165" s="73"/>
      <c r="J165" s="34">
        <f t="shared" si="9"/>
        <v>0</v>
      </c>
      <c r="K165" s="2">
        <v>50000</v>
      </c>
      <c r="L165" s="2"/>
      <c r="M165" s="2">
        <f t="shared" si="7"/>
        <v>50000</v>
      </c>
      <c r="N165" s="3">
        <f t="shared" si="10"/>
        <v>50</v>
      </c>
      <c r="O165" s="13"/>
      <c r="P165" s="13"/>
      <c r="Q165" s="13"/>
      <c r="R165" s="13"/>
      <c r="S165" s="13"/>
      <c r="T165" s="13"/>
      <c r="U165" s="13"/>
      <c r="V165" s="13"/>
      <c r="W165" s="13"/>
      <c r="X165" s="13"/>
      <c r="Y165" s="13"/>
      <c r="Z165" s="13"/>
      <c r="AA165" s="13"/>
      <c r="AB165" s="13"/>
      <c r="AC165" s="13"/>
      <c r="AD165" s="13"/>
      <c r="AE165" s="13"/>
      <c r="AF165" s="13"/>
      <c r="AG165" s="13"/>
      <c r="AH165" s="13"/>
      <c r="AI165" s="13"/>
      <c r="AJ165" s="13"/>
      <c r="AK165" s="13"/>
      <c r="AL165" s="13"/>
      <c r="AM165" s="13"/>
      <c r="AN165" s="13"/>
      <c r="AO165" s="13"/>
      <c r="AP165" s="13"/>
      <c r="AQ165" s="13"/>
      <c r="AR165" s="13"/>
      <c r="AS165" s="13"/>
      <c r="AT165" s="13"/>
      <c r="AU165" s="13"/>
      <c r="AV165" s="13"/>
      <c r="AW165" s="13"/>
      <c r="AX165" s="13"/>
      <c r="AY165" s="13"/>
      <c r="AZ165" s="13"/>
      <c r="BA165" s="13"/>
      <c r="BB165" s="13"/>
      <c r="BC165" s="13"/>
      <c r="BD165" s="13"/>
      <c r="BE165" s="13"/>
      <c r="BF165" s="13"/>
      <c r="BG165" s="13"/>
    </row>
    <row r="166" spans="1:59" s="37" customFormat="1" ht="42" customHeight="1">
      <c r="A166" s="32"/>
      <c r="B166" s="32"/>
      <c r="C166" s="32"/>
      <c r="D166" s="38" t="s">
        <v>184</v>
      </c>
      <c r="E166" s="74" t="s">
        <v>184</v>
      </c>
      <c r="F166" s="73"/>
      <c r="G166" s="34">
        <f t="shared" si="8"/>
        <v>0</v>
      </c>
      <c r="H166" s="104"/>
      <c r="I166" s="73"/>
      <c r="J166" s="34">
        <f t="shared" si="9"/>
        <v>0</v>
      </c>
      <c r="K166" s="2">
        <f>45000+27946</f>
        <v>72946</v>
      </c>
      <c r="L166" s="2"/>
      <c r="M166" s="2">
        <f t="shared" si="7"/>
        <v>72946</v>
      </c>
      <c r="N166" s="3">
        <f t="shared" si="10"/>
        <v>72.9</v>
      </c>
      <c r="O166" s="13"/>
      <c r="P166" s="13"/>
      <c r="Q166" s="13"/>
      <c r="R166" s="13"/>
      <c r="S166" s="13"/>
      <c r="T166" s="13"/>
      <c r="U166" s="13"/>
      <c r="V166" s="13"/>
      <c r="W166" s="13"/>
      <c r="X166" s="13"/>
      <c r="Y166" s="13"/>
      <c r="Z166" s="13"/>
      <c r="AA166" s="13"/>
      <c r="AB166" s="13"/>
      <c r="AC166" s="13"/>
      <c r="AD166" s="13"/>
      <c r="AE166" s="13"/>
      <c r="AF166" s="13"/>
      <c r="AG166" s="13"/>
      <c r="AH166" s="13"/>
      <c r="AI166" s="13"/>
      <c r="AJ166" s="13"/>
      <c r="AK166" s="13"/>
      <c r="AL166" s="13"/>
      <c r="AM166" s="13"/>
      <c r="AN166" s="13"/>
      <c r="AO166" s="13"/>
      <c r="AP166" s="13"/>
      <c r="AQ166" s="13"/>
      <c r="AR166" s="13"/>
      <c r="AS166" s="13"/>
      <c r="AT166" s="13"/>
      <c r="AU166" s="13"/>
      <c r="AV166" s="13"/>
      <c r="AW166" s="13"/>
      <c r="AX166" s="13"/>
      <c r="AY166" s="13"/>
      <c r="AZ166" s="13"/>
      <c r="BA166" s="13"/>
      <c r="BB166" s="13"/>
      <c r="BC166" s="13"/>
      <c r="BD166" s="13"/>
      <c r="BE166" s="13"/>
      <c r="BF166" s="13"/>
      <c r="BG166" s="13"/>
    </row>
    <row r="167" spans="1:59" s="37" customFormat="1" ht="38.25" customHeight="1">
      <c r="A167" s="32"/>
      <c r="B167" s="32"/>
      <c r="C167" s="32"/>
      <c r="D167" s="38" t="s">
        <v>367</v>
      </c>
      <c r="E167" s="74" t="s">
        <v>367</v>
      </c>
      <c r="F167" s="73"/>
      <c r="G167" s="34">
        <f t="shared" si="8"/>
        <v>0</v>
      </c>
      <c r="H167" s="104"/>
      <c r="I167" s="73"/>
      <c r="J167" s="34">
        <f t="shared" si="9"/>
        <v>0</v>
      </c>
      <c r="K167" s="2">
        <v>35000</v>
      </c>
      <c r="L167" s="2"/>
      <c r="M167" s="2">
        <f t="shared" si="7"/>
        <v>35000</v>
      </c>
      <c r="N167" s="3">
        <f t="shared" si="10"/>
        <v>35</v>
      </c>
      <c r="O167" s="13"/>
      <c r="P167" s="13"/>
      <c r="Q167" s="13"/>
      <c r="R167" s="13"/>
      <c r="S167" s="13"/>
      <c r="T167" s="13"/>
      <c r="U167" s="13"/>
      <c r="V167" s="13"/>
      <c r="W167" s="13"/>
      <c r="X167" s="13"/>
      <c r="Y167" s="13"/>
      <c r="Z167" s="13"/>
      <c r="AA167" s="13"/>
      <c r="AB167" s="13"/>
      <c r="AC167" s="13"/>
      <c r="AD167" s="13"/>
      <c r="AE167" s="13"/>
      <c r="AF167" s="13"/>
      <c r="AG167" s="13"/>
      <c r="AH167" s="13"/>
      <c r="AI167" s="13"/>
      <c r="AJ167" s="13"/>
      <c r="AK167" s="13"/>
      <c r="AL167" s="13"/>
      <c r="AM167" s="13"/>
      <c r="AN167" s="13"/>
      <c r="AO167" s="13"/>
      <c r="AP167" s="13"/>
      <c r="AQ167" s="13"/>
      <c r="AR167" s="13"/>
      <c r="AS167" s="13"/>
      <c r="AT167" s="13"/>
      <c r="AU167" s="13"/>
      <c r="AV167" s="13"/>
      <c r="AW167" s="13"/>
      <c r="AX167" s="13"/>
      <c r="AY167" s="13"/>
      <c r="AZ167" s="13"/>
      <c r="BA167" s="13"/>
      <c r="BB167" s="13"/>
      <c r="BC167" s="13"/>
      <c r="BD167" s="13"/>
      <c r="BE167" s="13"/>
      <c r="BF167" s="13"/>
      <c r="BG167" s="13"/>
    </row>
    <row r="168" spans="1:59" s="37" customFormat="1" ht="36" customHeight="1">
      <c r="A168" s="32"/>
      <c r="B168" s="32"/>
      <c r="C168" s="32"/>
      <c r="D168" s="38" t="s">
        <v>366</v>
      </c>
      <c r="E168" s="74" t="s">
        <v>366</v>
      </c>
      <c r="F168" s="73"/>
      <c r="G168" s="34">
        <f t="shared" si="8"/>
        <v>0</v>
      </c>
      <c r="H168" s="104"/>
      <c r="I168" s="73"/>
      <c r="J168" s="34">
        <f t="shared" si="9"/>
        <v>0</v>
      </c>
      <c r="K168" s="2">
        <v>35000</v>
      </c>
      <c r="L168" s="2"/>
      <c r="M168" s="2">
        <f>K168+L168</f>
        <v>35000</v>
      </c>
      <c r="N168" s="3">
        <f t="shared" si="10"/>
        <v>35</v>
      </c>
      <c r="O168" s="13"/>
      <c r="P168" s="13"/>
      <c r="Q168" s="13"/>
      <c r="R168" s="13"/>
      <c r="S168" s="13"/>
      <c r="T168" s="13"/>
      <c r="U168" s="13"/>
      <c r="V168" s="13"/>
      <c r="W168" s="13"/>
      <c r="X168" s="13"/>
      <c r="Y168" s="13"/>
      <c r="Z168" s="13"/>
      <c r="AA168" s="13"/>
      <c r="AB168" s="13"/>
      <c r="AC168" s="13"/>
      <c r="AD168" s="13"/>
      <c r="AE168" s="13"/>
      <c r="AF168" s="13"/>
      <c r="AG168" s="13"/>
      <c r="AH168" s="13"/>
      <c r="AI168" s="13"/>
      <c r="AJ168" s="13"/>
      <c r="AK168" s="13"/>
      <c r="AL168" s="13"/>
      <c r="AM168" s="13"/>
      <c r="AN168" s="13"/>
      <c r="AO168" s="13"/>
      <c r="AP168" s="13"/>
      <c r="AQ168" s="13"/>
      <c r="AR168" s="13"/>
      <c r="AS168" s="13"/>
      <c r="AT168" s="13"/>
      <c r="AU168" s="13"/>
      <c r="AV168" s="13"/>
      <c r="AW168" s="13"/>
      <c r="AX168" s="13"/>
      <c r="AY168" s="13"/>
      <c r="AZ168" s="13"/>
      <c r="BA168" s="13"/>
      <c r="BB168" s="13"/>
      <c r="BC168" s="13"/>
      <c r="BD168" s="13"/>
      <c r="BE168" s="13"/>
      <c r="BF168" s="13"/>
      <c r="BG168" s="13"/>
    </row>
    <row r="169" spans="1:59" s="37" customFormat="1" ht="36" customHeight="1">
      <c r="A169" s="32"/>
      <c r="B169" s="32"/>
      <c r="C169" s="32"/>
      <c r="D169" s="38" t="s">
        <v>408</v>
      </c>
      <c r="E169" s="74" t="s">
        <v>408</v>
      </c>
      <c r="F169" s="73"/>
      <c r="G169" s="34">
        <f t="shared" si="8"/>
        <v>0</v>
      </c>
      <c r="H169" s="104"/>
      <c r="I169" s="73"/>
      <c r="J169" s="34">
        <f t="shared" si="9"/>
        <v>0</v>
      </c>
      <c r="K169" s="2">
        <v>50000</v>
      </c>
      <c r="L169" s="2"/>
      <c r="M169" s="2">
        <f>K169+L169</f>
        <v>50000</v>
      </c>
      <c r="N169" s="3">
        <f t="shared" si="10"/>
        <v>50</v>
      </c>
      <c r="O169" s="13"/>
      <c r="P169" s="13"/>
      <c r="Q169" s="13"/>
      <c r="R169" s="13"/>
      <c r="S169" s="13"/>
      <c r="T169" s="13"/>
      <c r="U169" s="13"/>
      <c r="V169" s="13"/>
      <c r="W169" s="13"/>
      <c r="X169" s="13"/>
      <c r="Y169" s="13"/>
      <c r="Z169" s="13"/>
      <c r="AA169" s="13"/>
      <c r="AB169" s="13"/>
      <c r="AC169" s="13"/>
      <c r="AD169" s="13"/>
      <c r="AE169" s="13"/>
      <c r="AF169" s="13"/>
      <c r="AG169" s="13"/>
      <c r="AH169" s="13"/>
      <c r="AI169" s="13"/>
      <c r="AJ169" s="13"/>
      <c r="AK169" s="13"/>
      <c r="AL169" s="13"/>
      <c r="AM169" s="13"/>
      <c r="AN169" s="13"/>
      <c r="AO169" s="13"/>
      <c r="AP169" s="13"/>
      <c r="AQ169" s="13"/>
      <c r="AR169" s="13"/>
      <c r="AS169" s="13"/>
      <c r="AT169" s="13"/>
      <c r="AU169" s="13"/>
      <c r="AV169" s="13"/>
      <c r="AW169" s="13"/>
      <c r="AX169" s="13"/>
      <c r="AY169" s="13"/>
      <c r="AZ169" s="13"/>
      <c r="BA169" s="13"/>
      <c r="BB169" s="13"/>
      <c r="BC169" s="13"/>
      <c r="BD169" s="13"/>
      <c r="BE169" s="13"/>
      <c r="BF169" s="13"/>
      <c r="BG169" s="13"/>
    </row>
    <row r="170" spans="1:59" s="37" customFormat="1" ht="36" customHeight="1">
      <c r="A170" s="32"/>
      <c r="B170" s="32"/>
      <c r="C170" s="32"/>
      <c r="D170" s="38" t="s">
        <v>409</v>
      </c>
      <c r="E170" s="74" t="s">
        <v>409</v>
      </c>
      <c r="F170" s="73"/>
      <c r="G170" s="34">
        <f t="shared" si="8"/>
        <v>0</v>
      </c>
      <c r="H170" s="104"/>
      <c r="I170" s="73"/>
      <c r="J170" s="34">
        <f t="shared" si="9"/>
        <v>0</v>
      </c>
      <c r="K170" s="2">
        <v>50000</v>
      </c>
      <c r="L170" s="2"/>
      <c r="M170" s="2">
        <f>K170+L170</f>
        <v>50000</v>
      </c>
      <c r="N170" s="3">
        <f t="shared" si="10"/>
        <v>50</v>
      </c>
      <c r="O170" s="13"/>
      <c r="P170" s="13"/>
      <c r="Q170" s="13"/>
      <c r="R170" s="13"/>
      <c r="S170" s="13"/>
      <c r="T170" s="13"/>
      <c r="U170" s="13"/>
      <c r="V170" s="13"/>
      <c r="W170" s="13"/>
      <c r="X170" s="13"/>
      <c r="Y170" s="13"/>
      <c r="Z170" s="13"/>
      <c r="AA170" s="13"/>
      <c r="AB170" s="13"/>
      <c r="AC170" s="13"/>
      <c r="AD170" s="13"/>
      <c r="AE170" s="13"/>
      <c r="AF170" s="13"/>
      <c r="AG170" s="13"/>
      <c r="AH170" s="13"/>
      <c r="AI170" s="13"/>
      <c r="AJ170" s="13"/>
      <c r="AK170" s="13"/>
      <c r="AL170" s="13"/>
      <c r="AM170" s="13"/>
      <c r="AN170" s="13"/>
      <c r="AO170" s="13"/>
      <c r="AP170" s="13"/>
      <c r="AQ170" s="13"/>
      <c r="AR170" s="13"/>
      <c r="AS170" s="13"/>
      <c r="AT170" s="13"/>
      <c r="AU170" s="13"/>
      <c r="AV170" s="13"/>
      <c r="AW170" s="13"/>
      <c r="AX170" s="13"/>
      <c r="AY170" s="13"/>
      <c r="AZ170" s="13"/>
      <c r="BA170" s="13"/>
      <c r="BB170" s="13"/>
      <c r="BC170" s="13"/>
      <c r="BD170" s="13"/>
      <c r="BE170" s="13"/>
      <c r="BF170" s="13"/>
      <c r="BG170" s="13"/>
    </row>
    <row r="171" spans="1:59" s="37" customFormat="1" ht="39" customHeight="1">
      <c r="A171" s="32"/>
      <c r="B171" s="32"/>
      <c r="C171" s="32"/>
      <c r="D171" s="38" t="s">
        <v>361</v>
      </c>
      <c r="E171" s="74" t="s">
        <v>361</v>
      </c>
      <c r="F171" s="73"/>
      <c r="G171" s="34">
        <f t="shared" si="8"/>
        <v>0</v>
      </c>
      <c r="H171" s="104"/>
      <c r="I171" s="73"/>
      <c r="J171" s="34">
        <f t="shared" si="9"/>
        <v>0</v>
      </c>
      <c r="K171" s="2">
        <v>50793</v>
      </c>
      <c r="L171" s="2"/>
      <c r="M171" s="2">
        <f t="shared" si="7"/>
        <v>50793</v>
      </c>
      <c r="N171" s="3">
        <f t="shared" si="10"/>
        <v>50.8</v>
      </c>
      <c r="O171" s="13"/>
      <c r="P171" s="13"/>
      <c r="Q171" s="13"/>
      <c r="R171" s="13"/>
      <c r="S171" s="13"/>
      <c r="T171" s="13"/>
      <c r="U171" s="13"/>
      <c r="V171" s="13"/>
      <c r="W171" s="13"/>
      <c r="X171" s="13"/>
      <c r="Y171" s="13"/>
      <c r="Z171" s="13"/>
      <c r="AA171" s="13"/>
      <c r="AB171" s="13"/>
      <c r="AC171" s="13"/>
      <c r="AD171" s="13"/>
      <c r="AE171" s="13"/>
      <c r="AF171" s="13"/>
      <c r="AG171" s="13"/>
      <c r="AH171" s="13"/>
      <c r="AI171" s="13"/>
      <c r="AJ171" s="13"/>
      <c r="AK171" s="13"/>
      <c r="AL171" s="13"/>
      <c r="AM171" s="13"/>
      <c r="AN171" s="13"/>
      <c r="AO171" s="13"/>
      <c r="AP171" s="13"/>
      <c r="AQ171" s="13"/>
      <c r="AR171" s="13"/>
      <c r="AS171" s="13"/>
      <c r="AT171" s="13"/>
      <c r="AU171" s="13"/>
      <c r="AV171" s="13"/>
      <c r="AW171" s="13"/>
      <c r="AX171" s="13"/>
      <c r="AY171" s="13"/>
      <c r="AZ171" s="13"/>
      <c r="BA171" s="13"/>
      <c r="BB171" s="13"/>
      <c r="BC171" s="13"/>
      <c r="BD171" s="13"/>
      <c r="BE171" s="13"/>
      <c r="BF171" s="13"/>
      <c r="BG171" s="13"/>
    </row>
    <row r="172" spans="1:59" s="37" customFormat="1" ht="39" customHeight="1">
      <c r="A172" s="32"/>
      <c r="B172" s="32"/>
      <c r="C172" s="32"/>
      <c r="D172" s="38" t="s">
        <v>185</v>
      </c>
      <c r="E172" s="74" t="s">
        <v>185</v>
      </c>
      <c r="F172" s="73"/>
      <c r="G172" s="34">
        <f t="shared" si="8"/>
        <v>0</v>
      </c>
      <c r="H172" s="104"/>
      <c r="I172" s="73"/>
      <c r="J172" s="34">
        <f t="shared" si="9"/>
        <v>0</v>
      </c>
      <c r="K172" s="2">
        <f>29703+9047</f>
        <v>38750</v>
      </c>
      <c r="L172" s="2"/>
      <c r="M172" s="2">
        <f t="shared" si="7"/>
        <v>38750</v>
      </c>
      <c r="N172" s="3">
        <f t="shared" si="10"/>
        <v>38.8</v>
      </c>
      <c r="O172" s="13"/>
      <c r="P172" s="13"/>
      <c r="Q172" s="13"/>
      <c r="R172" s="13"/>
      <c r="S172" s="13"/>
      <c r="T172" s="13"/>
      <c r="U172" s="13"/>
      <c r="V172" s="13"/>
      <c r="W172" s="13"/>
      <c r="X172" s="13"/>
      <c r="Y172" s="13"/>
      <c r="Z172" s="13"/>
      <c r="AA172" s="13"/>
      <c r="AB172" s="13"/>
      <c r="AC172" s="13"/>
      <c r="AD172" s="13"/>
      <c r="AE172" s="13"/>
      <c r="AF172" s="13"/>
      <c r="AG172" s="13"/>
      <c r="AH172" s="13"/>
      <c r="AI172" s="13"/>
      <c r="AJ172" s="13"/>
      <c r="AK172" s="13"/>
      <c r="AL172" s="13"/>
      <c r="AM172" s="13"/>
      <c r="AN172" s="13"/>
      <c r="AO172" s="13"/>
      <c r="AP172" s="13"/>
      <c r="AQ172" s="13"/>
      <c r="AR172" s="13"/>
      <c r="AS172" s="13"/>
      <c r="AT172" s="13"/>
      <c r="AU172" s="13"/>
      <c r="AV172" s="13"/>
      <c r="AW172" s="13"/>
      <c r="AX172" s="13"/>
      <c r="AY172" s="13"/>
      <c r="AZ172" s="13"/>
      <c r="BA172" s="13"/>
      <c r="BB172" s="13"/>
      <c r="BC172" s="13"/>
      <c r="BD172" s="13"/>
      <c r="BE172" s="13"/>
      <c r="BF172" s="13"/>
      <c r="BG172" s="13"/>
    </row>
    <row r="173" spans="1:59" s="37" customFormat="1" ht="37.5" customHeight="1">
      <c r="A173" s="32"/>
      <c r="B173" s="32"/>
      <c r="C173" s="32"/>
      <c r="D173" s="38" t="s">
        <v>279</v>
      </c>
      <c r="E173" s="74" t="s">
        <v>279</v>
      </c>
      <c r="F173" s="73"/>
      <c r="G173" s="34">
        <f t="shared" si="8"/>
        <v>0</v>
      </c>
      <c r="H173" s="104"/>
      <c r="I173" s="73"/>
      <c r="J173" s="34">
        <f t="shared" si="9"/>
        <v>0</v>
      </c>
      <c r="K173" s="2">
        <v>53229</v>
      </c>
      <c r="L173" s="2"/>
      <c r="M173" s="2">
        <f t="shared" si="7"/>
        <v>53229</v>
      </c>
      <c r="N173" s="3">
        <f t="shared" si="10"/>
        <v>53.2</v>
      </c>
      <c r="O173" s="13"/>
      <c r="P173" s="13"/>
      <c r="Q173" s="13"/>
      <c r="R173" s="13"/>
      <c r="S173" s="13"/>
      <c r="T173" s="13"/>
      <c r="U173" s="13"/>
      <c r="V173" s="13"/>
      <c r="W173" s="13"/>
      <c r="X173" s="13"/>
      <c r="Y173" s="13"/>
      <c r="Z173" s="13"/>
      <c r="AA173" s="13"/>
      <c r="AB173" s="13"/>
      <c r="AC173" s="13"/>
      <c r="AD173" s="13"/>
      <c r="AE173" s="13"/>
      <c r="AF173" s="13"/>
      <c r="AG173" s="13"/>
      <c r="AH173" s="13"/>
      <c r="AI173" s="13"/>
      <c r="AJ173" s="13"/>
      <c r="AK173" s="13"/>
      <c r="AL173" s="13"/>
      <c r="AM173" s="13"/>
      <c r="AN173" s="13"/>
      <c r="AO173" s="13"/>
      <c r="AP173" s="13"/>
      <c r="AQ173" s="13"/>
      <c r="AR173" s="13"/>
      <c r="AS173" s="13"/>
      <c r="AT173" s="13"/>
      <c r="AU173" s="13"/>
      <c r="AV173" s="13"/>
      <c r="AW173" s="13"/>
      <c r="AX173" s="13"/>
      <c r="AY173" s="13"/>
      <c r="AZ173" s="13"/>
      <c r="BA173" s="13"/>
      <c r="BB173" s="13"/>
      <c r="BC173" s="13"/>
      <c r="BD173" s="13"/>
      <c r="BE173" s="13"/>
      <c r="BF173" s="13"/>
      <c r="BG173" s="13"/>
    </row>
    <row r="174" spans="1:59" s="37" customFormat="1" ht="37.5" customHeight="1">
      <c r="A174" s="32"/>
      <c r="B174" s="32"/>
      <c r="C174" s="32"/>
      <c r="D174" s="38" t="s">
        <v>317</v>
      </c>
      <c r="E174" s="74" t="s">
        <v>317</v>
      </c>
      <c r="F174" s="73"/>
      <c r="G174" s="34">
        <f t="shared" si="8"/>
        <v>0</v>
      </c>
      <c r="H174" s="104"/>
      <c r="I174" s="73"/>
      <c r="J174" s="34">
        <f t="shared" si="9"/>
        <v>0</v>
      </c>
      <c r="K174" s="2">
        <v>50000</v>
      </c>
      <c r="L174" s="2"/>
      <c r="M174" s="2">
        <f t="shared" si="7"/>
        <v>50000</v>
      </c>
      <c r="N174" s="3">
        <f t="shared" si="10"/>
        <v>50</v>
      </c>
      <c r="O174" s="13"/>
      <c r="P174" s="13"/>
      <c r="Q174" s="13"/>
      <c r="R174" s="13"/>
      <c r="S174" s="13"/>
      <c r="T174" s="13"/>
      <c r="U174" s="13"/>
      <c r="V174" s="13"/>
      <c r="W174" s="13"/>
      <c r="X174" s="13"/>
      <c r="Y174" s="13"/>
      <c r="Z174" s="13"/>
      <c r="AA174" s="13"/>
      <c r="AB174" s="13"/>
      <c r="AC174" s="13"/>
      <c r="AD174" s="13"/>
      <c r="AE174" s="13"/>
      <c r="AF174" s="13"/>
      <c r="AG174" s="13"/>
      <c r="AH174" s="13"/>
      <c r="AI174" s="13"/>
      <c r="AJ174" s="13"/>
      <c r="AK174" s="13"/>
      <c r="AL174" s="13"/>
      <c r="AM174" s="13"/>
      <c r="AN174" s="13"/>
      <c r="AO174" s="13"/>
      <c r="AP174" s="13"/>
      <c r="AQ174" s="13"/>
      <c r="AR174" s="13"/>
      <c r="AS174" s="13"/>
      <c r="AT174" s="13"/>
      <c r="AU174" s="13"/>
      <c r="AV174" s="13"/>
      <c r="AW174" s="13"/>
      <c r="AX174" s="13"/>
      <c r="AY174" s="13"/>
      <c r="AZ174" s="13"/>
      <c r="BA174" s="13"/>
      <c r="BB174" s="13"/>
      <c r="BC174" s="13"/>
      <c r="BD174" s="13"/>
      <c r="BE174" s="13"/>
      <c r="BF174" s="13"/>
      <c r="BG174" s="13"/>
    </row>
    <row r="175" spans="1:59" s="37" customFormat="1" ht="39" customHeight="1">
      <c r="A175" s="32"/>
      <c r="B175" s="32"/>
      <c r="C175" s="32"/>
      <c r="D175" s="38" t="s">
        <v>316</v>
      </c>
      <c r="E175" s="74" t="s">
        <v>316</v>
      </c>
      <c r="F175" s="73"/>
      <c r="G175" s="34">
        <f t="shared" si="8"/>
        <v>0</v>
      </c>
      <c r="H175" s="104"/>
      <c r="I175" s="73"/>
      <c r="J175" s="34">
        <f t="shared" si="9"/>
        <v>0</v>
      </c>
      <c r="K175" s="2">
        <v>50000</v>
      </c>
      <c r="L175" s="2"/>
      <c r="M175" s="2">
        <f t="shared" si="7"/>
        <v>50000</v>
      </c>
      <c r="N175" s="3">
        <f t="shared" si="10"/>
        <v>50</v>
      </c>
      <c r="O175" s="13"/>
      <c r="P175" s="13"/>
      <c r="Q175" s="13"/>
      <c r="R175" s="13"/>
      <c r="S175" s="13"/>
      <c r="T175" s="13"/>
      <c r="U175" s="13"/>
      <c r="V175" s="13"/>
      <c r="W175" s="13"/>
      <c r="X175" s="13"/>
      <c r="Y175" s="13"/>
      <c r="Z175" s="13"/>
      <c r="AA175" s="13"/>
      <c r="AB175" s="13"/>
      <c r="AC175" s="13"/>
      <c r="AD175" s="13"/>
      <c r="AE175" s="13"/>
      <c r="AF175" s="13"/>
      <c r="AG175" s="13"/>
      <c r="AH175" s="13"/>
      <c r="AI175" s="13"/>
      <c r="AJ175" s="13"/>
      <c r="AK175" s="13"/>
      <c r="AL175" s="13"/>
      <c r="AM175" s="13"/>
      <c r="AN175" s="13"/>
      <c r="AO175" s="13"/>
      <c r="AP175" s="13"/>
      <c r="AQ175" s="13"/>
      <c r="AR175" s="13"/>
      <c r="AS175" s="13"/>
      <c r="AT175" s="13"/>
      <c r="AU175" s="13"/>
      <c r="AV175" s="13"/>
      <c r="AW175" s="13"/>
      <c r="AX175" s="13"/>
      <c r="AY175" s="13"/>
      <c r="AZ175" s="13"/>
      <c r="BA175" s="13"/>
      <c r="BB175" s="13"/>
      <c r="BC175" s="13"/>
      <c r="BD175" s="13"/>
      <c r="BE175" s="13"/>
      <c r="BF175" s="13"/>
      <c r="BG175" s="13"/>
    </row>
    <row r="176" spans="1:59" s="37" customFormat="1" ht="38.25" customHeight="1">
      <c r="A176" s="32"/>
      <c r="B176" s="32"/>
      <c r="C176" s="32"/>
      <c r="D176" s="38" t="s">
        <v>318</v>
      </c>
      <c r="E176" s="74" t="s">
        <v>318</v>
      </c>
      <c r="F176" s="73"/>
      <c r="G176" s="34">
        <f t="shared" si="8"/>
        <v>0</v>
      </c>
      <c r="H176" s="104"/>
      <c r="I176" s="73"/>
      <c r="J176" s="34">
        <f t="shared" si="9"/>
        <v>0</v>
      </c>
      <c r="K176" s="2">
        <v>50000</v>
      </c>
      <c r="L176" s="2"/>
      <c r="M176" s="2">
        <f t="shared" si="7"/>
        <v>50000</v>
      </c>
      <c r="N176" s="3">
        <f t="shared" si="10"/>
        <v>50</v>
      </c>
      <c r="O176" s="13"/>
      <c r="P176" s="13"/>
      <c r="Q176" s="13"/>
      <c r="R176" s="13"/>
      <c r="S176" s="13"/>
      <c r="T176" s="13"/>
      <c r="U176" s="13"/>
      <c r="V176" s="13"/>
      <c r="W176" s="13"/>
      <c r="X176" s="13"/>
      <c r="Y176" s="13"/>
      <c r="Z176" s="13"/>
      <c r="AA176" s="13"/>
      <c r="AB176" s="13"/>
      <c r="AC176" s="13"/>
      <c r="AD176" s="13"/>
      <c r="AE176" s="13"/>
      <c r="AF176" s="13"/>
      <c r="AG176" s="13"/>
      <c r="AH176" s="13"/>
      <c r="AI176" s="13"/>
      <c r="AJ176" s="13"/>
      <c r="AK176" s="13"/>
      <c r="AL176" s="13"/>
      <c r="AM176" s="13"/>
      <c r="AN176" s="13"/>
      <c r="AO176" s="13"/>
      <c r="AP176" s="13"/>
      <c r="AQ176" s="13"/>
      <c r="AR176" s="13"/>
      <c r="AS176" s="13"/>
      <c r="AT176" s="13"/>
      <c r="AU176" s="13"/>
      <c r="AV176" s="13"/>
      <c r="AW176" s="13"/>
      <c r="AX176" s="13"/>
      <c r="AY176" s="13"/>
      <c r="AZ176" s="13"/>
      <c r="BA176" s="13"/>
      <c r="BB176" s="13"/>
      <c r="BC176" s="13"/>
      <c r="BD176" s="13"/>
      <c r="BE176" s="13"/>
      <c r="BF176" s="13"/>
      <c r="BG176" s="13"/>
    </row>
    <row r="177" spans="1:59" s="37" customFormat="1" ht="40.5" customHeight="1">
      <c r="A177" s="32"/>
      <c r="B177" s="32"/>
      <c r="C177" s="32"/>
      <c r="D177" s="38" t="s">
        <v>319</v>
      </c>
      <c r="E177" s="74" t="s">
        <v>319</v>
      </c>
      <c r="F177" s="73"/>
      <c r="G177" s="34">
        <f t="shared" si="8"/>
        <v>0</v>
      </c>
      <c r="H177" s="104"/>
      <c r="I177" s="73"/>
      <c r="J177" s="34">
        <f t="shared" si="9"/>
        <v>0</v>
      </c>
      <c r="K177" s="2">
        <v>50000</v>
      </c>
      <c r="L177" s="2"/>
      <c r="M177" s="2">
        <f t="shared" si="7"/>
        <v>50000</v>
      </c>
      <c r="N177" s="3">
        <f t="shared" si="10"/>
        <v>50</v>
      </c>
      <c r="O177" s="13"/>
      <c r="P177" s="13"/>
      <c r="Q177" s="13"/>
      <c r="R177" s="13"/>
      <c r="S177" s="13"/>
      <c r="T177" s="13"/>
      <c r="U177" s="13"/>
      <c r="V177" s="13"/>
      <c r="W177" s="13"/>
      <c r="X177" s="13"/>
      <c r="Y177" s="13"/>
      <c r="Z177" s="13"/>
      <c r="AA177" s="13"/>
      <c r="AB177" s="13"/>
      <c r="AC177" s="13"/>
      <c r="AD177" s="13"/>
      <c r="AE177" s="13"/>
      <c r="AF177" s="13"/>
      <c r="AG177" s="13"/>
      <c r="AH177" s="13"/>
      <c r="AI177" s="13"/>
      <c r="AJ177" s="13"/>
      <c r="AK177" s="13"/>
      <c r="AL177" s="13"/>
      <c r="AM177" s="13"/>
      <c r="AN177" s="13"/>
      <c r="AO177" s="13"/>
      <c r="AP177" s="13"/>
      <c r="AQ177" s="13"/>
      <c r="AR177" s="13"/>
      <c r="AS177" s="13"/>
      <c r="AT177" s="13"/>
      <c r="AU177" s="13"/>
      <c r="AV177" s="13"/>
      <c r="AW177" s="13"/>
      <c r="AX177" s="13"/>
      <c r="AY177" s="13"/>
      <c r="AZ177" s="13"/>
      <c r="BA177" s="13"/>
      <c r="BB177" s="13"/>
      <c r="BC177" s="13"/>
      <c r="BD177" s="13"/>
      <c r="BE177" s="13"/>
      <c r="BF177" s="13"/>
      <c r="BG177" s="13"/>
    </row>
    <row r="178" spans="1:59" s="37" customFormat="1" ht="46.5" customHeight="1">
      <c r="A178" s="32"/>
      <c r="B178" s="32"/>
      <c r="C178" s="32"/>
      <c r="D178" s="38" t="s">
        <v>326</v>
      </c>
      <c r="E178" s="74" t="s">
        <v>326</v>
      </c>
      <c r="F178" s="73"/>
      <c r="G178" s="34">
        <f t="shared" si="8"/>
        <v>0</v>
      </c>
      <c r="H178" s="104"/>
      <c r="I178" s="73"/>
      <c r="J178" s="34">
        <f t="shared" si="9"/>
        <v>0</v>
      </c>
      <c r="K178" s="2">
        <v>50000</v>
      </c>
      <c r="L178" s="2"/>
      <c r="M178" s="2">
        <f t="shared" si="7"/>
        <v>50000</v>
      </c>
      <c r="N178" s="3">
        <f t="shared" si="10"/>
        <v>50</v>
      </c>
      <c r="O178" s="13"/>
      <c r="P178" s="13"/>
      <c r="Q178" s="13"/>
      <c r="R178" s="13"/>
      <c r="S178" s="13"/>
      <c r="T178" s="13"/>
      <c r="U178" s="13"/>
      <c r="V178" s="13"/>
      <c r="W178" s="13"/>
      <c r="X178" s="13"/>
      <c r="Y178" s="13"/>
      <c r="Z178" s="13"/>
      <c r="AA178" s="13"/>
      <c r="AB178" s="13"/>
      <c r="AC178" s="13"/>
      <c r="AD178" s="13"/>
      <c r="AE178" s="13"/>
      <c r="AF178" s="13"/>
      <c r="AG178" s="13"/>
      <c r="AH178" s="13"/>
      <c r="AI178" s="13"/>
      <c r="AJ178" s="13"/>
      <c r="AK178" s="13"/>
      <c r="AL178" s="13"/>
      <c r="AM178" s="13"/>
      <c r="AN178" s="13"/>
      <c r="AO178" s="13"/>
      <c r="AP178" s="13"/>
      <c r="AQ178" s="13"/>
      <c r="AR178" s="13"/>
      <c r="AS178" s="13"/>
      <c r="AT178" s="13"/>
      <c r="AU178" s="13"/>
      <c r="AV178" s="13"/>
      <c r="AW178" s="13"/>
      <c r="AX178" s="13"/>
      <c r="AY178" s="13"/>
      <c r="AZ178" s="13"/>
      <c r="BA178" s="13"/>
      <c r="BB178" s="13"/>
      <c r="BC178" s="13"/>
      <c r="BD178" s="13"/>
      <c r="BE178" s="13"/>
      <c r="BF178" s="13"/>
      <c r="BG178" s="13"/>
    </row>
    <row r="179" spans="1:59" s="37" customFormat="1" ht="39" customHeight="1">
      <c r="A179" s="32"/>
      <c r="B179" s="32"/>
      <c r="C179" s="32"/>
      <c r="D179" s="38" t="s">
        <v>327</v>
      </c>
      <c r="E179" s="74" t="s">
        <v>327</v>
      </c>
      <c r="F179" s="73"/>
      <c r="G179" s="34">
        <f t="shared" si="8"/>
        <v>0</v>
      </c>
      <c r="H179" s="104"/>
      <c r="I179" s="73"/>
      <c r="J179" s="34">
        <f t="shared" si="9"/>
        <v>0</v>
      </c>
      <c r="K179" s="2">
        <v>50000</v>
      </c>
      <c r="L179" s="2"/>
      <c r="M179" s="2">
        <f t="shared" si="7"/>
        <v>50000</v>
      </c>
      <c r="N179" s="3">
        <f t="shared" si="10"/>
        <v>50</v>
      </c>
      <c r="O179" s="13"/>
      <c r="P179" s="13"/>
      <c r="Q179" s="13"/>
      <c r="R179" s="13"/>
      <c r="S179" s="13"/>
      <c r="T179" s="13"/>
      <c r="U179" s="13"/>
      <c r="V179" s="13"/>
      <c r="W179" s="13"/>
      <c r="X179" s="13"/>
      <c r="Y179" s="13"/>
      <c r="Z179" s="13"/>
      <c r="AA179" s="13"/>
      <c r="AB179" s="13"/>
      <c r="AC179" s="13"/>
      <c r="AD179" s="13"/>
      <c r="AE179" s="13"/>
      <c r="AF179" s="13"/>
      <c r="AG179" s="13"/>
      <c r="AH179" s="13"/>
      <c r="AI179" s="13"/>
      <c r="AJ179" s="13"/>
      <c r="AK179" s="13"/>
      <c r="AL179" s="13"/>
      <c r="AM179" s="13"/>
      <c r="AN179" s="13"/>
      <c r="AO179" s="13"/>
      <c r="AP179" s="13"/>
      <c r="AQ179" s="13"/>
      <c r="AR179" s="13"/>
      <c r="AS179" s="13"/>
      <c r="AT179" s="13"/>
      <c r="AU179" s="13"/>
      <c r="AV179" s="13"/>
      <c r="AW179" s="13"/>
      <c r="AX179" s="13"/>
      <c r="AY179" s="13"/>
      <c r="AZ179" s="13"/>
      <c r="BA179" s="13"/>
      <c r="BB179" s="13"/>
      <c r="BC179" s="13"/>
      <c r="BD179" s="13"/>
      <c r="BE179" s="13"/>
      <c r="BF179" s="13"/>
      <c r="BG179" s="13"/>
    </row>
    <row r="180" spans="1:59" s="37" customFormat="1" ht="39" customHeight="1">
      <c r="A180" s="32"/>
      <c r="B180" s="32"/>
      <c r="C180" s="32"/>
      <c r="D180" s="38" t="s">
        <v>392</v>
      </c>
      <c r="E180" s="74" t="s">
        <v>392</v>
      </c>
      <c r="F180" s="73"/>
      <c r="G180" s="34">
        <f t="shared" si="8"/>
        <v>0</v>
      </c>
      <c r="H180" s="104"/>
      <c r="I180" s="73"/>
      <c r="J180" s="34">
        <f t="shared" si="9"/>
        <v>0</v>
      </c>
      <c r="K180" s="2">
        <v>50000</v>
      </c>
      <c r="L180" s="2"/>
      <c r="M180" s="2">
        <f t="shared" si="7"/>
        <v>50000</v>
      </c>
      <c r="N180" s="3">
        <f t="shared" si="10"/>
        <v>50</v>
      </c>
      <c r="O180" s="13"/>
      <c r="P180" s="13"/>
      <c r="Q180" s="13"/>
      <c r="R180" s="13"/>
      <c r="S180" s="13"/>
      <c r="T180" s="13"/>
      <c r="U180" s="13"/>
      <c r="V180" s="13"/>
      <c r="W180" s="13"/>
      <c r="X180" s="13"/>
      <c r="Y180" s="13"/>
      <c r="Z180" s="13"/>
      <c r="AA180" s="13"/>
      <c r="AB180" s="13"/>
      <c r="AC180" s="13"/>
      <c r="AD180" s="13"/>
      <c r="AE180" s="13"/>
      <c r="AF180" s="13"/>
      <c r="AG180" s="13"/>
      <c r="AH180" s="13"/>
      <c r="AI180" s="13"/>
      <c r="AJ180" s="13"/>
      <c r="AK180" s="13"/>
      <c r="AL180" s="13"/>
      <c r="AM180" s="13"/>
      <c r="AN180" s="13"/>
      <c r="AO180" s="13"/>
      <c r="AP180" s="13"/>
      <c r="AQ180" s="13"/>
      <c r="AR180" s="13"/>
      <c r="AS180" s="13"/>
      <c r="AT180" s="13"/>
      <c r="AU180" s="13"/>
      <c r="AV180" s="13"/>
      <c r="AW180" s="13"/>
      <c r="AX180" s="13"/>
      <c r="AY180" s="13"/>
      <c r="AZ180" s="13"/>
      <c r="BA180" s="13"/>
      <c r="BB180" s="13"/>
      <c r="BC180" s="13"/>
      <c r="BD180" s="13"/>
      <c r="BE180" s="13"/>
      <c r="BF180" s="13"/>
      <c r="BG180" s="13"/>
    </row>
    <row r="181" spans="1:59" s="37" customFormat="1" ht="43.5" customHeight="1">
      <c r="A181" s="32"/>
      <c r="B181" s="32"/>
      <c r="C181" s="32"/>
      <c r="D181" s="38" t="s">
        <v>320</v>
      </c>
      <c r="E181" s="74" t="s">
        <v>320</v>
      </c>
      <c r="F181" s="73"/>
      <c r="G181" s="34">
        <f t="shared" si="8"/>
        <v>0</v>
      </c>
      <c r="H181" s="104"/>
      <c r="I181" s="73"/>
      <c r="J181" s="34">
        <f t="shared" si="9"/>
        <v>0</v>
      </c>
      <c r="K181" s="2">
        <v>50000</v>
      </c>
      <c r="L181" s="2"/>
      <c r="M181" s="2">
        <f t="shared" si="7"/>
        <v>50000</v>
      </c>
      <c r="N181" s="3">
        <f t="shared" si="10"/>
        <v>50</v>
      </c>
      <c r="O181" s="13"/>
      <c r="P181" s="13"/>
      <c r="Q181" s="13"/>
      <c r="R181" s="13"/>
      <c r="S181" s="13"/>
      <c r="T181" s="13"/>
      <c r="U181" s="13"/>
      <c r="V181" s="13"/>
      <c r="W181" s="13"/>
      <c r="X181" s="13"/>
      <c r="Y181" s="13"/>
      <c r="Z181" s="13"/>
      <c r="AA181" s="13"/>
      <c r="AB181" s="13"/>
      <c r="AC181" s="13"/>
      <c r="AD181" s="13"/>
      <c r="AE181" s="13"/>
      <c r="AF181" s="13"/>
      <c r="AG181" s="13"/>
      <c r="AH181" s="13"/>
      <c r="AI181" s="13"/>
      <c r="AJ181" s="13"/>
      <c r="AK181" s="13"/>
      <c r="AL181" s="13"/>
      <c r="AM181" s="13"/>
      <c r="AN181" s="13"/>
      <c r="AO181" s="13"/>
      <c r="AP181" s="13"/>
      <c r="AQ181" s="13"/>
      <c r="AR181" s="13"/>
      <c r="AS181" s="13"/>
      <c r="AT181" s="13"/>
      <c r="AU181" s="13"/>
      <c r="AV181" s="13"/>
      <c r="AW181" s="13"/>
      <c r="AX181" s="13"/>
      <c r="AY181" s="13"/>
      <c r="AZ181" s="13"/>
      <c r="BA181" s="13"/>
      <c r="BB181" s="13"/>
      <c r="BC181" s="13"/>
      <c r="BD181" s="13"/>
      <c r="BE181" s="13"/>
      <c r="BF181" s="13"/>
      <c r="BG181" s="13"/>
    </row>
    <row r="182" spans="1:59" s="37" customFormat="1" ht="47.25" customHeight="1">
      <c r="A182" s="32"/>
      <c r="B182" s="32"/>
      <c r="C182" s="32"/>
      <c r="D182" s="38" t="s">
        <v>371</v>
      </c>
      <c r="E182" s="74" t="s">
        <v>371</v>
      </c>
      <c r="F182" s="73"/>
      <c r="G182" s="34">
        <f t="shared" si="8"/>
        <v>0</v>
      </c>
      <c r="H182" s="104"/>
      <c r="I182" s="73"/>
      <c r="J182" s="34">
        <f t="shared" si="9"/>
        <v>0</v>
      </c>
      <c r="K182" s="2">
        <v>50000</v>
      </c>
      <c r="L182" s="2"/>
      <c r="M182" s="2">
        <f t="shared" si="7"/>
        <v>50000</v>
      </c>
      <c r="N182" s="3">
        <f t="shared" si="10"/>
        <v>50</v>
      </c>
      <c r="O182" s="13"/>
      <c r="P182" s="13"/>
      <c r="Q182" s="13"/>
      <c r="R182" s="13"/>
      <c r="S182" s="13"/>
      <c r="T182" s="13"/>
      <c r="U182" s="13"/>
      <c r="V182" s="13"/>
      <c r="W182" s="13"/>
      <c r="X182" s="13"/>
      <c r="Y182" s="13"/>
      <c r="Z182" s="13"/>
      <c r="AA182" s="13"/>
      <c r="AB182" s="13"/>
      <c r="AC182" s="13"/>
      <c r="AD182" s="13"/>
      <c r="AE182" s="13"/>
      <c r="AF182" s="13"/>
      <c r="AG182" s="13"/>
      <c r="AH182" s="13"/>
      <c r="AI182" s="13"/>
      <c r="AJ182" s="13"/>
      <c r="AK182" s="13"/>
      <c r="AL182" s="13"/>
      <c r="AM182" s="13"/>
      <c r="AN182" s="13"/>
      <c r="AO182" s="13"/>
      <c r="AP182" s="13"/>
      <c r="AQ182" s="13"/>
      <c r="AR182" s="13"/>
      <c r="AS182" s="13"/>
      <c r="AT182" s="13"/>
      <c r="AU182" s="13"/>
      <c r="AV182" s="13"/>
      <c r="AW182" s="13"/>
      <c r="AX182" s="13"/>
      <c r="AY182" s="13"/>
      <c r="AZ182" s="13"/>
      <c r="BA182" s="13"/>
      <c r="BB182" s="13"/>
      <c r="BC182" s="13"/>
      <c r="BD182" s="13"/>
      <c r="BE182" s="13"/>
      <c r="BF182" s="13"/>
      <c r="BG182" s="13"/>
    </row>
    <row r="183" spans="1:59" s="37" customFormat="1" ht="42.75" customHeight="1">
      <c r="A183" s="32"/>
      <c r="B183" s="32"/>
      <c r="C183" s="32"/>
      <c r="D183" s="38" t="s">
        <v>321</v>
      </c>
      <c r="E183" s="74" t="s">
        <v>321</v>
      </c>
      <c r="F183" s="73"/>
      <c r="G183" s="34">
        <f t="shared" si="8"/>
        <v>0</v>
      </c>
      <c r="H183" s="104"/>
      <c r="I183" s="73"/>
      <c r="J183" s="34">
        <f t="shared" si="9"/>
        <v>0</v>
      </c>
      <c r="K183" s="2">
        <v>50000</v>
      </c>
      <c r="L183" s="2"/>
      <c r="M183" s="2">
        <f t="shared" si="7"/>
        <v>50000</v>
      </c>
      <c r="N183" s="3">
        <f t="shared" si="10"/>
        <v>50</v>
      </c>
      <c r="O183" s="13"/>
      <c r="P183" s="13"/>
      <c r="Q183" s="13"/>
      <c r="R183" s="13"/>
      <c r="S183" s="13"/>
      <c r="T183" s="13"/>
      <c r="U183" s="13"/>
      <c r="V183" s="13"/>
      <c r="W183" s="13"/>
      <c r="X183" s="13"/>
      <c r="Y183" s="13"/>
      <c r="Z183" s="13"/>
      <c r="AA183" s="13"/>
      <c r="AB183" s="13"/>
      <c r="AC183" s="13"/>
      <c r="AD183" s="13"/>
      <c r="AE183" s="13"/>
      <c r="AF183" s="13"/>
      <c r="AG183" s="13"/>
      <c r="AH183" s="13"/>
      <c r="AI183" s="13"/>
      <c r="AJ183" s="13"/>
      <c r="AK183" s="13"/>
      <c r="AL183" s="13"/>
      <c r="AM183" s="13"/>
      <c r="AN183" s="13"/>
      <c r="AO183" s="13"/>
      <c r="AP183" s="13"/>
      <c r="AQ183" s="13"/>
      <c r="AR183" s="13"/>
      <c r="AS183" s="13"/>
      <c r="AT183" s="13"/>
      <c r="AU183" s="13"/>
      <c r="AV183" s="13"/>
      <c r="AW183" s="13"/>
      <c r="AX183" s="13"/>
      <c r="AY183" s="13"/>
      <c r="AZ183" s="13"/>
      <c r="BA183" s="13"/>
      <c r="BB183" s="13"/>
      <c r="BC183" s="13"/>
      <c r="BD183" s="13"/>
      <c r="BE183" s="13"/>
      <c r="BF183" s="13"/>
      <c r="BG183" s="13"/>
    </row>
    <row r="184" spans="1:59" s="37" customFormat="1" ht="43.5" customHeight="1">
      <c r="A184" s="32"/>
      <c r="B184" s="32"/>
      <c r="C184" s="32"/>
      <c r="D184" s="38" t="s">
        <v>322</v>
      </c>
      <c r="E184" s="74" t="s">
        <v>322</v>
      </c>
      <c r="F184" s="73"/>
      <c r="G184" s="34">
        <f t="shared" si="8"/>
        <v>0</v>
      </c>
      <c r="H184" s="104"/>
      <c r="I184" s="73"/>
      <c r="J184" s="34">
        <f t="shared" si="9"/>
        <v>0</v>
      </c>
      <c r="K184" s="2">
        <v>50000</v>
      </c>
      <c r="L184" s="2"/>
      <c r="M184" s="2">
        <f t="shared" si="7"/>
        <v>50000</v>
      </c>
      <c r="N184" s="3">
        <f t="shared" si="10"/>
        <v>50</v>
      </c>
      <c r="O184" s="13"/>
      <c r="P184" s="13"/>
      <c r="Q184" s="13"/>
      <c r="R184" s="13"/>
      <c r="S184" s="13"/>
      <c r="T184" s="13"/>
      <c r="U184" s="13"/>
      <c r="V184" s="13"/>
      <c r="W184" s="13"/>
      <c r="X184" s="13"/>
      <c r="Y184" s="13"/>
      <c r="Z184" s="13"/>
      <c r="AA184" s="13"/>
      <c r="AB184" s="13"/>
      <c r="AC184" s="13"/>
      <c r="AD184" s="13"/>
      <c r="AE184" s="13"/>
      <c r="AF184" s="13"/>
      <c r="AG184" s="13"/>
      <c r="AH184" s="13"/>
      <c r="AI184" s="13"/>
      <c r="AJ184" s="13"/>
      <c r="AK184" s="13"/>
      <c r="AL184" s="13"/>
      <c r="AM184" s="13"/>
      <c r="AN184" s="13"/>
      <c r="AO184" s="13"/>
      <c r="AP184" s="13"/>
      <c r="AQ184" s="13"/>
      <c r="AR184" s="13"/>
      <c r="AS184" s="13"/>
      <c r="AT184" s="13"/>
      <c r="AU184" s="13"/>
      <c r="AV184" s="13"/>
      <c r="AW184" s="13"/>
      <c r="AX184" s="13"/>
      <c r="AY184" s="13"/>
      <c r="AZ184" s="13"/>
      <c r="BA184" s="13"/>
      <c r="BB184" s="13"/>
      <c r="BC184" s="13"/>
      <c r="BD184" s="13"/>
      <c r="BE184" s="13"/>
      <c r="BF184" s="13"/>
      <c r="BG184" s="13"/>
    </row>
    <row r="185" spans="1:59" s="37" customFormat="1" ht="41.25" customHeight="1">
      <c r="A185" s="32"/>
      <c r="B185" s="32"/>
      <c r="C185" s="32"/>
      <c r="D185" s="38" t="s">
        <v>323</v>
      </c>
      <c r="E185" s="74" t="s">
        <v>323</v>
      </c>
      <c r="F185" s="73"/>
      <c r="G185" s="34">
        <f t="shared" si="8"/>
        <v>0</v>
      </c>
      <c r="H185" s="104"/>
      <c r="I185" s="73"/>
      <c r="J185" s="34">
        <f t="shared" si="9"/>
        <v>0</v>
      </c>
      <c r="K185" s="2">
        <v>50000</v>
      </c>
      <c r="L185" s="2"/>
      <c r="M185" s="2">
        <f t="shared" si="7"/>
        <v>50000</v>
      </c>
      <c r="N185" s="3">
        <f t="shared" si="10"/>
        <v>50</v>
      </c>
      <c r="O185" s="13"/>
      <c r="P185" s="13"/>
      <c r="Q185" s="13"/>
      <c r="R185" s="13"/>
      <c r="S185" s="13"/>
      <c r="T185" s="13"/>
      <c r="U185" s="13"/>
      <c r="V185" s="13"/>
      <c r="W185" s="13"/>
      <c r="X185" s="13"/>
      <c r="Y185" s="13"/>
      <c r="Z185" s="13"/>
      <c r="AA185" s="13"/>
      <c r="AB185" s="13"/>
      <c r="AC185" s="13"/>
      <c r="AD185" s="13"/>
      <c r="AE185" s="13"/>
      <c r="AF185" s="13"/>
      <c r="AG185" s="13"/>
      <c r="AH185" s="13"/>
      <c r="AI185" s="13"/>
      <c r="AJ185" s="13"/>
      <c r="AK185" s="13"/>
      <c r="AL185" s="13"/>
      <c r="AM185" s="13"/>
      <c r="AN185" s="13"/>
      <c r="AO185" s="13"/>
      <c r="AP185" s="13"/>
      <c r="AQ185" s="13"/>
      <c r="AR185" s="13"/>
      <c r="AS185" s="13"/>
      <c r="AT185" s="13"/>
      <c r="AU185" s="13"/>
      <c r="AV185" s="13"/>
      <c r="AW185" s="13"/>
      <c r="AX185" s="13"/>
      <c r="AY185" s="13"/>
      <c r="AZ185" s="13"/>
      <c r="BA185" s="13"/>
      <c r="BB185" s="13"/>
      <c r="BC185" s="13"/>
      <c r="BD185" s="13"/>
      <c r="BE185" s="13"/>
      <c r="BF185" s="13"/>
      <c r="BG185" s="13"/>
    </row>
    <row r="186" spans="1:59" s="37" customFormat="1" ht="46.5" customHeight="1">
      <c r="A186" s="32"/>
      <c r="B186" s="32"/>
      <c r="C186" s="32"/>
      <c r="D186" s="38" t="s">
        <v>324</v>
      </c>
      <c r="E186" s="74" t="s">
        <v>324</v>
      </c>
      <c r="F186" s="73"/>
      <c r="G186" s="34">
        <f t="shared" si="8"/>
        <v>0</v>
      </c>
      <c r="H186" s="104"/>
      <c r="I186" s="73"/>
      <c r="J186" s="34">
        <f t="shared" si="9"/>
        <v>0</v>
      </c>
      <c r="K186" s="2">
        <v>50000</v>
      </c>
      <c r="L186" s="2"/>
      <c r="M186" s="2">
        <f t="shared" si="7"/>
        <v>50000</v>
      </c>
      <c r="N186" s="3">
        <f t="shared" si="10"/>
        <v>50</v>
      </c>
      <c r="O186" s="13"/>
      <c r="P186" s="13"/>
      <c r="Q186" s="13"/>
      <c r="R186" s="13"/>
      <c r="S186" s="13"/>
      <c r="T186" s="13"/>
      <c r="U186" s="13"/>
      <c r="V186" s="13"/>
      <c r="W186" s="13"/>
      <c r="X186" s="13"/>
      <c r="Y186" s="13"/>
      <c r="Z186" s="13"/>
      <c r="AA186" s="13"/>
      <c r="AB186" s="13"/>
      <c r="AC186" s="13"/>
      <c r="AD186" s="13"/>
      <c r="AE186" s="13"/>
      <c r="AF186" s="13"/>
      <c r="AG186" s="13"/>
      <c r="AH186" s="13"/>
      <c r="AI186" s="13"/>
      <c r="AJ186" s="13"/>
      <c r="AK186" s="13"/>
      <c r="AL186" s="13"/>
      <c r="AM186" s="13"/>
      <c r="AN186" s="13"/>
      <c r="AO186" s="13"/>
      <c r="AP186" s="13"/>
      <c r="AQ186" s="13"/>
      <c r="AR186" s="13"/>
      <c r="AS186" s="13"/>
      <c r="AT186" s="13"/>
      <c r="AU186" s="13"/>
      <c r="AV186" s="13"/>
      <c r="AW186" s="13"/>
      <c r="AX186" s="13"/>
      <c r="AY186" s="13"/>
      <c r="AZ186" s="13"/>
      <c r="BA186" s="13"/>
      <c r="BB186" s="13"/>
      <c r="BC186" s="13"/>
      <c r="BD186" s="13"/>
      <c r="BE186" s="13"/>
      <c r="BF186" s="13"/>
      <c r="BG186" s="13"/>
    </row>
    <row r="187" spans="1:59" s="37" customFormat="1" ht="39" customHeight="1">
      <c r="A187" s="32"/>
      <c r="B187" s="32"/>
      <c r="C187" s="32"/>
      <c r="D187" s="38" t="s">
        <v>325</v>
      </c>
      <c r="E187" s="74" t="s">
        <v>325</v>
      </c>
      <c r="F187" s="73"/>
      <c r="G187" s="34">
        <f t="shared" si="8"/>
        <v>0</v>
      </c>
      <c r="H187" s="104"/>
      <c r="I187" s="73"/>
      <c r="J187" s="34">
        <f t="shared" si="9"/>
        <v>0</v>
      </c>
      <c r="K187" s="2">
        <v>50000</v>
      </c>
      <c r="L187" s="2"/>
      <c r="M187" s="2">
        <f t="shared" si="7"/>
        <v>50000</v>
      </c>
      <c r="N187" s="3">
        <f t="shared" si="10"/>
        <v>50</v>
      </c>
      <c r="O187" s="13"/>
      <c r="P187" s="13"/>
      <c r="Q187" s="13"/>
      <c r="R187" s="13"/>
      <c r="S187" s="13"/>
      <c r="T187" s="13"/>
      <c r="U187" s="13"/>
      <c r="V187" s="13"/>
      <c r="W187" s="13"/>
      <c r="X187" s="13"/>
      <c r="Y187" s="13"/>
      <c r="Z187" s="13"/>
      <c r="AA187" s="13"/>
      <c r="AB187" s="13"/>
      <c r="AC187" s="13"/>
      <c r="AD187" s="13"/>
      <c r="AE187" s="13"/>
      <c r="AF187" s="13"/>
      <c r="AG187" s="13"/>
      <c r="AH187" s="13"/>
      <c r="AI187" s="13"/>
      <c r="AJ187" s="13"/>
      <c r="AK187" s="13"/>
      <c r="AL187" s="13"/>
      <c r="AM187" s="13"/>
      <c r="AN187" s="13"/>
      <c r="AO187" s="13"/>
      <c r="AP187" s="13"/>
      <c r="AQ187" s="13"/>
      <c r="AR187" s="13"/>
      <c r="AS187" s="13"/>
      <c r="AT187" s="13"/>
      <c r="AU187" s="13"/>
      <c r="AV187" s="13"/>
      <c r="AW187" s="13"/>
      <c r="AX187" s="13"/>
      <c r="AY187" s="13"/>
      <c r="AZ187" s="13"/>
      <c r="BA187" s="13"/>
      <c r="BB187" s="13"/>
      <c r="BC187" s="13"/>
      <c r="BD187" s="13"/>
      <c r="BE187" s="13"/>
      <c r="BF187" s="13"/>
      <c r="BG187" s="13"/>
    </row>
    <row r="188" spans="1:59" s="37" customFormat="1" ht="39" customHeight="1">
      <c r="A188" s="32"/>
      <c r="B188" s="32"/>
      <c r="C188" s="32"/>
      <c r="D188" s="38" t="s">
        <v>410</v>
      </c>
      <c r="E188" s="74" t="s">
        <v>410</v>
      </c>
      <c r="F188" s="73"/>
      <c r="G188" s="34">
        <f t="shared" si="8"/>
        <v>0</v>
      </c>
      <c r="H188" s="104"/>
      <c r="I188" s="73"/>
      <c r="J188" s="34">
        <f t="shared" si="9"/>
        <v>0</v>
      </c>
      <c r="K188" s="2">
        <v>50000</v>
      </c>
      <c r="L188" s="2"/>
      <c r="M188" s="2">
        <f t="shared" si="7"/>
        <v>50000</v>
      </c>
      <c r="N188" s="3">
        <f t="shared" si="10"/>
        <v>50</v>
      </c>
      <c r="O188" s="13"/>
      <c r="P188" s="13"/>
      <c r="Q188" s="13"/>
      <c r="R188" s="13"/>
      <c r="S188" s="13"/>
      <c r="T188" s="13"/>
      <c r="U188" s="13"/>
      <c r="V188" s="13"/>
      <c r="W188" s="13"/>
      <c r="X188" s="13"/>
      <c r="Y188" s="13"/>
      <c r="Z188" s="13"/>
      <c r="AA188" s="13"/>
      <c r="AB188" s="13"/>
      <c r="AC188" s="13"/>
      <c r="AD188" s="13"/>
      <c r="AE188" s="13"/>
      <c r="AF188" s="13"/>
      <c r="AG188" s="13"/>
      <c r="AH188" s="13"/>
      <c r="AI188" s="13"/>
      <c r="AJ188" s="13"/>
      <c r="AK188" s="13"/>
      <c r="AL188" s="13"/>
      <c r="AM188" s="13"/>
      <c r="AN188" s="13"/>
      <c r="AO188" s="13"/>
      <c r="AP188" s="13"/>
      <c r="AQ188" s="13"/>
      <c r="AR188" s="13"/>
      <c r="AS188" s="13"/>
      <c r="AT188" s="13"/>
      <c r="AU188" s="13"/>
      <c r="AV188" s="13"/>
      <c r="AW188" s="13"/>
      <c r="AX188" s="13"/>
      <c r="AY188" s="13"/>
      <c r="AZ188" s="13"/>
      <c r="BA188" s="13"/>
      <c r="BB188" s="13"/>
      <c r="BC188" s="13"/>
      <c r="BD188" s="13"/>
      <c r="BE188" s="13"/>
      <c r="BF188" s="13"/>
      <c r="BG188" s="13"/>
    </row>
    <row r="189" spans="1:59" s="37" customFormat="1" ht="39" customHeight="1">
      <c r="A189" s="32"/>
      <c r="B189" s="32"/>
      <c r="C189" s="32"/>
      <c r="D189" s="38" t="s">
        <v>328</v>
      </c>
      <c r="E189" s="74" t="s">
        <v>328</v>
      </c>
      <c r="F189" s="73"/>
      <c r="G189" s="34">
        <f t="shared" si="8"/>
        <v>0</v>
      </c>
      <c r="H189" s="104"/>
      <c r="I189" s="73"/>
      <c r="J189" s="34">
        <f t="shared" si="9"/>
        <v>0</v>
      </c>
      <c r="K189" s="2">
        <v>100000</v>
      </c>
      <c r="L189" s="2"/>
      <c r="M189" s="2">
        <f t="shared" si="7"/>
        <v>100000</v>
      </c>
      <c r="N189" s="3">
        <f t="shared" si="10"/>
        <v>100</v>
      </c>
      <c r="O189" s="13"/>
      <c r="P189" s="13"/>
      <c r="Q189" s="13"/>
      <c r="R189" s="13"/>
      <c r="S189" s="13"/>
      <c r="T189" s="13"/>
      <c r="U189" s="13"/>
      <c r="V189" s="13"/>
      <c r="W189" s="13"/>
      <c r="X189" s="13"/>
      <c r="Y189" s="13"/>
      <c r="Z189" s="13"/>
      <c r="AA189" s="13"/>
      <c r="AB189" s="13"/>
      <c r="AC189" s="13"/>
      <c r="AD189" s="13"/>
      <c r="AE189" s="13"/>
      <c r="AF189" s="13"/>
      <c r="AG189" s="13"/>
      <c r="AH189" s="13"/>
      <c r="AI189" s="13"/>
      <c r="AJ189" s="13"/>
      <c r="AK189" s="13"/>
      <c r="AL189" s="13"/>
      <c r="AM189" s="13"/>
      <c r="AN189" s="13"/>
      <c r="AO189" s="13"/>
      <c r="AP189" s="13"/>
      <c r="AQ189" s="13"/>
      <c r="AR189" s="13"/>
      <c r="AS189" s="13"/>
      <c r="AT189" s="13"/>
      <c r="AU189" s="13"/>
      <c r="AV189" s="13"/>
      <c r="AW189" s="13"/>
      <c r="AX189" s="13"/>
      <c r="AY189" s="13"/>
      <c r="AZ189" s="13"/>
      <c r="BA189" s="13"/>
      <c r="BB189" s="13"/>
      <c r="BC189" s="13"/>
      <c r="BD189" s="13"/>
      <c r="BE189" s="13"/>
      <c r="BF189" s="13"/>
      <c r="BG189" s="13"/>
    </row>
    <row r="190" spans="1:59" s="37" customFormat="1" ht="40.5" customHeight="1">
      <c r="A190" s="32"/>
      <c r="B190" s="32"/>
      <c r="C190" s="32"/>
      <c r="D190" s="38" t="s">
        <v>331</v>
      </c>
      <c r="E190" s="74" t="s">
        <v>331</v>
      </c>
      <c r="F190" s="73"/>
      <c r="G190" s="34">
        <f t="shared" si="8"/>
        <v>0</v>
      </c>
      <c r="H190" s="104"/>
      <c r="I190" s="73"/>
      <c r="J190" s="34">
        <f t="shared" si="9"/>
        <v>0</v>
      </c>
      <c r="K190" s="2">
        <v>50000</v>
      </c>
      <c r="L190" s="2"/>
      <c r="M190" s="2">
        <f t="shared" si="7"/>
        <v>50000</v>
      </c>
      <c r="N190" s="3">
        <f t="shared" si="10"/>
        <v>50</v>
      </c>
      <c r="O190" s="13"/>
      <c r="P190" s="13"/>
      <c r="Q190" s="13"/>
      <c r="R190" s="13"/>
      <c r="S190" s="13"/>
      <c r="T190" s="13"/>
      <c r="U190" s="13"/>
      <c r="V190" s="13"/>
      <c r="W190" s="13"/>
      <c r="X190" s="13"/>
      <c r="Y190" s="13"/>
      <c r="Z190" s="13"/>
      <c r="AA190" s="13"/>
      <c r="AB190" s="13"/>
      <c r="AC190" s="13"/>
      <c r="AD190" s="13"/>
      <c r="AE190" s="13"/>
      <c r="AF190" s="13"/>
      <c r="AG190" s="13"/>
      <c r="AH190" s="13"/>
      <c r="AI190" s="13"/>
      <c r="AJ190" s="13"/>
      <c r="AK190" s="13"/>
      <c r="AL190" s="13"/>
      <c r="AM190" s="13"/>
      <c r="AN190" s="13"/>
      <c r="AO190" s="13"/>
      <c r="AP190" s="13"/>
      <c r="AQ190" s="13"/>
      <c r="AR190" s="13"/>
      <c r="AS190" s="13"/>
      <c r="AT190" s="13"/>
      <c r="AU190" s="13"/>
      <c r="AV190" s="13"/>
      <c r="AW190" s="13"/>
      <c r="AX190" s="13"/>
      <c r="AY190" s="13"/>
      <c r="AZ190" s="13"/>
      <c r="BA190" s="13"/>
      <c r="BB190" s="13"/>
      <c r="BC190" s="13"/>
      <c r="BD190" s="13"/>
      <c r="BE190" s="13"/>
      <c r="BF190" s="13"/>
      <c r="BG190" s="13"/>
    </row>
    <row r="191" spans="1:59" s="37" customFormat="1" ht="42" customHeight="1">
      <c r="A191" s="32"/>
      <c r="B191" s="32"/>
      <c r="C191" s="32"/>
      <c r="D191" s="38" t="s">
        <v>332</v>
      </c>
      <c r="E191" s="74" t="s">
        <v>332</v>
      </c>
      <c r="F191" s="73"/>
      <c r="G191" s="34">
        <f t="shared" si="8"/>
        <v>0</v>
      </c>
      <c r="H191" s="104"/>
      <c r="I191" s="73"/>
      <c r="J191" s="34">
        <f t="shared" si="9"/>
        <v>0</v>
      </c>
      <c r="K191" s="2">
        <v>50000</v>
      </c>
      <c r="L191" s="2"/>
      <c r="M191" s="2">
        <f t="shared" si="7"/>
        <v>50000</v>
      </c>
      <c r="N191" s="3">
        <f t="shared" si="10"/>
        <v>50</v>
      </c>
      <c r="O191" s="13"/>
      <c r="P191" s="13"/>
      <c r="Q191" s="13"/>
      <c r="R191" s="13"/>
      <c r="S191" s="13"/>
      <c r="T191" s="13"/>
      <c r="U191" s="13"/>
      <c r="V191" s="13"/>
      <c r="W191" s="13"/>
      <c r="X191" s="13"/>
      <c r="Y191" s="13"/>
      <c r="Z191" s="13"/>
      <c r="AA191" s="13"/>
      <c r="AB191" s="13"/>
      <c r="AC191" s="13"/>
      <c r="AD191" s="13"/>
      <c r="AE191" s="13"/>
      <c r="AF191" s="13"/>
      <c r="AG191" s="13"/>
      <c r="AH191" s="13"/>
      <c r="AI191" s="13"/>
      <c r="AJ191" s="13"/>
      <c r="AK191" s="13"/>
      <c r="AL191" s="13"/>
      <c r="AM191" s="13"/>
      <c r="AN191" s="13"/>
      <c r="AO191" s="13"/>
      <c r="AP191" s="13"/>
      <c r="AQ191" s="13"/>
      <c r="AR191" s="13"/>
      <c r="AS191" s="13"/>
      <c r="AT191" s="13"/>
      <c r="AU191" s="13"/>
      <c r="AV191" s="13"/>
      <c r="AW191" s="13"/>
      <c r="AX191" s="13"/>
      <c r="AY191" s="13"/>
      <c r="AZ191" s="13"/>
      <c r="BA191" s="13"/>
      <c r="BB191" s="13"/>
      <c r="BC191" s="13"/>
      <c r="BD191" s="13"/>
      <c r="BE191" s="13"/>
      <c r="BF191" s="13"/>
      <c r="BG191" s="13"/>
    </row>
    <row r="192" spans="1:59" s="37" customFormat="1" ht="39" customHeight="1">
      <c r="A192" s="32"/>
      <c r="B192" s="32"/>
      <c r="C192" s="32"/>
      <c r="D192" s="38" t="s">
        <v>333</v>
      </c>
      <c r="E192" s="74" t="s">
        <v>333</v>
      </c>
      <c r="F192" s="73"/>
      <c r="G192" s="34">
        <f t="shared" si="8"/>
        <v>0</v>
      </c>
      <c r="H192" s="104"/>
      <c r="I192" s="73"/>
      <c r="J192" s="34">
        <f t="shared" si="9"/>
        <v>0</v>
      </c>
      <c r="K192" s="2">
        <v>50000</v>
      </c>
      <c r="L192" s="2"/>
      <c r="M192" s="2">
        <f t="shared" si="7"/>
        <v>50000</v>
      </c>
      <c r="N192" s="3">
        <f t="shared" si="10"/>
        <v>50</v>
      </c>
      <c r="O192" s="13"/>
      <c r="P192" s="13"/>
      <c r="Q192" s="13"/>
      <c r="R192" s="13"/>
      <c r="S192" s="13"/>
      <c r="T192" s="13"/>
      <c r="U192" s="13"/>
      <c r="V192" s="13"/>
      <c r="W192" s="13"/>
      <c r="X192" s="13"/>
      <c r="Y192" s="13"/>
      <c r="Z192" s="13"/>
      <c r="AA192" s="13"/>
      <c r="AB192" s="13"/>
      <c r="AC192" s="13"/>
      <c r="AD192" s="13"/>
      <c r="AE192" s="13"/>
      <c r="AF192" s="13"/>
      <c r="AG192" s="13"/>
      <c r="AH192" s="13"/>
      <c r="AI192" s="13"/>
      <c r="AJ192" s="13"/>
      <c r="AK192" s="13"/>
      <c r="AL192" s="13"/>
      <c r="AM192" s="13"/>
      <c r="AN192" s="13"/>
      <c r="AO192" s="13"/>
      <c r="AP192" s="13"/>
      <c r="AQ192" s="13"/>
      <c r="AR192" s="13"/>
      <c r="AS192" s="13"/>
      <c r="AT192" s="13"/>
      <c r="AU192" s="13"/>
      <c r="AV192" s="13"/>
      <c r="AW192" s="13"/>
      <c r="AX192" s="13"/>
      <c r="AY192" s="13"/>
      <c r="AZ192" s="13"/>
      <c r="BA192" s="13"/>
      <c r="BB192" s="13"/>
      <c r="BC192" s="13"/>
      <c r="BD192" s="13"/>
      <c r="BE192" s="13"/>
      <c r="BF192" s="13"/>
      <c r="BG192" s="13"/>
    </row>
    <row r="193" spans="1:59" s="37" customFormat="1" ht="39" customHeight="1">
      <c r="A193" s="32"/>
      <c r="B193" s="32"/>
      <c r="C193" s="32"/>
      <c r="D193" s="38" t="s">
        <v>369</v>
      </c>
      <c r="E193" s="74" t="s">
        <v>369</v>
      </c>
      <c r="F193" s="73"/>
      <c r="G193" s="34">
        <f t="shared" si="8"/>
        <v>0</v>
      </c>
      <c r="H193" s="104"/>
      <c r="I193" s="73"/>
      <c r="J193" s="34">
        <f t="shared" si="9"/>
        <v>0</v>
      </c>
      <c r="K193" s="2">
        <v>50000</v>
      </c>
      <c r="L193" s="2"/>
      <c r="M193" s="2">
        <f t="shared" si="7"/>
        <v>50000</v>
      </c>
      <c r="N193" s="3">
        <f t="shared" si="10"/>
        <v>50</v>
      </c>
      <c r="O193" s="13"/>
      <c r="P193" s="13"/>
      <c r="Q193" s="13"/>
      <c r="R193" s="13"/>
      <c r="S193" s="13"/>
      <c r="T193" s="13"/>
      <c r="U193" s="13"/>
      <c r="V193" s="13"/>
      <c r="W193" s="13"/>
      <c r="X193" s="13"/>
      <c r="Y193" s="13"/>
      <c r="Z193" s="13"/>
      <c r="AA193" s="13"/>
      <c r="AB193" s="13"/>
      <c r="AC193" s="13"/>
      <c r="AD193" s="13"/>
      <c r="AE193" s="13"/>
      <c r="AF193" s="13"/>
      <c r="AG193" s="13"/>
      <c r="AH193" s="13"/>
      <c r="AI193" s="13"/>
      <c r="AJ193" s="13"/>
      <c r="AK193" s="13"/>
      <c r="AL193" s="13"/>
      <c r="AM193" s="13"/>
      <c r="AN193" s="13"/>
      <c r="AO193" s="13"/>
      <c r="AP193" s="13"/>
      <c r="AQ193" s="13"/>
      <c r="AR193" s="13"/>
      <c r="AS193" s="13"/>
      <c r="AT193" s="13"/>
      <c r="AU193" s="13"/>
      <c r="AV193" s="13"/>
      <c r="AW193" s="13"/>
      <c r="AX193" s="13"/>
      <c r="AY193" s="13"/>
      <c r="AZ193" s="13"/>
      <c r="BA193" s="13"/>
      <c r="BB193" s="13"/>
      <c r="BC193" s="13"/>
      <c r="BD193" s="13"/>
      <c r="BE193" s="13"/>
      <c r="BF193" s="13"/>
      <c r="BG193" s="13"/>
    </row>
    <row r="194" spans="1:59" s="37" customFormat="1" ht="36.75" customHeight="1">
      <c r="A194" s="32"/>
      <c r="B194" s="32"/>
      <c r="C194" s="32"/>
      <c r="D194" s="38" t="s">
        <v>334</v>
      </c>
      <c r="E194" s="74" t="s">
        <v>334</v>
      </c>
      <c r="F194" s="73"/>
      <c r="G194" s="34">
        <f t="shared" si="8"/>
        <v>0</v>
      </c>
      <c r="H194" s="104"/>
      <c r="I194" s="73"/>
      <c r="J194" s="34">
        <f t="shared" si="9"/>
        <v>0</v>
      </c>
      <c r="K194" s="2">
        <v>50000</v>
      </c>
      <c r="L194" s="2"/>
      <c r="M194" s="2">
        <f t="shared" si="7"/>
        <v>50000</v>
      </c>
      <c r="N194" s="3">
        <f t="shared" si="10"/>
        <v>50</v>
      </c>
      <c r="O194" s="13"/>
      <c r="P194" s="13"/>
      <c r="Q194" s="13"/>
      <c r="R194" s="13"/>
      <c r="S194" s="13"/>
      <c r="T194" s="13"/>
      <c r="U194" s="13"/>
      <c r="V194" s="13"/>
      <c r="W194" s="13"/>
      <c r="X194" s="13"/>
      <c r="Y194" s="13"/>
      <c r="Z194" s="13"/>
      <c r="AA194" s="13"/>
      <c r="AB194" s="13"/>
      <c r="AC194" s="13"/>
      <c r="AD194" s="13"/>
      <c r="AE194" s="13"/>
      <c r="AF194" s="13"/>
      <c r="AG194" s="13"/>
      <c r="AH194" s="13"/>
      <c r="AI194" s="13"/>
      <c r="AJ194" s="13"/>
      <c r="AK194" s="13"/>
      <c r="AL194" s="13"/>
      <c r="AM194" s="13"/>
      <c r="AN194" s="13"/>
      <c r="AO194" s="13"/>
      <c r="AP194" s="13"/>
      <c r="AQ194" s="13"/>
      <c r="AR194" s="13"/>
      <c r="AS194" s="13"/>
      <c r="AT194" s="13"/>
      <c r="AU194" s="13"/>
      <c r="AV194" s="13"/>
      <c r="AW194" s="13"/>
      <c r="AX194" s="13"/>
      <c r="AY194" s="13"/>
      <c r="AZ194" s="13"/>
      <c r="BA194" s="13"/>
      <c r="BB194" s="13"/>
      <c r="BC194" s="13"/>
      <c r="BD194" s="13"/>
      <c r="BE194" s="13"/>
      <c r="BF194" s="13"/>
      <c r="BG194" s="13"/>
    </row>
    <row r="195" spans="1:59" s="37" customFormat="1" ht="42.75" customHeight="1">
      <c r="A195" s="32"/>
      <c r="B195" s="32"/>
      <c r="C195" s="32"/>
      <c r="D195" s="38" t="s">
        <v>335</v>
      </c>
      <c r="E195" s="74" t="s">
        <v>335</v>
      </c>
      <c r="F195" s="73"/>
      <c r="G195" s="34">
        <f t="shared" si="8"/>
        <v>0</v>
      </c>
      <c r="H195" s="104"/>
      <c r="I195" s="73"/>
      <c r="J195" s="34">
        <f t="shared" si="9"/>
        <v>0</v>
      </c>
      <c r="K195" s="2">
        <v>50000</v>
      </c>
      <c r="L195" s="2"/>
      <c r="M195" s="2">
        <f t="shared" si="7"/>
        <v>50000</v>
      </c>
      <c r="N195" s="3">
        <f t="shared" si="10"/>
        <v>50</v>
      </c>
      <c r="O195" s="13"/>
      <c r="P195" s="13"/>
      <c r="Q195" s="13"/>
      <c r="R195" s="13"/>
      <c r="S195" s="13"/>
      <c r="T195" s="13"/>
      <c r="U195" s="13"/>
      <c r="V195" s="13"/>
      <c r="W195" s="13"/>
      <c r="X195" s="13"/>
      <c r="Y195" s="13"/>
      <c r="Z195" s="13"/>
      <c r="AA195" s="13"/>
      <c r="AB195" s="13"/>
      <c r="AC195" s="13"/>
      <c r="AD195" s="13"/>
      <c r="AE195" s="13"/>
      <c r="AF195" s="13"/>
      <c r="AG195" s="13"/>
      <c r="AH195" s="13"/>
      <c r="AI195" s="13"/>
      <c r="AJ195" s="13"/>
      <c r="AK195" s="13"/>
      <c r="AL195" s="13"/>
      <c r="AM195" s="13"/>
      <c r="AN195" s="13"/>
      <c r="AO195" s="13"/>
      <c r="AP195" s="13"/>
      <c r="AQ195" s="13"/>
      <c r="AR195" s="13"/>
      <c r="AS195" s="13"/>
      <c r="AT195" s="13"/>
      <c r="AU195" s="13"/>
      <c r="AV195" s="13"/>
      <c r="AW195" s="13"/>
      <c r="AX195" s="13"/>
      <c r="AY195" s="13"/>
      <c r="AZ195" s="13"/>
      <c r="BA195" s="13"/>
      <c r="BB195" s="13"/>
      <c r="BC195" s="13"/>
      <c r="BD195" s="13"/>
      <c r="BE195" s="13"/>
      <c r="BF195" s="13"/>
      <c r="BG195" s="13"/>
    </row>
    <row r="196" spans="1:59" s="37" customFormat="1" ht="36.75" customHeight="1">
      <c r="A196" s="32"/>
      <c r="B196" s="32"/>
      <c r="C196" s="32"/>
      <c r="D196" s="38" t="s">
        <v>336</v>
      </c>
      <c r="E196" s="74" t="s">
        <v>336</v>
      </c>
      <c r="F196" s="73"/>
      <c r="G196" s="34">
        <f t="shared" si="8"/>
        <v>0</v>
      </c>
      <c r="H196" s="104"/>
      <c r="I196" s="73"/>
      <c r="J196" s="34">
        <f t="shared" si="9"/>
        <v>0</v>
      </c>
      <c r="K196" s="2">
        <v>50000</v>
      </c>
      <c r="L196" s="2"/>
      <c r="M196" s="2">
        <f t="shared" si="7"/>
        <v>50000</v>
      </c>
      <c r="N196" s="3">
        <f t="shared" si="10"/>
        <v>50</v>
      </c>
      <c r="O196" s="13"/>
      <c r="P196" s="13"/>
      <c r="Q196" s="13"/>
      <c r="R196" s="13"/>
      <c r="S196" s="13"/>
      <c r="T196" s="13"/>
      <c r="U196" s="13"/>
      <c r="V196" s="13"/>
      <c r="W196" s="13"/>
      <c r="X196" s="13"/>
      <c r="Y196" s="13"/>
      <c r="Z196" s="13"/>
      <c r="AA196" s="13"/>
      <c r="AB196" s="13"/>
      <c r="AC196" s="13"/>
      <c r="AD196" s="13"/>
      <c r="AE196" s="13"/>
      <c r="AF196" s="13"/>
      <c r="AG196" s="13"/>
      <c r="AH196" s="13"/>
      <c r="AI196" s="13"/>
      <c r="AJ196" s="13"/>
      <c r="AK196" s="13"/>
      <c r="AL196" s="13"/>
      <c r="AM196" s="13"/>
      <c r="AN196" s="13"/>
      <c r="AO196" s="13"/>
      <c r="AP196" s="13"/>
      <c r="AQ196" s="13"/>
      <c r="AR196" s="13"/>
      <c r="AS196" s="13"/>
      <c r="AT196" s="13"/>
      <c r="AU196" s="13"/>
      <c r="AV196" s="13"/>
      <c r="AW196" s="13"/>
      <c r="AX196" s="13"/>
      <c r="AY196" s="13"/>
      <c r="AZ196" s="13"/>
      <c r="BA196" s="13"/>
      <c r="BB196" s="13"/>
      <c r="BC196" s="13"/>
      <c r="BD196" s="13"/>
      <c r="BE196" s="13"/>
      <c r="BF196" s="13"/>
      <c r="BG196" s="13"/>
    </row>
    <row r="197" spans="1:59" s="37" customFormat="1" ht="34.5" customHeight="1">
      <c r="A197" s="32"/>
      <c r="B197" s="32"/>
      <c r="C197" s="32"/>
      <c r="D197" s="38" t="s">
        <v>337</v>
      </c>
      <c r="E197" s="74" t="s">
        <v>337</v>
      </c>
      <c r="F197" s="73"/>
      <c r="G197" s="34">
        <f t="shared" si="8"/>
        <v>0</v>
      </c>
      <c r="H197" s="104"/>
      <c r="I197" s="73"/>
      <c r="J197" s="34">
        <f t="shared" si="9"/>
        <v>0</v>
      </c>
      <c r="K197" s="2">
        <v>50000</v>
      </c>
      <c r="L197" s="2"/>
      <c r="M197" s="2">
        <f t="shared" si="7"/>
        <v>50000</v>
      </c>
      <c r="N197" s="3">
        <f t="shared" si="10"/>
        <v>50</v>
      </c>
      <c r="O197" s="13"/>
      <c r="P197" s="13"/>
      <c r="Q197" s="13"/>
      <c r="R197" s="13"/>
      <c r="S197" s="13"/>
      <c r="T197" s="13"/>
      <c r="U197" s="13"/>
      <c r="V197" s="13"/>
      <c r="W197" s="13"/>
      <c r="X197" s="13"/>
      <c r="Y197" s="13"/>
      <c r="Z197" s="13"/>
      <c r="AA197" s="13"/>
      <c r="AB197" s="13"/>
      <c r="AC197" s="13"/>
      <c r="AD197" s="13"/>
      <c r="AE197" s="13"/>
      <c r="AF197" s="13"/>
      <c r="AG197" s="13"/>
      <c r="AH197" s="13"/>
      <c r="AI197" s="13"/>
      <c r="AJ197" s="13"/>
      <c r="AK197" s="13"/>
      <c r="AL197" s="13"/>
      <c r="AM197" s="13"/>
      <c r="AN197" s="13"/>
      <c r="AO197" s="13"/>
      <c r="AP197" s="13"/>
      <c r="AQ197" s="13"/>
      <c r="AR197" s="13"/>
      <c r="AS197" s="13"/>
      <c r="AT197" s="13"/>
      <c r="AU197" s="13"/>
      <c r="AV197" s="13"/>
      <c r="AW197" s="13"/>
      <c r="AX197" s="13"/>
      <c r="AY197" s="13"/>
      <c r="AZ197" s="13"/>
      <c r="BA197" s="13"/>
      <c r="BB197" s="13"/>
      <c r="BC197" s="13"/>
      <c r="BD197" s="13"/>
      <c r="BE197" s="13"/>
      <c r="BF197" s="13"/>
      <c r="BG197" s="13"/>
    </row>
    <row r="198" spans="1:59" s="37" customFormat="1" ht="36.75" customHeight="1">
      <c r="A198" s="32"/>
      <c r="B198" s="32"/>
      <c r="C198" s="32"/>
      <c r="D198" s="38" t="s">
        <v>368</v>
      </c>
      <c r="E198" s="74" t="s">
        <v>368</v>
      </c>
      <c r="F198" s="73"/>
      <c r="G198" s="34">
        <f t="shared" si="8"/>
        <v>0</v>
      </c>
      <c r="H198" s="104"/>
      <c r="I198" s="73"/>
      <c r="J198" s="34">
        <f t="shared" si="9"/>
        <v>0</v>
      </c>
      <c r="K198" s="2">
        <v>50000</v>
      </c>
      <c r="L198" s="2"/>
      <c r="M198" s="2">
        <f t="shared" si="7"/>
        <v>50000</v>
      </c>
      <c r="N198" s="3">
        <f t="shared" si="10"/>
        <v>50</v>
      </c>
      <c r="O198" s="13"/>
      <c r="P198" s="13"/>
      <c r="Q198" s="13"/>
      <c r="R198" s="13"/>
      <c r="S198" s="13"/>
      <c r="T198" s="13"/>
      <c r="U198" s="13"/>
      <c r="V198" s="13"/>
      <c r="W198" s="13"/>
      <c r="X198" s="13"/>
      <c r="Y198" s="13"/>
      <c r="Z198" s="13"/>
      <c r="AA198" s="13"/>
      <c r="AB198" s="13"/>
      <c r="AC198" s="13"/>
      <c r="AD198" s="13"/>
      <c r="AE198" s="13"/>
      <c r="AF198" s="13"/>
      <c r="AG198" s="13"/>
      <c r="AH198" s="13"/>
      <c r="AI198" s="13"/>
      <c r="AJ198" s="13"/>
      <c r="AK198" s="13"/>
      <c r="AL198" s="13"/>
      <c r="AM198" s="13"/>
      <c r="AN198" s="13"/>
      <c r="AO198" s="13"/>
      <c r="AP198" s="13"/>
      <c r="AQ198" s="13"/>
      <c r="AR198" s="13"/>
      <c r="AS198" s="13"/>
      <c r="AT198" s="13"/>
      <c r="AU198" s="13"/>
      <c r="AV198" s="13"/>
      <c r="AW198" s="13"/>
      <c r="AX198" s="13"/>
      <c r="AY198" s="13"/>
      <c r="AZ198" s="13"/>
      <c r="BA198" s="13"/>
      <c r="BB198" s="13"/>
      <c r="BC198" s="13"/>
      <c r="BD198" s="13"/>
      <c r="BE198" s="13"/>
      <c r="BF198" s="13"/>
      <c r="BG198" s="13"/>
    </row>
    <row r="199" spans="1:59" s="37" customFormat="1" ht="42" customHeight="1">
      <c r="A199" s="32"/>
      <c r="B199" s="32"/>
      <c r="C199" s="32"/>
      <c r="D199" s="38" t="s">
        <v>338</v>
      </c>
      <c r="E199" s="74" t="s">
        <v>338</v>
      </c>
      <c r="F199" s="73"/>
      <c r="G199" s="34">
        <f t="shared" si="8"/>
        <v>0</v>
      </c>
      <c r="H199" s="104"/>
      <c r="I199" s="73"/>
      <c r="J199" s="34">
        <f t="shared" si="9"/>
        <v>0</v>
      </c>
      <c r="K199" s="2">
        <v>50000</v>
      </c>
      <c r="L199" s="2"/>
      <c r="M199" s="2">
        <f t="shared" si="7"/>
        <v>50000</v>
      </c>
      <c r="N199" s="3">
        <f t="shared" si="10"/>
        <v>50</v>
      </c>
      <c r="O199" s="13"/>
      <c r="P199" s="13"/>
      <c r="Q199" s="13"/>
      <c r="R199" s="13"/>
      <c r="S199" s="13"/>
      <c r="T199" s="13"/>
      <c r="U199" s="13"/>
      <c r="V199" s="13"/>
      <c r="W199" s="13"/>
      <c r="X199" s="13"/>
      <c r="Y199" s="13"/>
      <c r="Z199" s="13"/>
      <c r="AA199" s="13"/>
      <c r="AB199" s="13"/>
      <c r="AC199" s="13"/>
      <c r="AD199" s="13"/>
      <c r="AE199" s="13"/>
      <c r="AF199" s="13"/>
      <c r="AG199" s="13"/>
      <c r="AH199" s="13"/>
      <c r="AI199" s="13"/>
      <c r="AJ199" s="13"/>
      <c r="AK199" s="13"/>
      <c r="AL199" s="13"/>
      <c r="AM199" s="13"/>
      <c r="AN199" s="13"/>
      <c r="AO199" s="13"/>
      <c r="AP199" s="13"/>
      <c r="AQ199" s="13"/>
      <c r="AR199" s="13"/>
      <c r="AS199" s="13"/>
      <c r="AT199" s="13"/>
      <c r="AU199" s="13"/>
      <c r="AV199" s="13"/>
      <c r="AW199" s="13"/>
      <c r="AX199" s="13"/>
      <c r="AY199" s="13"/>
      <c r="AZ199" s="13"/>
      <c r="BA199" s="13"/>
      <c r="BB199" s="13"/>
      <c r="BC199" s="13"/>
      <c r="BD199" s="13"/>
      <c r="BE199" s="13"/>
      <c r="BF199" s="13"/>
      <c r="BG199" s="13"/>
    </row>
    <row r="200" spans="1:59" s="37" customFormat="1" ht="40.5" customHeight="1">
      <c r="A200" s="32"/>
      <c r="B200" s="32"/>
      <c r="C200" s="32"/>
      <c r="D200" s="38" t="s">
        <v>370</v>
      </c>
      <c r="E200" s="74" t="s">
        <v>370</v>
      </c>
      <c r="F200" s="73"/>
      <c r="G200" s="34">
        <f aca="true" t="shared" si="11" ref="G200:G262">ROUND(F200/1000,1)</f>
        <v>0</v>
      </c>
      <c r="H200" s="104"/>
      <c r="I200" s="73"/>
      <c r="J200" s="34">
        <f aca="true" t="shared" si="12" ref="J200:J262">ROUND(I200/1000,1)</f>
        <v>0</v>
      </c>
      <c r="K200" s="2">
        <v>100000</v>
      </c>
      <c r="L200" s="2"/>
      <c r="M200" s="2">
        <f t="shared" si="7"/>
        <v>100000</v>
      </c>
      <c r="N200" s="3">
        <f aca="true" t="shared" si="13" ref="N200:N262">ROUND(M200/1000,1)</f>
        <v>100</v>
      </c>
      <c r="O200" s="13"/>
      <c r="P200" s="13"/>
      <c r="Q200" s="13"/>
      <c r="R200" s="13"/>
      <c r="S200" s="13"/>
      <c r="T200" s="13"/>
      <c r="U200" s="13"/>
      <c r="V200" s="13"/>
      <c r="W200" s="13"/>
      <c r="X200" s="13"/>
      <c r="Y200" s="13"/>
      <c r="Z200" s="13"/>
      <c r="AA200" s="13"/>
      <c r="AB200" s="13"/>
      <c r="AC200" s="13"/>
      <c r="AD200" s="13"/>
      <c r="AE200" s="13"/>
      <c r="AF200" s="13"/>
      <c r="AG200" s="13"/>
      <c r="AH200" s="13"/>
      <c r="AI200" s="13"/>
      <c r="AJ200" s="13"/>
      <c r="AK200" s="13"/>
      <c r="AL200" s="13"/>
      <c r="AM200" s="13"/>
      <c r="AN200" s="13"/>
      <c r="AO200" s="13"/>
      <c r="AP200" s="13"/>
      <c r="AQ200" s="13"/>
      <c r="AR200" s="13"/>
      <c r="AS200" s="13"/>
      <c r="AT200" s="13"/>
      <c r="AU200" s="13"/>
      <c r="AV200" s="13"/>
      <c r="AW200" s="13"/>
      <c r="AX200" s="13"/>
      <c r="AY200" s="13"/>
      <c r="AZ200" s="13"/>
      <c r="BA200" s="13"/>
      <c r="BB200" s="13"/>
      <c r="BC200" s="13"/>
      <c r="BD200" s="13"/>
      <c r="BE200" s="13"/>
      <c r="BF200" s="13"/>
      <c r="BG200" s="13"/>
    </row>
    <row r="201" spans="1:59" s="37" customFormat="1" ht="35.25" customHeight="1">
      <c r="A201" s="32"/>
      <c r="B201" s="32"/>
      <c r="C201" s="32"/>
      <c r="D201" s="38" t="s">
        <v>339</v>
      </c>
      <c r="E201" s="74" t="s">
        <v>339</v>
      </c>
      <c r="F201" s="73"/>
      <c r="G201" s="34">
        <f t="shared" si="11"/>
        <v>0</v>
      </c>
      <c r="H201" s="104"/>
      <c r="I201" s="73"/>
      <c r="J201" s="34">
        <f t="shared" si="12"/>
        <v>0</v>
      </c>
      <c r="K201" s="2">
        <v>50000</v>
      </c>
      <c r="L201" s="2"/>
      <c r="M201" s="2">
        <f t="shared" si="7"/>
        <v>50000</v>
      </c>
      <c r="N201" s="3">
        <f t="shared" si="13"/>
        <v>50</v>
      </c>
      <c r="O201" s="13"/>
      <c r="P201" s="13"/>
      <c r="Q201" s="13"/>
      <c r="R201" s="13"/>
      <c r="S201" s="13"/>
      <c r="T201" s="13"/>
      <c r="U201" s="13"/>
      <c r="V201" s="13"/>
      <c r="W201" s="13"/>
      <c r="X201" s="13"/>
      <c r="Y201" s="13"/>
      <c r="Z201" s="13"/>
      <c r="AA201" s="13"/>
      <c r="AB201" s="13"/>
      <c r="AC201" s="13"/>
      <c r="AD201" s="13"/>
      <c r="AE201" s="13"/>
      <c r="AF201" s="13"/>
      <c r="AG201" s="13"/>
      <c r="AH201" s="13"/>
      <c r="AI201" s="13"/>
      <c r="AJ201" s="13"/>
      <c r="AK201" s="13"/>
      <c r="AL201" s="13"/>
      <c r="AM201" s="13"/>
      <c r="AN201" s="13"/>
      <c r="AO201" s="13"/>
      <c r="AP201" s="13"/>
      <c r="AQ201" s="13"/>
      <c r="AR201" s="13"/>
      <c r="AS201" s="13"/>
      <c r="AT201" s="13"/>
      <c r="AU201" s="13"/>
      <c r="AV201" s="13"/>
      <c r="AW201" s="13"/>
      <c r="AX201" s="13"/>
      <c r="AY201" s="13"/>
      <c r="AZ201" s="13"/>
      <c r="BA201" s="13"/>
      <c r="BB201" s="13"/>
      <c r="BC201" s="13"/>
      <c r="BD201" s="13"/>
      <c r="BE201" s="13"/>
      <c r="BF201" s="13"/>
      <c r="BG201" s="13"/>
    </row>
    <row r="202" spans="1:59" s="37" customFormat="1" ht="42.75" customHeight="1">
      <c r="A202" s="32"/>
      <c r="B202" s="32"/>
      <c r="C202" s="32"/>
      <c r="D202" s="38" t="s">
        <v>340</v>
      </c>
      <c r="E202" s="74" t="s">
        <v>340</v>
      </c>
      <c r="F202" s="73"/>
      <c r="G202" s="34">
        <f t="shared" si="11"/>
        <v>0</v>
      </c>
      <c r="H202" s="104"/>
      <c r="I202" s="73"/>
      <c r="J202" s="34">
        <f t="shared" si="12"/>
        <v>0</v>
      </c>
      <c r="K202" s="2">
        <v>50000</v>
      </c>
      <c r="L202" s="2"/>
      <c r="M202" s="2">
        <f t="shared" si="7"/>
        <v>50000</v>
      </c>
      <c r="N202" s="3">
        <f t="shared" si="13"/>
        <v>50</v>
      </c>
      <c r="O202" s="13"/>
      <c r="P202" s="13"/>
      <c r="Q202" s="13"/>
      <c r="R202" s="13"/>
      <c r="S202" s="13"/>
      <c r="T202" s="13"/>
      <c r="U202" s="13"/>
      <c r="V202" s="13"/>
      <c r="W202" s="13"/>
      <c r="X202" s="13"/>
      <c r="Y202" s="13"/>
      <c r="Z202" s="13"/>
      <c r="AA202" s="13"/>
      <c r="AB202" s="13"/>
      <c r="AC202" s="13"/>
      <c r="AD202" s="13"/>
      <c r="AE202" s="13"/>
      <c r="AF202" s="13"/>
      <c r="AG202" s="13"/>
      <c r="AH202" s="13"/>
      <c r="AI202" s="13"/>
      <c r="AJ202" s="13"/>
      <c r="AK202" s="13"/>
      <c r="AL202" s="13"/>
      <c r="AM202" s="13"/>
      <c r="AN202" s="13"/>
      <c r="AO202" s="13"/>
      <c r="AP202" s="13"/>
      <c r="AQ202" s="13"/>
      <c r="AR202" s="13"/>
      <c r="AS202" s="13"/>
      <c r="AT202" s="13"/>
      <c r="AU202" s="13"/>
      <c r="AV202" s="13"/>
      <c r="AW202" s="13"/>
      <c r="AX202" s="13"/>
      <c r="AY202" s="13"/>
      <c r="AZ202" s="13"/>
      <c r="BA202" s="13"/>
      <c r="BB202" s="13"/>
      <c r="BC202" s="13"/>
      <c r="BD202" s="13"/>
      <c r="BE202" s="13"/>
      <c r="BF202" s="13"/>
      <c r="BG202" s="13"/>
    </row>
    <row r="203" spans="1:59" s="37" customFormat="1" ht="35.25" customHeight="1">
      <c r="A203" s="32"/>
      <c r="B203" s="32"/>
      <c r="C203" s="32"/>
      <c r="D203" s="38" t="s">
        <v>341</v>
      </c>
      <c r="E203" s="74" t="s">
        <v>341</v>
      </c>
      <c r="F203" s="73"/>
      <c r="G203" s="34">
        <f t="shared" si="11"/>
        <v>0</v>
      </c>
      <c r="H203" s="104"/>
      <c r="I203" s="73"/>
      <c r="J203" s="34">
        <f t="shared" si="12"/>
        <v>0</v>
      </c>
      <c r="K203" s="2">
        <v>50000</v>
      </c>
      <c r="L203" s="2"/>
      <c r="M203" s="2">
        <f t="shared" si="7"/>
        <v>50000</v>
      </c>
      <c r="N203" s="3">
        <f t="shared" si="13"/>
        <v>50</v>
      </c>
      <c r="O203" s="13"/>
      <c r="P203" s="13"/>
      <c r="Q203" s="13"/>
      <c r="R203" s="13"/>
      <c r="S203" s="13"/>
      <c r="T203" s="13"/>
      <c r="U203" s="13"/>
      <c r="V203" s="13"/>
      <c r="W203" s="13"/>
      <c r="X203" s="13"/>
      <c r="Y203" s="13"/>
      <c r="Z203" s="13"/>
      <c r="AA203" s="13"/>
      <c r="AB203" s="13"/>
      <c r="AC203" s="13"/>
      <c r="AD203" s="13"/>
      <c r="AE203" s="13"/>
      <c r="AF203" s="13"/>
      <c r="AG203" s="13"/>
      <c r="AH203" s="13"/>
      <c r="AI203" s="13"/>
      <c r="AJ203" s="13"/>
      <c r="AK203" s="13"/>
      <c r="AL203" s="13"/>
      <c r="AM203" s="13"/>
      <c r="AN203" s="13"/>
      <c r="AO203" s="13"/>
      <c r="AP203" s="13"/>
      <c r="AQ203" s="13"/>
      <c r="AR203" s="13"/>
      <c r="AS203" s="13"/>
      <c r="AT203" s="13"/>
      <c r="AU203" s="13"/>
      <c r="AV203" s="13"/>
      <c r="AW203" s="13"/>
      <c r="AX203" s="13"/>
      <c r="AY203" s="13"/>
      <c r="AZ203" s="13"/>
      <c r="BA203" s="13"/>
      <c r="BB203" s="13"/>
      <c r="BC203" s="13"/>
      <c r="BD203" s="13"/>
      <c r="BE203" s="13"/>
      <c r="BF203" s="13"/>
      <c r="BG203" s="13"/>
    </row>
    <row r="204" spans="1:59" s="37" customFormat="1" ht="40.5" customHeight="1">
      <c r="A204" s="32"/>
      <c r="B204" s="32"/>
      <c r="C204" s="32"/>
      <c r="D204" s="38" t="s">
        <v>343</v>
      </c>
      <c r="E204" s="74" t="s">
        <v>343</v>
      </c>
      <c r="F204" s="73"/>
      <c r="G204" s="34">
        <f t="shared" si="11"/>
        <v>0</v>
      </c>
      <c r="H204" s="104"/>
      <c r="I204" s="73"/>
      <c r="J204" s="34">
        <f t="shared" si="12"/>
        <v>0</v>
      </c>
      <c r="K204" s="2">
        <v>50000</v>
      </c>
      <c r="L204" s="2"/>
      <c r="M204" s="2">
        <f t="shared" si="7"/>
        <v>50000</v>
      </c>
      <c r="N204" s="3">
        <f t="shared" si="13"/>
        <v>50</v>
      </c>
      <c r="O204" s="13"/>
      <c r="P204" s="13"/>
      <c r="Q204" s="13"/>
      <c r="R204" s="13"/>
      <c r="S204" s="13"/>
      <c r="T204" s="13"/>
      <c r="U204" s="13"/>
      <c r="V204" s="13"/>
      <c r="W204" s="13"/>
      <c r="X204" s="13"/>
      <c r="Y204" s="13"/>
      <c r="Z204" s="13"/>
      <c r="AA204" s="13"/>
      <c r="AB204" s="13"/>
      <c r="AC204" s="13"/>
      <c r="AD204" s="13"/>
      <c r="AE204" s="13"/>
      <c r="AF204" s="13"/>
      <c r="AG204" s="13"/>
      <c r="AH204" s="13"/>
      <c r="AI204" s="13"/>
      <c r="AJ204" s="13"/>
      <c r="AK204" s="13"/>
      <c r="AL204" s="13"/>
      <c r="AM204" s="13"/>
      <c r="AN204" s="13"/>
      <c r="AO204" s="13"/>
      <c r="AP204" s="13"/>
      <c r="AQ204" s="13"/>
      <c r="AR204" s="13"/>
      <c r="AS204" s="13"/>
      <c r="AT204" s="13"/>
      <c r="AU204" s="13"/>
      <c r="AV204" s="13"/>
      <c r="AW204" s="13"/>
      <c r="AX204" s="13"/>
      <c r="AY204" s="13"/>
      <c r="AZ204" s="13"/>
      <c r="BA204" s="13"/>
      <c r="BB204" s="13"/>
      <c r="BC204" s="13"/>
      <c r="BD204" s="13"/>
      <c r="BE204" s="13"/>
      <c r="BF204" s="13"/>
      <c r="BG204" s="13"/>
    </row>
    <row r="205" spans="1:59" s="37" customFormat="1" ht="39" customHeight="1">
      <c r="A205" s="32"/>
      <c r="B205" s="32"/>
      <c r="C205" s="32"/>
      <c r="D205" s="38" t="s">
        <v>344</v>
      </c>
      <c r="E205" s="74" t="s">
        <v>344</v>
      </c>
      <c r="F205" s="73"/>
      <c r="G205" s="34">
        <f t="shared" si="11"/>
        <v>0</v>
      </c>
      <c r="H205" s="104"/>
      <c r="I205" s="73"/>
      <c r="J205" s="34">
        <f t="shared" si="12"/>
        <v>0</v>
      </c>
      <c r="K205" s="2">
        <v>50000</v>
      </c>
      <c r="L205" s="2"/>
      <c r="M205" s="2">
        <f t="shared" si="7"/>
        <v>50000</v>
      </c>
      <c r="N205" s="3">
        <f t="shared" si="13"/>
        <v>50</v>
      </c>
      <c r="O205" s="13"/>
      <c r="P205" s="13"/>
      <c r="Q205" s="13"/>
      <c r="R205" s="13"/>
      <c r="S205" s="13"/>
      <c r="T205" s="13"/>
      <c r="U205" s="13"/>
      <c r="V205" s="13"/>
      <c r="W205" s="13"/>
      <c r="X205" s="13"/>
      <c r="Y205" s="13"/>
      <c r="Z205" s="13"/>
      <c r="AA205" s="13"/>
      <c r="AB205" s="13"/>
      <c r="AC205" s="13"/>
      <c r="AD205" s="13"/>
      <c r="AE205" s="13"/>
      <c r="AF205" s="13"/>
      <c r="AG205" s="13"/>
      <c r="AH205" s="13"/>
      <c r="AI205" s="13"/>
      <c r="AJ205" s="13"/>
      <c r="AK205" s="13"/>
      <c r="AL205" s="13"/>
      <c r="AM205" s="13"/>
      <c r="AN205" s="13"/>
      <c r="AO205" s="13"/>
      <c r="AP205" s="13"/>
      <c r="AQ205" s="13"/>
      <c r="AR205" s="13"/>
      <c r="AS205" s="13"/>
      <c r="AT205" s="13"/>
      <c r="AU205" s="13"/>
      <c r="AV205" s="13"/>
      <c r="AW205" s="13"/>
      <c r="AX205" s="13"/>
      <c r="AY205" s="13"/>
      <c r="AZ205" s="13"/>
      <c r="BA205" s="13"/>
      <c r="BB205" s="13"/>
      <c r="BC205" s="13"/>
      <c r="BD205" s="13"/>
      <c r="BE205" s="13"/>
      <c r="BF205" s="13"/>
      <c r="BG205" s="13"/>
    </row>
    <row r="206" spans="1:59" s="37" customFormat="1" ht="46.5" customHeight="1">
      <c r="A206" s="32"/>
      <c r="B206" s="32"/>
      <c r="C206" s="32"/>
      <c r="D206" s="38" t="s">
        <v>345</v>
      </c>
      <c r="E206" s="74" t="s">
        <v>345</v>
      </c>
      <c r="F206" s="73"/>
      <c r="G206" s="34">
        <f t="shared" si="11"/>
        <v>0</v>
      </c>
      <c r="H206" s="104"/>
      <c r="I206" s="73"/>
      <c r="J206" s="34">
        <f t="shared" si="12"/>
        <v>0</v>
      </c>
      <c r="K206" s="2">
        <v>50000</v>
      </c>
      <c r="L206" s="2"/>
      <c r="M206" s="2">
        <f t="shared" si="7"/>
        <v>50000</v>
      </c>
      <c r="N206" s="3">
        <f t="shared" si="13"/>
        <v>50</v>
      </c>
      <c r="O206" s="13"/>
      <c r="P206" s="13"/>
      <c r="Q206" s="13"/>
      <c r="R206" s="13"/>
      <c r="S206" s="13"/>
      <c r="T206" s="13"/>
      <c r="U206" s="13"/>
      <c r="V206" s="13"/>
      <c r="W206" s="13"/>
      <c r="X206" s="13"/>
      <c r="Y206" s="13"/>
      <c r="Z206" s="13"/>
      <c r="AA206" s="13"/>
      <c r="AB206" s="13"/>
      <c r="AC206" s="13"/>
      <c r="AD206" s="13"/>
      <c r="AE206" s="13"/>
      <c r="AF206" s="13"/>
      <c r="AG206" s="13"/>
      <c r="AH206" s="13"/>
      <c r="AI206" s="13"/>
      <c r="AJ206" s="13"/>
      <c r="AK206" s="13"/>
      <c r="AL206" s="13"/>
      <c r="AM206" s="13"/>
      <c r="AN206" s="13"/>
      <c r="AO206" s="13"/>
      <c r="AP206" s="13"/>
      <c r="AQ206" s="13"/>
      <c r="AR206" s="13"/>
      <c r="AS206" s="13"/>
      <c r="AT206" s="13"/>
      <c r="AU206" s="13"/>
      <c r="AV206" s="13"/>
      <c r="AW206" s="13"/>
      <c r="AX206" s="13"/>
      <c r="AY206" s="13"/>
      <c r="AZ206" s="13"/>
      <c r="BA206" s="13"/>
      <c r="BB206" s="13"/>
      <c r="BC206" s="13"/>
      <c r="BD206" s="13"/>
      <c r="BE206" s="13"/>
      <c r="BF206" s="13"/>
      <c r="BG206" s="13"/>
    </row>
    <row r="207" spans="1:59" s="37" customFormat="1" ht="46.5" customHeight="1">
      <c r="A207" s="32"/>
      <c r="B207" s="32"/>
      <c r="C207" s="32"/>
      <c r="D207" s="38" t="s">
        <v>348</v>
      </c>
      <c r="E207" s="74" t="s">
        <v>348</v>
      </c>
      <c r="F207" s="73"/>
      <c r="G207" s="34">
        <f t="shared" si="11"/>
        <v>0</v>
      </c>
      <c r="H207" s="104"/>
      <c r="I207" s="73"/>
      <c r="J207" s="34">
        <f t="shared" si="12"/>
        <v>0</v>
      </c>
      <c r="K207" s="2">
        <v>50000</v>
      </c>
      <c r="L207" s="2"/>
      <c r="M207" s="2">
        <f t="shared" si="7"/>
        <v>50000</v>
      </c>
      <c r="N207" s="3">
        <f t="shared" si="13"/>
        <v>50</v>
      </c>
      <c r="O207" s="13"/>
      <c r="P207" s="13"/>
      <c r="Q207" s="13"/>
      <c r="R207" s="13"/>
      <c r="S207" s="13"/>
      <c r="T207" s="13"/>
      <c r="U207" s="13"/>
      <c r="V207" s="13"/>
      <c r="W207" s="13"/>
      <c r="X207" s="13"/>
      <c r="Y207" s="13"/>
      <c r="Z207" s="13"/>
      <c r="AA207" s="13"/>
      <c r="AB207" s="13"/>
      <c r="AC207" s="13"/>
      <c r="AD207" s="13"/>
      <c r="AE207" s="13"/>
      <c r="AF207" s="13"/>
      <c r="AG207" s="13"/>
      <c r="AH207" s="13"/>
      <c r="AI207" s="13"/>
      <c r="AJ207" s="13"/>
      <c r="AK207" s="13"/>
      <c r="AL207" s="13"/>
      <c r="AM207" s="13"/>
      <c r="AN207" s="13"/>
      <c r="AO207" s="13"/>
      <c r="AP207" s="13"/>
      <c r="AQ207" s="13"/>
      <c r="AR207" s="13"/>
      <c r="AS207" s="13"/>
      <c r="AT207" s="13"/>
      <c r="AU207" s="13"/>
      <c r="AV207" s="13"/>
      <c r="AW207" s="13"/>
      <c r="AX207" s="13"/>
      <c r="AY207" s="13"/>
      <c r="AZ207" s="13"/>
      <c r="BA207" s="13"/>
      <c r="BB207" s="13"/>
      <c r="BC207" s="13"/>
      <c r="BD207" s="13"/>
      <c r="BE207" s="13"/>
      <c r="BF207" s="13"/>
      <c r="BG207" s="13"/>
    </row>
    <row r="208" spans="1:59" s="37" customFormat="1" ht="40.5" customHeight="1">
      <c r="A208" s="32"/>
      <c r="B208" s="32"/>
      <c r="C208" s="32"/>
      <c r="D208" s="38" t="s">
        <v>346</v>
      </c>
      <c r="E208" s="74" t="s">
        <v>346</v>
      </c>
      <c r="F208" s="73"/>
      <c r="G208" s="34">
        <f t="shared" si="11"/>
        <v>0</v>
      </c>
      <c r="H208" s="104"/>
      <c r="I208" s="73"/>
      <c r="J208" s="34">
        <f t="shared" si="12"/>
        <v>0</v>
      </c>
      <c r="K208" s="2">
        <v>50000</v>
      </c>
      <c r="L208" s="2"/>
      <c r="M208" s="2">
        <f t="shared" si="7"/>
        <v>50000</v>
      </c>
      <c r="N208" s="3">
        <f t="shared" si="13"/>
        <v>50</v>
      </c>
      <c r="O208" s="13"/>
      <c r="P208" s="13"/>
      <c r="Q208" s="13"/>
      <c r="R208" s="13"/>
      <c r="S208" s="13"/>
      <c r="T208" s="13"/>
      <c r="U208" s="13"/>
      <c r="V208" s="13"/>
      <c r="W208" s="13"/>
      <c r="X208" s="13"/>
      <c r="Y208" s="13"/>
      <c r="Z208" s="13"/>
      <c r="AA208" s="13"/>
      <c r="AB208" s="13"/>
      <c r="AC208" s="13"/>
      <c r="AD208" s="13"/>
      <c r="AE208" s="13"/>
      <c r="AF208" s="13"/>
      <c r="AG208" s="13"/>
      <c r="AH208" s="13"/>
      <c r="AI208" s="13"/>
      <c r="AJ208" s="13"/>
      <c r="AK208" s="13"/>
      <c r="AL208" s="13"/>
      <c r="AM208" s="13"/>
      <c r="AN208" s="13"/>
      <c r="AO208" s="13"/>
      <c r="AP208" s="13"/>
      <c r="AQ208" s="13"/>
      <c r="AR208" s="13"/>
      <c r="AS208" s="13"/>
      <c r="AT208" s="13"/>
      <c r="AU208" s="13"/>
      <c r="AV208" s="13"/>
      <c r="AW208" s="13"/>
      <c r="AX208" s="13"/>
      <c r="AY208" s="13"/>
      <c r="AZ208" s="13"/>
      <c r="BA208" s="13"/>
      <c r="BB208" s="13"/>
      <c r="BC208" s="13"/>
      <c r="BD208" s="13"/>
      <c r="BE208" s="13"/>
      <c r="BF208" s="13"/>
      <c r="BG208" s="13"/>
    </row>
    <row r="209" spans="1:59" s="37" customFormat="1" ht="39" customHeight="1">
      <c r="A209" s="32"/>
      <c r="B209" s="32"/>
      <c r="C209" s="32"/>
      <c r="D209" s="38" t="s">
        <v>349</v>
      </c>
      <c r="E209" s="74" t="s">
        <v>349</v>
      </c>
      <c r="F209" s="73"/>
      <c r="G209" s="34">
        <f t="shared" si="11"/>
        <v>0</v>
      </c>
      <c r="H209" s="104"/>
      <c r="I209" s="73"/>
      <c r="J209" s="34">
        <f t="shared" si="12"/>
        <v>0</v>
      </c>
      <c r="K209" s="2">
        <v>50000</v>
      </c>
      <c r="L209" s="2"/>
      <c r="M209" s="2">
        <f t="shared" si="7"/>
        <v>50000</v>
      </c>
      <c r="N209" s="3">
        <f t="shared" si="13"/>
        <v>50</v>
      </c>
      <c r="O209" s="13"/>
      <c r="P209" s="13"/>
      <c r="Q209" s="13"/>
      <c r="R209" s="13"/>
      <c r="S209" s="13"/>
      <c r="T209" s="13"/>
      <c r="U209" s="13"/>
      <c r="V209" s="13"/>
      <c r="W209" s="13"/>
      <c r="X209" s="13"/>
      <c r="Y209" s="13"/>
      <c r="Z209" s="13"/>
      <c r="AA209" s="13"/>
      <c r="AB209" s="13"/>
      <c r="AC209" s="13"/>
      <c r="AD209" s="13"/>
      <c r="AE209" s="13"/>
      <c r="AF209" s="13"/>
      <c r="AG209" s="13"/>
      <c r="AH209" s="13"/>
      <c r="AI209" s="13"/>
      <c r="AJ209" s="13"/>
      <c r="AK209" s="13"/>
      <c r="AL209" s="13"/>
      <c r="AM209" s="13"/>
      <c r="AN209" s="13"/>
      <c r="AO209" s="13"/>
      <c r="AP209" s="13"/>
      <c r="AQ209" s="13"/>
      <c r="AR209" s="13"/>
      <c r="AS209" s="13"/>
      <c r="AT209" s="13"/>
      <c r="AU209" s="13"/>
      <c r="AV209" s="13"/>
      <c r="AW209" s="13"/>
      <c r="AX209" s="13"/>
      <c r="AY209" s="13"/>
      <c r="AZ209" s="13"/>
      <c r="BA209" s="13"/>
      <c r="BB209" s="13"/>
      <c r="BC209" s="13"/>
      <c r="BD209" s="13"/>
      <c r="BE209" s="13"/>
      <c r="BF209" s="13"/>
      <c r="BG209" s="13"/>
    </row>
    <row r="210" spans="1:59" s="37" customFormat="1" ht="46.5" customHeight="1">
      <c r="A210" s="32"/>
      <c r="B210" s="32"/>
      <c r="C210" s="32"/>
      <c r="D210" s="38" t="s">
        <v>350</v>
      </c>
      <c r="E210" s="74" t="s">
        <v>350</v>
      </c>
      <c r="F210" s="73"/>
      <c r="G210" s="34">
        <f t="shared" si="11"/>
        <v>0</v>
      </c>
      <c r="H210" s="104"/>
      <c r="I210" s="73"/>
      <c r="J210" s="34">
        <f t="shared" si="12"/>
        <v>0</v>
      </c>
      <c r="K210" s="2">
        <v>50000</v>
      </c>
      <c r="L210" s="2"/>
      <c r="M210" s="2">
        <f t="shared" si="7"/>
        <v>50000</v>
      </c>
      <c r="N210" s="3">
        <f t="shared" si="13"/>
        <v>50</v>
      </c>
      <c r="O210" s="13"/>
      <c r="P210" s="13"/>
      <c r="Q210" s="13"/>
      <c r="R210" s="13"/>
      <c r="S210" s="13"/>
      <c r="T210" s="13"/>
      <c r="U210" s="13"/>
      <c r="V210" s="13"/>
      <c r="W210" s="13"/>
      <c r="X210" s="13"/>
      <c r="Y210" s="13"/>
      <c r="Z210" s="13"/>
      <c r="AA210" s="13"/>
      <c r="AB210" s="13"/>
      <c r="AC210" s="13"/>
      <c r="AD210" s="13"/>
      <c r="AE210" s="13"/>
      <c r="AF210" s="13"/>
      <c r="AG210" s="13"/>
      <c r="AH210" s="13"/>
      <c r="AI210" s="13"/>
      <c r="AJ210" s="13"/>
      <c r="AK210" s="13"/>
      <c r="AL210" s="13"/>
      <c r="AM210" s="13"/>
      <c r="AN210" s="13"/>
      <c r="AO210" s="13"/>
      <c r="AP210" s="13"/>
      <c r="AQ210" s="13"/>
      <c r="AR210" s="13"/>
      <c r="AS210" s="13"/>
      <c r="AT210" s="13"/>
      <c r="AU210" s="13"/>
      <c r="AV210" s="13"/>
      <c r="AW210" s="13"/>
      <c r="AX210" s="13"/>
      <c r="AY210" s="13"/>
      <c r="AZ210" s="13"/>
      <c r="BA210" s="13"/>
      <c r="BB210" s="13"/>
      <c r="BC210" s="13"/>
      <c r="BD210" s="13"/>
      <c r="BE210" s="13"/>
      <c r="BF210" s="13"/>
      <c r="BG210" s="13"/>
    </row>
    <row r="211" spans="1:59" s="37" customFormat="1" ht="46.5" customHeight="1">
      <c r="A211" s="32"/>
      <c r="B211" s="32"/>
      <c r="C211" s="32"/>
      <c r="D211" s="38" t="s">
        <v>401</v>
      </c>
      <c r="E211" s="74" t="s">
        <v>401</v>
      </c>
      <c r="F211" s="73"/>
      <c r="G211" s="34">
        <f t="shared" si="11"/>
        <v>0</v>
      </c>
      <c r="H211" s="104"/>
      <c r="I211" s="73"/>
      <c r="J211" s="34">
        <f t="shared" si="12"/>
        <v>0</v>
      </c>
      <c r="K211" s="2">
        <v>28000</v>
      </c>
      <c r="L211" s="2"/>
      <c r="M211" s="2">
        <f t="shared" si="7"/>
        <v>28000</v>
      </c>
      <c r="N211" s="3">
        <f t="shared" si="13"/>
        <v>28</v>
      </c>
      <c r="O211" s="13"/>
      <c r="P211" s="13"/>
      <c r="Q211" s="13"/>
      <c r="R211" s="13"/>
      <c r="S211" s="13"/>
      <c r="T211" s="13"/>
      <c r="U211" s="13"/>
      <c r="V211" s="13"/>
      <c r="W211" s="13"/>
      <c r="X211" s="13"/>
      <c r="Y211" s="13"/>
      <c r="Z211" s="13"/>
      <c r="AA211" s="13"/>
      <c r="AB211" s="13"/>
      <c r="AC211" s="13"/>
      <c r="AD211" s="13"/>
      <c r="AE211" s="13"/>
      <c r="AF211" s="13"/>
      <c r="AG211" s="13"/>
      <c r="AH211" s="13"/>
      <c r="AI211" s="13"/>
      <c r="AJ211" s="13"/>
      <c r="AK211" s="13"/>
      <c r="AL211" s="13"/>
      <c r="AM211" s="13"/>
      <c r="AN211" s="13"/>
      <c r="AO211" s="13"/>
      <c r="AP211" s="13"/>
      <c r="AQ211" s="13"/>
      <c r="AR211" s="13"/>
      <c r="AS211" s="13"/>
      <c r="AT211" s="13"/>
      <c r="AU211" s="13"/>
      <c r="AV211" s="13"/>
      <c r="AW211" s="13"/>
      <c r="AX211" s="13"/>
      <c r="AY211" s="13"/>
      <c r="AZ211" s="13"/>
      <c r="BA211" s="13"/>
      <c r="BB211" s="13"/>
      <c r="BC211" s="13"/>
      <c r="BD211" s="13"/>
      <c r="BE211" s="13"/>
      <c r="BF211" s="13"/>
      <c r="BG211" s="13"/>
    </row>
    <row r="212" spans="1:59" s="37" customFormat="1" ht="42.75" customHeight="1">
      <c r="A212" s="32"/>
      <c r="B212" s="32"/>
      <c r="C212" s="32"/>
      <c r="D212" s="38" t="s">
        <v>351</v>
      </c>
      <c r="E212" s="74" t="s">
        <v>351</v>
      </c>
      <c r="F212" s="73"/>
      <c r="G212" s="34">
        <f t="shared" si="11"/>
        <v>0</v>
      </c>
      <c r="H212" s="104"/>
      <c r="I212" s="73"/>
      <c r="J212" s="34">
        <f t="shared" si="12"/>
        <v>0</v>
      </c>
      <c r="K212" s="2">
        <v>50000</v>
      </c>
      <c r="L212" s="2"/>
      <c r="M212" s="2">
        <f t="shared" si="7"/>
        <v>50000</v>
      </c>
      <c r="N212" s="3">
        <f t="shared" si="13"/>
        <v>50</v>
      </c>
      <c r="O212" s="13"/>
      <c r="P212" s="13"/>
      <c r="Q212" s="13"/>
      <c r="R212" s="13"/>
      <c r="S212" s="13"/>
      <c r="T212" s="13"/>
      <c r="U212" s="13"/>
      <c r="V212" s="13"/>
      <c r="W212" s="13"/>
      <c r="X212" s="13"/>
      <c r="Y212" s="13"/>
      <c r="Z212" s="13"/>
      <c r="AA212" s="13"/>
      <c r="AB212" s="13"/>
      <c r="AC212" s="13"/>
      <c r="AD212" s="13"/>
      <c r="AE212" s="13"/>
      <c r="AF212" s="13"/>
      <c r="AG212" s="13"/>
      <c r="AH212" s="13"/>
      <c r="AI212" s="13"/>
      <c r="AJ212" s="13"/>
      <c r="AK212" s="13"/>
      <c r="AL212" s="13"/>
      <c r="AM212" s="13"/>
      <c r="AN212" s="13"/>
      <c r="AO212" s="13"/>
      <c r="AP212" s="13"/>
      <c r="AQ212" s="13"/>
      <c r="AR212" s="13"/>
      <c r="AS212" s="13"/>
      <c r="AT212" s="13"/>
      <c r="AU212" s="13"/>
      <c r="AV212" s="13"/>
      <c r="AW212" s="13"/>
      <c r="AX212" s="13"/>
      <c r="AY212" s="13"/>
      <c r="AZ212" s="13"/>
      <c r="BA212" s="13"/>
      <c r="BB212" s="13"/>
      <c r="BC212" s="13"/>
      <c r="BD212" s="13"/>
      <c r="BE212" s="13"/>
      <c r="BF212" s="13"/>
      <c r="BG212" s="13"/>
    </row>
    <row r="213" spans="1:59" s="37" customFormat="1" ht="42" customHeight="1">
      <c r="A213" s="32"/>
      <c r="B213" s="32"/>
      <c r="C213" s="32"/>
      <c r="D213" s="38" t="s">
        <v>352</v>
      </c>
      <c r="E213" s="74" t="s">
        <v>352</v>
      </c>
      <c r="F213" s="73"/>
      <c r="G213" s="34">
        <f t="shared" si="11"/>
        <v>0</v>
      </c>
      <c r="H213" s="104"/>
      <c r="I213" s="73"/>
      <c r="J213" s="34">
        <f t="shared" si="12"/>
        <v>0</v>
      </c>
      <c r="K213" s="2">
        <v>50000</v>
      </c>
      <c r="L213" s="2"/>
      <c r="M213" s="2">
        <f t="shared" si="7"/>
        <v>50000</v>
      </c>
      <c r="N213" s="3">
        <f t="shared" si="13"/>
        <v>50</v>
      </c>
      <c r="O213" s="13"/>
      <c r="P213" s="13"/>
      <c r="Q213" s="13"/>
      <c r="R213" s="13"/>
      <c r="S213" s="13"/>
      <c r="T213" s="13"/>
      <c r="U213" s="13"/>
      <c r="V213" s="13"/>
      <c r="W213" s="13"/>
      <c r="X213" s="13"/>
      <c r="Y213" s="13"/>
      <c r="Z213" s="13"/>
      <c r="AA213" s="13"/>
      <c r="AB213" s="13"/>
      <c r="AC213" s="13"/>
      <c r="AD213" s="13"/>
      <c r="AE213" s="13"/>
      <c r="AF213" s="13"/>
      <c r="AG213" s="13"/>
      <c r="AH213" s="13"/>
      <c r="AI213" s="13"/>
      <c r="AJ213" s="13"/>
      <c r="AK213" s="13"/>
      <c r="AL213" s="13"/>
      <c r="AM213" s="13"/>
      <c r="AN213" s="13"/>
      <c r="AO213" s="13"/>
      <c r="AP213" s="13"/>
      <c r="AQ213" s="13"/>
      <c r="AR213" s="13"/>
      <c r="AS213" s="13"/>
      <c r="AT213" s="13"/>
      <c r="AU213" s="13"/>
      <c r="AV213" s="13"/>
      <c r="AW213" s="13"/>
      <c r="AX213" s="13"/>
      <c r="AY213" s="13"/>
      <c r="AZ213" s="13"/>
      <c r="BA213" s="13"/>
      <c r="BB213" s="13"/>
      <c r="BC213" s="13"/>
      <c r="BD213" s="13"/>
      <c r="BE213" s="13"/>
      <c r="BF213" s="13"/>
      <c r="BG213" s="13"/>
    </row>
    <row r="214" spans="1:59" s="37" customFormat="1" ht="32.25" customHeight="1">
      <c r="A214" s="32"/>
      <c r="B214" s="32"/>
      <c r="C214" s="32"/>
      <c r="D214" s="38" t="s">
        <v>342</v>
      </c>
      <c r="E214" s="74" t="s">
        <v>342</v>
      </c>
      <c r="F214" s="73"/>
      <c r="G214" s="34">
        <f t="shared" si="11"/>
        <v>0</v>
      </c>
      <c r="H214" s="104"/>
      <c r="I214" s="73"/>
      <c r="J214" s="34">
        <f t="shared" si="12"/>
        <v>0</v>
      </c>
      <c r="K214" s="2">
        <v>50000</v>
      </c>
      <c r="L214" s="2"/>
      <c r="M214" s="2">
        <f>K214+L214</f>
        <v>50000</v>
      </c>
      <c r="N214" s="3">
        <f t="shared" si="13"/>
        <v>50</v>
      </c>
      <c r="O214" s="13"/>
      <c r="P214" s="13"/>
      <c r="Q214" s="13"/>
      <c r="R214" s="13"/>
      <c r="S214" s="13"/>
      <c r="T214" s="13"/>
      <c r="U214" s="13"/>
      <c r="V214" s="13"/>
      <c r="W214" s="13"/>
      <c r="X214" s="13"/>
      <c r="Y214" s="13"/>
      <c r="Z214" s="13"/>
      <c r="AA214" s="13"/>
      <c r="AB214" s="13"/>
      <c r="AC214" s="13"/>
      <c r="AD214" s="13"/>
      <c r="AE214" s="13"/>
      <c r="AF214" s="13"/>
      <c r="AG214" s="13"/>
      <c r="AH214" s="13"/>
      <c r="AI214" s="13"/>
      <c r="AJ214" s="13"/>
      <c r="AK214" s="13"/>
      <c r="AL214" s="13"/>
      <c r="AM214" s="13"/>
      <c r="AN214" s="13"/>
      <c r="AO214" s="13"/>
      <c r="AP214" s="13"/>
      <c r="AQ214" s="13"/>
      <c r="AR214" s="13"/>
      <c r="AS214" s="13"/>
      <c r="AT214" s="13"/>
      <c r="AU214" s="13"/>
      <c r="AV214" s="13"/>
      <c r="AW214" s="13"/>
      <c r="AX214" s="13"/>
      <c r="AY214" s="13"/>
      <c r="AZ214" s="13"/>
      <c r="BA214" s="13"/>
      <c r="BB214" s="13"/>
      <c r="BC214" s="13"/>
      <c r="BD214" s="13"/>
      <c r="BE214" s="13"/>
      <c r="BF214" s="13"/>
      <c r="BG214" s="13"/>
    </row>
    <row r="215" spans="1:59" s="37" customFormat="1" ht="43.5" customHeight="1">
      <c r="A215" s="32"/>
      <c r="B215" s="32"/>
      <c r="C215" s="32"/>
      <c r="D215" s="38" t="s">
        <v>393</v>
      </c>
      <c r="E215" s="74" t="s">
        <v>393</v>
      </c>
      <c r="F215" s="73"/>
      <c r="G215" s="34">
        <f t="shared" si="11"/>
        <v>0</v>
      </c>
      <c r="H215" s="104"/>
      <c r="I215" s="73"/>
      <c r="J215" s="34">
        <f t="shared" si="12"/>
        <v>0</v>
      </c>
      <c r="K215" s="2">
        <v>100000</v>
      </c>
      <c r="L215" s="2"/>
      <c r="M215" s="2">
        <f>K215+L215</f>
        <v>100000</v>
      </c>
      <c r="N215" s="3">
        <f t="shared" si="13"/>
        <v>100</v>
      </c>
      <c r="O215" s="13"/>
      <c r="P215" s="13"/>
      <c r="Q215" s="13"/>
      <c r="R215" s="13"/>
      <c r="S215" s="13"/>
      <c r="T215" s="13"/>
      <c r="U215" s="13"/>
      <c r="V215" s="13"/>
      <c r="W215" s="13"/>
      <c r="X215" s="13"/>
      <c r="Y215" s="13"/>
      <c r="Z215" s="13"/>
      <c r="AA215" s="13"/>
      <c r="AB215" s="13"/>
      <c r="AC215" s="13"/>
      <c r="AD215" s="13"/>
      <c r="AE215" s="13"/>
      <c r="AF215" s="13"/>
      <c r="AG215" s="13"/>
      <c r="AH215" s="13"/>
      <c r="AI215" s="13"/>
      <c r="AJ215" s="13"/>
      <c r="AK215" s="13"/>
      <c r="AL215" s="13"/>
      <c r="AM215" s="13"/>
      <c r="AN215" s="13"/>
      <c r="AO215" s="13"/>
      <c r="AP215" s="13"/>
      <c r="AQ215" s="13"/>
      <c r="AR215" s="13"/>
      <c r="AS215" s="13"/>
      <c r="AT215" s="13"/>
      <c r="AU215" s="13"/>
      <c r="AV215" s="13"/>
      <c r="AW215" s="13"/>
      <c r="AX215" s="13"/>
      <c r="AY215" s="13"/>
      <c r="AZ215" s="13"/>
      <c r="BA215" s="13"/>
      <c r="BB215" s="13"/>
      <c r="BC215" s="13"/>
      <c r="BD215" s="13"/>
      <c r="BE215" s="13"/>
      <c r="BF215" s="13"/>
      <c r="BG215" s="13"/>
    </row>
    <row r="216" spans="1:59" s="37" customFormat="1" ht="36.75" customHeight="1">
      <c r="A216" s="32"/>
      <c r="B216" s="32"/>
      <c r="C216" s="32"/>
      <c r="D216" s="38" t="s">
        <v>390</v>
      </c>
      <c r="E216" s="38" t="s">
        <v>390</v>
      </c>
      <c r="F216" s="73"/>
      <c r="G216" s="34">
        <f t="shared" si="11"/>
        <v>0</v>
      </c>
      <c r="H216" s="104"/>
      <c r="I216" s="73"/>
      <c r="J216" s="34">
        <f t="shared" si="12"/>
        <v>0</v>
      </c>
      <c r="K216" s="2">
        <v>50000</v>
      </c>
      <c r="L216" s="2"/>
      <c r="M216" s="2">
        <f>K216+L216</f>
        <v>50000</v>
      </c>
      <c r="N216" s="3">
        <f t="shared" si="13"/>
        <v>50</v>
      </c>
      <c r="O216" s="13"/>
      <c r="P216" s="13"/>
      <c r="Q216" s="13"/>
      <c r="R216" s="13"/>
      <c r="S216" s="13"/>
      <c r="T216" s="13"/>
      <c r="U216" s="13"/>
      <c r="V216" s="13"/>
      <c r="W216" s="13"/>
      <c r="X216" s="13"/>
      <c r="Y216" s="13"/>
      <c r="Z216" s="13"/>
      <c r="AA216" s="13"/>
      <c r="AB216" s="13"/>
      <c r="AC216" s="13"/>
      <c r="AD216" s="13"/>
      <c r="AE216" s="13"/>
      <c r="AF216" s="13"/>
      <c r="AG216" s="13"/>
      <c r="AH216" s="13"/>
      <c r="AI216" s="13"/>
      <c r="AJ216" s="13"/>
      <c r="AK216" s="13"/>
      <c r="AL216" s="13"/>
      <c r="AM216" s="13"/>
      <c r="AN216" s="13"/>
      <c r="AO216" s="13"/>
      <c r="AP216" s="13"/>
      <c r="AQ216" s="13"/>
      <c r="AR216" s="13"/>
      <c r="AS216" s="13"/>
      <c r="AT216" s="13"/>
      <c r="AU216" s="13"/>
      <c r="AV216" s="13"/>
      <c r="AW216" s="13"/>
      <c r="AX216" s="13"/>
      <c r="AY216" s="13"/>
      <c r="AZ216" s="13"/>
      <c r="BA216" s="13"/>
      <c r="BB216" s="13"/>
      <c r="BC216" s="13"/>
      <c r="BD216" s="13"/>
      <c r="BE216" s="13"/>
      <c r="BF216" s="13"/>
      <c r="BG216" s="13"/>
    </row>
    <row r="217" spans="1:59" s="37" customFormat="1" ht="36.75" customHeight="1">
      <c r="A217" s="32"/>
      <c r="B217" s="32"/>
      <c r="C217" s="32"/>
      <c r="D217" s="38" t="s">
        <v>400</v>
      </c>
      <c r="E217" s="38" t="s">
        <v>400</v>
      </c>
      <c r="F217" s="73"/>
      <c r="G217" s="34">
        <f t="shared" si="11"/>
        <v>0</v>
      </c>
      <c r="H217" s="104"/>
      <c r="I217" s="73"/>
      <c r="J217" s="34">
        <f t="shared" si="12"/>
        <v>0</v>
      </c>
      <c r="K217" s="2">
        <v>89582</v>
      </c>
      <c r="L217" s="2"/>
      <c r="M217" s="2">
        <f>K217+L217</f>
        <v>89582</v>
      </c>
      <c r="N217" s="3">
        <f t="shared" si="13"/>
        <v>89.6</v>
      </c>
      <c r="O217" s="13"/>
      <c r="P217" s="13"/>
      <c r="Q217" s="13"/>
      <c r="R217" s="13"/>
      <c r="S217" s="13"/>
      <c r="T217" s="13"/>
      <c r="U217" s="13"/>
      <c r="V217" s="13"/>
      <c r="W217" s="13"/>
      <c r="X217" s="13"/>
      <c r="Y217" s="13"/>
      <c r="Z217" s="13"/>
      <c r="AA217" s="13"/>
      <c r="AB217" s="13"/>
      <c r="AC217" s="13"/>
      <c r="AD217" s="13"/>
      <c r="AE217" s="13"/>
      <c r="AF217" s="13"/>
      <c r="AG217" s="13"/>
      <c r="AH217" s="13"/>
      <c r="AI217" s="13"/>
      <c r="AJ217" s="13"/>
      <c r="AK217" s="13"/>
      <c r="AL217" s="13"/>
      <c r="AM217" s="13"/>
      <c r="AN217" s="13"/>
      <c r="AO217" s="13"/>
      <c r="AP217" s="13"/>
      <c r="AQ217" s="13"/>
      <c r="AR217" s="13"/>
      <c r="AS217" s="13"/>
      <c r="AT217" s="13"/>
      <c r="AU217" s="13"/>
      <c r="AV217" s="13"/>
      <c r="AW217" s="13"/>
      <c r="AX217" s="13"/>
      <c r="AY217" s="13"/>
      <c r="AZ217" s="13"/>
      <c r="BA217" s="13"/>
      <c r="BB217" s="13"/>
      <c r="BC217" s="13"/>
      <c r="BD217" s="13"/>
      <c r="BE217" s="13"/>
      <c r="BF217" s="13"/>
      <c r="BG217" s="13"/>
    </row>
    <row r="218" spans="1:59" s="37" customFormat="1" ht="42.75" customHeight="1">
      <c r="A218" s="32"/>
      <c r="B218" s="32"/>
      <c r="C218" s="32"/>
      <c r="D218" s="38" t="s">
        <v>330</v>
      </c>
      <c r="E218" s="74" t="s">
        <v>330</v>
      </c>
      <c r="F218" s="73"/>
      <c r="G218" s="34">
        <f t="shared" si="11"/>
        <v>0</v>
      </c>
      <c r="H218" s="104"/>
      <c r="I218" s="73"/>
      <c r="J218" s="34">
        <f t="shared" si="12"/>
        <v>0</v>
      </c>
      <c r="K218" s="2">
        <v>50000</v>
      </c>
      <c r="L218" s="2"/>
      <c r="M218" s="2">
        <f t="shared" si="7"/>
        <v>50000</v>
      </c>
      <c r="N218" s="3">
        <f t="shared" si="13"/>
        <v>50</v>
      </c>
      <c r="O218" s="13"/>
      <c r="P218" s="13"/>
      <c r="Q218" s="13"/>
      <c r="R218" s="13"/>
      <c r="S218" s="13"/>
      <c r="T218" s="13"/>
      <c r="U218" s="13"/>
      <c r="V218" s="13"/>
      <c r="W218" s="13"/>
      <c r="X218" s="13"/>
      <c r="Y218" s="13"/>
      <c r="Z218" s="13"/>
      <c r="AA218" s="13"/>
      <c r="AB218" s="13"/>
      <c r="AC218" s="13"/>
      <c r="AD218" s="13"/>
      <c r="AE218" s="13"/>
      <c r="AF218" s="13"/>
      <c r="AG218" s="13"/>
      <c r="AH218" s="13"/>
      <c r="AI218" s="13"/>
      <c r="AJ218" s="13"/>
      <c r="AK218" s="13"/>
      <c r="AL218" s="13"/>
      <c r="AM218" s="13"/>
      <c r="AN218" s="13"/>
      <c r="AO218" s="13"/>
      <c r="AP218" s="13"/>
      <c r="AQ218" s="13"/>
      <c r="AR218" s="13"/>
      <c r="AS218" s="13"/>
      <c r="AT218" s="13"/>
      <c r="AU218" s="13"/>
      <c r="AV218" s="13"/>
      <c r="AW218" s="13"/>
      <c r="AX218" s="13"/>
      <c r="AY218" s="13"/>
      <c r="AZ218" s="13"/>
      <c r="BA218" s="13"/>
      <c r="BB218" s="13"/>
      <c r="BC218" s="13"/>
      <c r="BD218" s="13"/>
      <c r="BE218" s="13"/>
      <c r="BF218" s="13"/>
      <c r="BG218" s="13"/>
    </row>
    <row r="219" spans="1:59" s="37" customFormat="1" ht="41.25" customHeight="1">
      <c r="A219" s="32"/>
      <c r="B219" s="32"/>
      <c r="C219" s="32"/>
      <c r="D219" s="38" t="s">
        <v>186</v>
      </c>
      <c r="E219" s="74" t="s">
        <v>186</v>
      </c>
      <c r="F219" s="73"/>
      <c r="G219" s="34">
        <f t="shared" si="11"/>
        <v>0</v>
      </c>
      <c r="H219" s="104"/>
      <c r="I219" s="73"/>
      <c r="J219" s="34">
        <f t="shared" si="12"/>
        <v>0</v>
      </c>
      <c r="K219" s="2">
        <f>41338+45587</f>
        <v>86925</v>
      </c>
      <c r="L219" s="2"/>
      <c r="M219" s="2">
        <f t="shared" si="7"/>
        <v>86925</v>
      </c>
      <c r="N219" s="3">
        <f t="shared" si="13"/>
        <v>86.9</v>
      </c>
      <c r="O219" s="13"/>
      <c r="P219" s="13"/>
      <c r="Q219" s="13"/>
      <c r="R219" s="13"/>
      <c r="S219" s="13"/>
      <c r="T219" s="13"/>
      <c r="U219" s="13"/>
      <c r="V219" s="13"/>
      <c r="W219" s="13"/>
      <c r="X219" s="13"/>
      <c r="Y219" s="13"/>
      <c r="Z219" s="13"/>
      <c r="AA219" s="13"/>
      <c r="AB219" s="13"/>
      <c r="AC219" s="13"/>
      <c r="AD219" s="13"/>
      <c r="AE219" s="13"/>
      <c r="AF219" s="13"/>
      <c r="AG219" s="13"/>
      <c r="AH219" s="13"/>
      <c r="AI219" s="13"/>
      <c r="AJ219" s="13"/>
      <c r="AK219" s="13"/>
      <c r="AL219" s="13"/>
      <c r="AM219" s="13"/>
      <c r="AN219" s="13"/>
      <c r="AO219" s="13"/>
      <c r="AP219" s="13"/>
      <c r="AQ219" s="13"/>
      <c r="AR219" s="13"/>
      <c r="AS219" s="13"/>
      <c r="AT219" s="13"/>
      <c r="AU219" s="13"/>
      <c r="AV219" s="13"/>
      <c r="AW219" s="13"/>
      <c r="AX219" s="13"/>
      <c r="AY219" s="13"/>
      <c r="AZ219" s="13"/>
      <c r="BA219" s="13"/>
      <c r="BB219" s="13"/>
      <c r="BC219" s="13"/>
      <c r="BD219" s="13"/>
      <c r="BE219" s="13"/>
      <c r="BF219" s="13"/>
      <c r="BG219" s="13"/>
    </row>
    <row r="220" spans="1:59" s="37" customFormat="1" ht="57.75" customHeight="1">
      <c r="A220" s="32"/>
      <c r="B220" s="32"/>
      <c r="C220" s="32"/>
      <c r="D220" s="38" t="s">
        <v>187</v>
      </c>
      <c r="E220" s="74" t="s">
        <v>187</v>
      </c>
      <c r="F220" s="73"/>
      <c r="G220" s="34">
        <f t="shared" si="11"/>
        <v>0</v>
      </c>
      <c r="H220" s="104"/>
      <c r="I220" s="73"/>
      <c r="J220" s="34">
        <f t="shared" si="12"/>
        <v>0</v>
      </c>
      <c r="K220" s="2">
        <f>70000+44472</f>
        <v>114472</v>
      </c>
      <c r="L220" s="2"/>
      <c r="M220" s="2">
        <f t="shared" si="7"/>
        <v>114472</v>
      </c>
      <c r="N220" s="3">
        <f t="shared" si="13"/>
        <v>114.5</v>
      </c>
      <c r="O220" s="13"/>
      <c r="P220" s="13"/>
      <c r="Q220" s="13"/>
      <c r="R220" s="13"/>
      <c r="S220" s="13"/>
      <c r="T220" s="13"/>
      <c r="U220" s="13"/>
      <c r="V220" s="13"/>
      <c r="W220" s="13"/>
      <c r="X220" s="13"/>
      <c r="Y220" s="13"/>
      <c r="Z220" s="13"/>
      <c r="AA220" s="13"/>
      <c r="AB220" s="13"/>
      <c r="AC220" s="13"/>
      <c r="AD220" s="13"/>
      <c r="AE220" s="13"/>
      <c r="AF220" s="13"/>
      <c r="AG220" s="13"/>
      <c r="AH220" s="13"/>
      <c r="AI220" s="13"/>
      <c r="AJ220" s="13"/>
      <c r="AK220" s="13"/>
      <c r="AL220" s="13"/>
      <c r="AM220" s="13"/>
      <c r="AN220" s="13"/>
      <c r="AO220" s="13"/>
      <c r="AP220" s="13"/>
      <c r="AQ220" s="13"/>
      <c r="AR220" s="13"/>
      <c r="AS220" s="13"/>
      <c r="AT220" s="13"/>
      <c r="AU220" s="13"/>
      <c r="AV220" s="13"/>
      <c r="AW220" s="13"/>
      <c r="AX220" s="13"/>
      <c r="AY220" s="13"/>
      <c r="AZ220" s="13"/>
      <c r="BA220" s="13"/>
      <c r="BB220" s="13"/>
      <c r="BC220" s="13"/>
      <c r="BD220" s="13"/>
      <c r="BE220" s="13"/>
      <c r="BF220" s="13"/>
      <c r="BG220" s="13"/>
    </row>
    <row r="221" spans="1:59" s="37" customFormat="1" ht="29.25" customHeight="1">
      <c r="A221" s="32"/>
      <c r="B221" s="32"/>
      <c r="C221" s="32"/>
      <c r="D221" s="38" t="s">
        <v>238</v>
      </c>
      <c r="E221" s="74" t="s">
        <v>238</v>
      </c>
      <c r="F221" s="73"/>
      <c r="G221" s="34">
        <f t="shared" si="11"/>
        <v>0</v>
      </c>
      <c r="H221" s="104"/>
      <c r="I221" s="73"/>
      <c r="J221" s="34">
        <f t="shared" si="12"/>
        <v>0</v>
      </c>
      <c r="K221" s="2">
        <v>100000</v>
      </c>
      <c r="L221" s="54"/>
      <c r="M221" s="2">
        <f t="shared" si="7"/>
        <v>100000</v>
      </c>
      <c r="N221" s="3">
        <f t="shared" si="13"/>
        <v>100</v>
      </c>
      <c r="O221" s="13"/>
      <c r="P221" s="13"/>
      <c r="Q221" s="13"/>
      <c r="R221" s="13"/>
      <c r="S221" s="13"/>
      <c r="T221" s="13"/>
      <c r="U221" s="13"/>
      <c r="V221" s="13"/>
      <c r="W221" s="13"/>
      <c r="X221" s="13"/>
      <c r="Y221" s="13"/>
      <c r="Z221" s="13"/>
      <c r="AA221" s="13"/>
      <c r="AB221" s="13"/>
      <c r="AC221" s="13"/>
      <c r="AD221" s="13"/>
      <c r="AE221" s="13"/>
      <c r="AF221" s="13"/>
      <c r="AG221" s="13"/>
      <c r="AH221" s="13"/>
      <c r="AI221" s="13"/>
      <c r="AJ221" s="13"/>
      <c r="AK221" s="13"/>
      <c r="AL221" s="13"/>
      <c r="AM221" s="13"/>
      <c r="AN221" s="13"/>
      <c r="AO221" s="13"/>
      <c r="AP221" s="13"/>
      <c r="AQ221" s="13"/>
      <c r="AR221" s="13"/>
      <c r="AS221" s="13"/>
      <c r="AT221" s="13"/>
      <c r="AU221" s="13"/>
      <c r="AV221" s="13"/>
      <c r="AW221" s="13"/>
      <c r="AX221" s="13"/>
      <c r="AY221" s="13"/>
      <c r="AZ221" s="13"/>
      <c r="BA221" s="13"/>
      <c r="BB221" s="13"/>
      <c r="BC221" s="13"/>
      <c r="BD221" s="13"/>
      <c r="BE221" s="13"/>
      <c r="BF221" s="13"/>
      <c r="BG221" s="13"/>
    </row>
    <row r="222" spans="1:59" s="37" customFormat="1" ht="29.25" customHeight="1">
      <c r="A222" s="32"/>
      <c r="B222" s="32"/>
      <c r="C222" s="32"/>
      <c r="D222" s="38" t="s">
        <v>188</v>
      </c>
      <c r="E222" s="38" t="s">
        <v>188</v>
      </c>
      <c r="F222" s="73"/>
      <c r="G222" s="34">
        <f t="shared" si="11"/>
        <v>0</v>
      </c>
      <c r="H222" s="104"/>
      <c r="I222" s="73"/>
      <c r="J222" s="34">
        <f t="shared" si="12"/>
        <v>0</v>
      </c>
      <c r="K222" s="2">
        <v>375963</v>
      </c>
      <c r="L222" s="54"/>
      <c r="M222" s="2">
        <f t="shared" si="7"/>
        <v>375963</v>
      </c>
      <c r="N222" s="3">
        <f t="shared" si="13"/>
        <v>376</v>
      </c>
      <c r="O222" s="13"/>
      <c r="P222" s="13"/>
      <c r="Q222" s="13"/>
      <c r="R222" s="13"/>
      <c r="S222" s="13"/>
      <c r="T222" s="13"/>
      <c r="U222" s="13"/>
      <c r="V222" s="13"/>
      <c r="W222" s="13"/>
      <c r="X222" s="13"/>
      <c r="Y222" s="13"/>
      <c r="Z222" s="13"/>
      <c r="AA222" s="13"/>
      <c r="AB222" s="13"/>
      <c r="AC222" s="13"/>
      <c r="AD222" s="13"/>
      <c r="AE222" s="13"/>
      <c r="AF222" s="13"/>
      <c r="AG222" s="13"/>
      <c r="AH222" s="13"/>
      <c r="AI222" s="13"/>
      <c r="AJ222" s="13"/>
      <c r="AK222" s="13"/>
      <c r="AL222" s="13"/>
      <c r="AM222" s="13"/>
      <c r="AN222" s="13"/>
      <c r="AO222" s="13"/>
      <c r="AP222" s="13"/>
      <c r="AQ222" s="13"/>
      <c r="AR222" s="13"/>
      <c r="AS222" s="13"/>
      <c r="AT222" s="13"/>
      <c r="AU222" s="13"/>
      <c r="AV222" s="13"/>
      <c r="AW222" s="13"/>
      <c r="AX222" s="13"/>
      <c r="AY222" s="13"/>
      <c r="AZ222" s="13"/>
      <c r="BA222" s="13"/>
      <c r="BB222" s="13"/>
      <c r="BC222" s="13"/>
      <c r="BD222" s="13"/>
      <c r="BE222" s="13"/>
      <c r="BF222" s="13"/>
      <c r="BG222" s="13"/>
    </row>
    <row r="223" spans="1:59" s="37" customFormat="1" ht="34.5" customHeight="1">
      <c r="A223" s="32"/>
      <c r="B223" s="32"/>
      <c r="C223" s="32"/>
      <c r="D223" s="38" t="s">
        <v>189</v>
      </c>
      <c r="E223" s="38" t="s">
        <v>189</v>
      </c>
      <c r="F223" s="73"/>
      <c r="G223" s="34">
        <f t="shared" si="11"/>
        <v>0</v>
      </c>
      <c r="H223" s="104"/>
      <c r="I223" s="73"/>
      <c r="J223" s="34">
        <f t="shared" si="12"/>
        <v>0</v>
      </c>
      <c r="K223" s="2">
        <v>499988</v>
      </c>
      <c r="L223" s="54"/>
      <c r="M223" s="2">
        <f t="shared" si="7"/>
        <v>499988</v>
      </c>
      <c r="N223" s="3">
        <f t="shared" si="13"/>
        <v>500</v>
      </c>
      <c r="O223" s="13"/>
      <c r="P223" s="13"/>
      <c r="Q223" s="13"/>
      <c r="R223" s="13"/>
      <c r="S223" s="13"/>
      <c r="T223" s="13"/>
      <c r="U223" s="13"/>
      <c r="V223" s="13"/>
      <c r="W223" s="13"/>
      <c r="X223" s="13"/>
      <c r="Y223" s="13"/>
      <c r="Z223" s="13"/>
      <c r="AA223" s="13"/>
      <c r="AB223" s="13"/>
      <c r="AC223" s="13"/>
      <c r="AD223" s="13"/>
      <c r="AE223" s="13"/>
      <c r="AF223" s="13"/>
      <c r="AG223" s="13"/>
      <c r="AH223" s="13"/>
      <c r="AI223" s="13"/>
      <c r="AJ223" s="13"/>
      <c r="AK223" s="13"/>
      <c r="AL223" s="13"/>
      <c r="AM223" s="13"/>
      <c r="AN223" s="13"/>
      <c r="AO223" s="13"/>
      <c r="AP223" s="13"/>
      <c r="AQ223" s="13"/>
      <c r="AR223" s="13"/>
      <c r="AS223" s="13"/>
      <c r="AT223" s="13"/>
      <c r="AU223" s="13"/>
      <c r="AV223" s="13"/>
      <c r="AW223" s="13"/>
      <c r="AX223" s="13"/>
      <c r="AY223" s="13"/>
      <c r="AZ223" s="13"/>
      <c r="BA223" s="13"/>
      <c r="BB223" s="13"/>
      <c r="BC223" s="13"/>
      <c r="BD223" s="13"/>
      <c r="BE223" s="13"/>
      <c r="BF223" s="13"/>
      <c r="BG223" s="13"/>
    </row>
    <row r="224" spans="1:59" s="37" customFormat="1" ht="27.75" customHeight="1">
      <c r="A224" s="32"/>
      <c r="B224" s="32"/>
      <c r="C224" s="32"/>
      <c r="D224" s="38" t="s">
        <v>218</v>
      </c>
      <c r="E224" s="38" t="s">
        <v>218</v>
      </c>
      <c r="F224" s="73"/>
      <c r="G224" s="34">
        <f t="shared" si="11"/>
        <v>0</v>
      </c>
      <c r="H224" s="104"/>
      <c r="I224" s="73"/>
      <c r="J224" s="34">
        <f t="shared" si="12"/>
        <v>0</v>
      </c>
      <c r="K224" s="2">
        <v>420000</v>
      </c>
      <c r="L224" s="54"/>
      <c r="M224" s="2">
        <f t="shared" si="7"/>
        <v>420000</v>
      </c>
      <c r="N224" s="3">
        <f t="shared" si="13"/>
        <v>420</v>
      </c>
      <c r="O224" s="13"/>
      <c r="P224" s="13"/>
      <c r="Q224" s="13"/>
      <c r="R224" s="13"/>
      <c r="S224" s="13"/>
      <c r="T224" s="13"/>
      <c r="U224" s="13"/>
      <c r="V224" s="13"/>
      <c r="W224" s="13"/>
      <c r="X224" s="13"/>
      <c r="Y224" s="13"/>
      <c r="Z224" s="13"/>
      <c r="AA224" s="13"/>
      <c r="AB224" s="13"/>
      <c r="AC224" s="13"/>
      <c r="AD224" s="13"/>
      <c r="AE224" s="13"/>
      <c r="AF224" s="13"/>
      <c r="AG224" s="13"/>
      <c r="AH224" s="13"/>
      <c r="AI224" s="13"/>
      <c r="AJ224" s="13"/>
      <c r="AK224" s="13"/>
      <c r="AL224" s="13"/>
      <c r="AM224" s="13"/>
      <c r="AN224" s="13"/>
      <c r="AO224" s="13"/>
      <c r="AP224" s="13"/>
      <c r="AQ224" s="13"/>
      <c r="AR224" s="13"/>
      <c r="AS224" s="13"/>
      <c r="AT224" s="13"/>
      <c r="AU224" s="13"/>
      <c r="AV224" s="13"/>
      <c r="AW224" s="13"/>
      <c r="AX224" s="13"/>
      <c r="AY224" s="13"/>
      <c r="AZ224" s="13"/>
      <c r="BA224" s="13"/>
      <c r="BB224" s="13"/>
      <c r="BC224" s="13"/>
      <c r="BD224" s="13"/>
      <c r="BE224" s="13"/>
      <c r="BF224" s="13"/>
      <c r="BG224" s="13"/>
    </row>
    <row r="225" spans="1:59" s="37" customFormat="1" ht="31.5" customHeight="1">
      <c r="A225" s="32"/>
      <c r="B225" s="32"/>
      <c r="C225" s="32"/>
      <c r="D225" s="38" t="s">
        <v>191</v>
      </c>
      <c r="E225" s="38" t="s">
        <v>191</v>
      </c>
      <c r="F225" s="73"/>
      <c r="G225" s="34">
        <f t="shared" si="11"/>
        <v>0</v>
      </c>
      <c r="H225" s="104"/>
      <c r="I225" s="73"/>
      <c r="J225" s="34">
        <f t="shared" si="12"/>
        <v>0</v>
      </c>
      <c r="K225" s="2">
        <v>500000</v>
      </c>
      <c r="L225" s="54"/>
      <c r="M225" s="2">
        <f t="shared" si="7"/>
        <v>500000</v>
      </c>
      <c r="N225" s="3">
        <f t="shared" si="13"/>
        <v>500</v>
      </c>
      <c r="O225" s="13"/>
      <c r="P225" s="13"/>
      <c r="Q225" s="13"/>
      <c r="R225" s="13"/>
      <c r="S225" s="13"/>
      <c r="T225" s="13"/>
      <c r="U225" s="13"/>
      <c r="V225" s="13"/>
      <c r="W225" s="13"/>
      <c r="X225" s="13"/>
      <c r="Y225" s="13"/>
      <c r="Z225" s="13"/>
      <c r="AA225" s="13"/>
      <c r="AB225" s="13"/>
      <c r="AC225" s="13"/>
      <c r="AD225" s="13"/>
      <c r="AE225" s="13"/>
      <c r="AF225" s="13"/>
      <c r="AG225" s="13"/>
      <c r="AH225" s="13"/>
      <c r="AI225" s="13"/>
      <c r="AJ225" s="13"/>
      <c r="AK225" s="13"/>
      <c r="AL225" s="13"/>
      <c r="AM225" s="13"/>
      <c r="AN225" s="13"/>
      <c r="AO225" s="13"/>
      <c r="AP225" s="13"/>
      <c r="AQ225" s="13"/>
      <c r="AR225" s="13"/>
      <c r="AS225" s="13"/>
      <c r="AT225" s="13"/>
      <c r="AU225" s="13"/>
      <c r="AV225" s="13"/>
      <c r="AW225" s="13"/>
      <c r="AX225" s="13"/>
      <c r="AY225" s="13"/>
      <c r="AZ225" s="13"/>
      <c r="BA225" s="13"/>
      <c r="BB225" s="13"/>
      <c r="BC225" s="13"/>
      <c r="BD225" s="13"/>
      <c r="BE225" s="13"/>
      <c r="BF225" s="13"/>
      <c r="BG225" s="13"/>
    </row>
    <row r="226" spans="1:59" s="37" customFormat="1" ht="59.25" customHeight="1">
      <c r="A226" s="32"/>
      <c r="B226" s="32"/>
      <c r="C226" s="32"/>
      <c r="D226" s="38" t="s">
        <v>190</v>
      </c>
      <c r="E226" s="38" t="s">
        <v>190</v>
      </c>
      <c r="F226" s="73"/>
      <c r="G226" s="34">
        <f t="shared" si="11"/>
        <v>0</v>
      </c>
      <c r="H226" s="104"/>
      <c r="I226" s="73"/>
      <c r="J226" s="34">
        <f t="shared" si="12"/>
        <v>0</v>
      </c>
      <c r="K226" s="2">
        <v>492000</v>
      </c>
      <c r="L226" s="54"/>
      <c r="M226" s="2">
        <f t="shared" si="7"/>
        <v>492000</v>
      </c>
      <c r="N226" s="3">
        <f t="shared" si="13"/>
        <v>492</v>
      </c>
      <c r="O226" s="13"/>
      <c r="P226" s="13"/>
      <c r="Q226" s="13"/>
      <c r="R226" s="13"/>
      <c r="S226" s="13"/>
      <c r="T226" s="13"/>
      <c r="U226" s="13"/>
      <c r="V226" s="13"/>
      <c r="W226" s="13"/>
      <c r="X226" s="13"/>
      <c r="Y226" s="13"/>
      <c r="Z226" s="13"/>
      <c r="AA226" s="13"/>
      <c r="AB226" s="13"/>
      <c r="AC226" s="13"/>
      <c r="AD226" s="13"/>
      <c r="AE226" s="13"/>
      <c r="AF226" s="13"/>
      <c r="AG226" s="13"/>
      <c r="AH226" s="13"/>
      <c r="AI226" s="13"/>
      <c r="AJ226" s="13"/>
      <c r="AK226" s="13"/>
      <c r="AL226" s="13"/>
      <c r="AM226" s="13"/>
      <c r="AN226" s="13"/>
      <c r="AO226" s="13"/>
      <c r="AP226" s="13"/>
      <c r="AQ226" s="13"/>
      <c r="AR226" s="13"/>
      <c r="AS226" s="13"/>
      <c r="AT226" s="13"/>
      <c r="AU226" s="13"/>
      <c r="AV226" s="13"/>
      <c r="AW226" s="13"/>
      <c r="AX226" s="13"/>
      <c r="AY226" s="13"/>
      <c r="AZ226" s="13"/>
      <c r="BA226" s="13"/>
      <c r="BB226" s="13"/>
      <c r="BC226" s="13"/>
      <c r="BD226" s="13"/>
      <c r="BE226" s="13"/>
      <c r="BF226" s="13"/>
      <c r="BG226" s="13"/>
    </row>
    <row r="227" spans="1:59" s="37" customFormat="1" ht="33" customHeight="1">
      <c r="A227" s="32"/>
      <c r="B227" s="32"/>
      <c r="C227" s="32"/>
      <c r="D227" s="38" t="s">
        <v>219</v>
      </c>
      <c r="E227" s="74" t="s">
        <v>219</v>
      </c>
      <c r="F227" s="73"/>
      <c r="G227" s="34">
        <f t="shared" si="11"/>
        <v>0</v>
      </c>
      <c r="H227" s="104"/>
      <c r="I227" s="73"/>
      <c r="J227" s="34">
        <f t="shared" si="12"/>
        <v>0</v>
      </c>
      <c r="K227" s="2">
        <v>406110</v>
      </c>
      <c r="L227" s="54"/>
      <c r="M227" s="2">
        <f t="shared" si="7"/>
        <v>406110</v>
      </c>
      <c r="N227" s="3">
        <f t="shared" si="13"/>
        <v>406.1</v>
      </c>
      <c r="O227" s="13"/>
      <c r="P227" s="13"/>
      <c r="Q227" s="13"/>
      <c r="R227" s="13"/>
      <c r="S227" s="13"/>
      <c r="T227" s="13"/>
      <c r="U227" s="13"/>
      <c r="V227" s="13"/>
      <c r="W227" s="13"/>
      <c r="X227" s="13"/>
      <c r="Y227" s="13"/>
      <c r="Z227" s="13"/>
      <c r="AA227" s="13"/>
      <c r="AB227" s="13"/>
      <c r="AC227" s="13"/>
      <c r="AD227" s="13"/>
      <c r="AE227" s="13"/>
      <c r="AF227" s="13"/>
      <c r="AG227" s="13"/>
      <c r="AH227" s="13"/>
      <c r="AI227" s="13"/>
      <c r="AJ227" s="13"/>
      <c r="AK227" s="13"/>
      <c r="AL227" s="13"/>
      <c r="AM227" s="13"/>
      <c r="AN227" s="13"/>
      <c r="AO227" s="13"/>
      <c r="AP227" s="13"/>
      <c r="AQ227" s="13"/>
      <c r="AR227" s="13"/>
      <c r="AS227" s="13"/>
      <c r="AT227" s="13"/>
      <c r="AU227" s="13"/>
      <c r="AV227" s="13"/>
      <c r="AW227" s="13"/>
      <c r="AX227" s="13"/>
      <c r="AY227" s="13"/>
      <c r="AZ227" s="13"/>
      <c r="BA227" s="13"/>
      <c r="BB227" s="13"/>
      <c r="BC227" s="13"/>
      <c r="BD227" s="13"/>
      <c r="BE227" s="13"/>
      <c r="BF227" s="13"/>
      <c r="BG227" s="13"/>
    </row>
    <row r="228" spans="1:59" s="37" customFormat="1" ht="41.25" customHeight="1">
      <c r="A228" s="32"/>
      <c r="B228" s="32"/>
      <c r="C228" s="32"/>
      <c r="D228" s="38" t="s">
        <v>260</v>
      </c>
      <c r="E228" s="74" t="s">
        <v>260</v>
      </c>
      <c r="F228" s="73"/>
      <c r="G228" s="34">
        <f t="shared" si="11"/>
        <v>0</v>
      </c>
      <c r="H228" s="104"/>
      <c r="I228" s="73"/>
      <c r="J228" s="34">
        <f t="shared" si="12"/>
        <v>0</v>
      </c>
      <c r="K228" s="2">
        <v>500000</v>
      </c>
      <c r="L228" s="2"/>
      <c r="M228" s="2">
        <f t="shared" si="7"/>
        <v>500000</v>
      </c>
      <c r="N228" s="3">
        <f t="shared" si="13"/>
        <v>500</v>
      </c>
      <c r="O228" s="13"/>
      <c r="P228" s="13"/>
      <c r="Q228" s="13"/>
      <c r="R228" s="13"/>
      <c r="S228" s="13"/>
      <c r="T228" s="13"/>
      <c r="U228" s="13"/>
      <c r="V228" s="13"/>
      <c r="W228" s="13"/>
      <c r="X228" s="13"/>
      <c r="Y228" s="13"/>
      <c r="Z228" s="13"/>
      <c r="AA228" s="13"/>
      <c r="AB228" s="13"/>
      <c r="AC228" s="13"/>
      <c r="AD228" s="13"/>
      <c r="AE228" s="13"/>
      <c r="AF228" s="13"/>
      <c r="AG228" s="13"/>
      <c r="AH228" s="13"/>
      <c r="AI228" s="13"/>
      <c r="AJ228" s="13"/>
      <c r="AK228" s="13"/>
      <c r="AL228" s="13"/>
      <c r="AM228" s="13"/>
      <c r="AN228" s="13"/>
      <c r="AO228" s="13"/>
      <c r="AP228" s="13"/>
      <c r="AQ228" s="13"/>
      <c r="AR228" s="13"/>
      <c r="AS228" s="13"/>
      <c r="AT228" s="13"/>
      <c r="AU228" s="13"/>
      <c r="AV228" s="13"/>
      <c r="AW228" s="13"/>
      <c r="AX228" s="13"/>
      <c r="AY228" s="13"/>
      <c r="AZ228" s="13"/>
      <c r="BA228" s="13"/>
      <c r="BB228" s="13"/>
      <c r="BC228" s="13"/>
      <c r="BD228" s="13"/>
      <c r="BE228" s="13"/>
      <c r="BF228" s="13"/>
      <c r="BG228" s="13"/>
    </row>
    <row r="229" spans="1:59" s="37" customFormat="1" ht="45" customHeight="1">
      <c r="A229" s="32"/>
      <c r="B229" s="32"/>
      <c r="C229" s="32"/>
      <c r="D229" s="38" t="s">
        <v>292</v>
      </c>
      <c r="E229" s="74" t="s">
        <v>292</v>
      </c>
      <c r="F229" s="73"/>
      <c r="G229" s="34">
        <f t="shared" si="11"/>
        <v>0</v>
      </c>
      <c r="H229" s="104"/>
      <c r="I229" s="73"/>
      <c r="J229" s="34">
        <f t="shared" si="12"/>
        <v>0</v>
      </c>
      <c r="K229" s="2">
        <v>50000</v>
      </c>
      <c r="L229" s="2">
        <v>-846</v>
      </c>
      <c r="M229" s="2">
        <f>K229+L229</f>
        <v>49154</v>
      </c>
      <c r="N229" s="3">
        <f>ROUND(M229/1000,1)</f>
        <v>49.2</v>
      </c>
      <c r="O229" s="13"/>
      <c r="P229" s="13"/>
      <c r="Q229" s="13"/>
      <c r="R229" s="13"/>
      <c r="S229" s="13"/>
      <c r="T229" s="13"/>
      <c r="U229" s="13"/>
      <c r="V229" s="13"/>
      <c r="W229" s="13"/>
      <c r="X229" s="13"/>
      <c r="Y229" s="13"/>
      <c r="Z229" s="13"/>
      <c r="AA229" s="13"/>
      <c r="AB229" s="13"/>
      <c r="AC229" s="13"/>
      <c r="AD229" s="13"/>
      <c r="AE229" s="13"/>
      <c r="AF229" s="13"/>
      <c r="AG229" s="13"/>
      <c r="AH229" s="13"/>
      <c r="AI229" s="13"/>
      <c r="AJ229" s="13"/>
      <c r="AK229" s="13"/>
      <c r="AL229" s="13"/>
      <c r="AM229" s="13"/>
      <c r="AN229" s="13"/>
      <c r="AO229" s="13"/>
      <c r="AP229" s="13"/>
      <c r="AQ229" s="13"/>
      <c r="AR229" s="13"/>
      <c r="AS229" s="13"/>
      <c r="AT229" s="13"/>
      <c r="AU229" s="13"/>
      <c r="AV229" s="13"/>
      <c r="AW229" s="13"/>
      <c r="AX229" s="13"/>
      <c r="AY229" s="13"/>
      <c r="AZ229" s="13"/>
      <c r="BA229" s="13"/>
      <c r="BB229" s="13"/>
      <c r="BC229" s="13"/>
      <c r="BD229" s="13"/>
      <c r="BE229" s="13"/>
      <c r="BF229" s="13"/>
      <c r="BG229" s="13"/>
    </row>
    <row r="230" spans="1:59" s="37" customFormat="1" ht="39" customHeight="1">
      <c r="A230" s="32"/>
      <c r="B230" s="32"/>
      <c r="C230" s="32"/>
      <c r="D230" s="38" t="s">
        <v>315</v>
      </c>
      <c r="E230" s="74" t="s">
        <v>315</v>
      </c>
      <c r="F230" s="73"/>
      <c r="G230" s="34">
        <f t="shared" si="11"/>
        <v>0</v>
      </c>
      <c r="H230" s="104"/>
      <c r="I230" s="73"/>
      <c r="J230" s="34">
        <f t="shared" si="12"/>
        <v>0</v>
      </c>
      <c r="K230" s="2">
        <v>50000</v>
      </c>
      <c r="L230" s="2"/>
      <c r="M230" s="2">
        <f>K230+L230</f>
        <v>50000</v>
      </c>
      <c r="N230" s="3">
        <f t="shared" si="13"/>
        <v>50</v>
      </c>
      <c r="O230" s="13"/>
      <c r="P230" s="13"/>
      <c r="Q230" s="13"/>
      <c r="R230" s="13"/>
      <c r="S230" s="13"/>
      <c r="T230" s="13"/>
      <c r="U230" s="13"/>
      <c r="V230" s="13"/>
      <c r="W230" s="13"/>
      <c r="X230" s="13"/>
      <c r="Y230" s="13"/>
      <c r="Z230" s="13"/>
      <c r="AA230" s="13"/>
      <c r="AB230" s="13"/>
      <c r="AC230" s="13"/>
      <c r="AD230" s="13"/>
      <c r="AE230" s="13"/>
      <c r="AF230" s="13"/>
      <c r="AG230" s="13"/>
      <c r="AH230" s="13"/>
      <c r="AI230" s="13"/>
      <c r="AJ230" s="13"/>
      <c r="AK230" s="13"/>
      <c r="AL230" s="13"/>
      <c r="AM230" s="13"/>
      <c r="AN230" s="13"/>
      <c r="AO230" s="13"/>
      <c r="AP230" s="13"/>
      <c r="AQ230" s="13"/>
      <c r="AR230" s="13"/>
      <c r="AS230" s="13"/>
      <c r="AT230" s="13"/>
      <c r="AU230" s="13"/>
      <c r="AV230" s="13"/>
      <c r="AW230" s="13"/>
      <c r="AX230" s="13"/>
      <c r="AY230" s="13"/>
      <c r="AZ230" s="13"/>
      <c r="BA230" s="13"/>
      <c r="BB230" s="13"/>
      <c r="BC230" s="13"/>
      <c r="BD230" s="13"/>
      <c r="BE230" s="13"/>
      <c r="BF230" s="13"/>
      <c r="BG230" s="13"/>
    </row>
    <row r="231" spans="1:59" s="37" customFormat="1" ht="39" customHeight="1">
      <c r="A231" s="32"/>
      <c r="B231" s="32"/>
      <c r="C231" s="32"/>
      <c r="D231" s="38" t="s">
        <v>403</v>
      </c>
      <c r="E231" s="74" t="s">
        <v>403</v>
      </c>
      <c r="F231" s="73"/>
      <c r="G231" s="34">
        <f t="shared" si="11"/>
        <v>0</v>
      </c>
      <c r="H231" s="104"/>
      <c r="I231" s="73"/>
      <c r="J231" s="34">
        <f t="shared" si="12"/>
        <v>0</v>
      </c>
      <c r="K231" s="2">
        <v>30000</v>
      </c>
      <c r="L231" s="2"/>
      <c r="M231" s="2">
        <f>K231+L231</f>
        <v>30000</v>
      </c>
      <c r="N231" s="3">
        <f t="shared" si="13"/>
        <v>30</v>
      </c>
      <c r="O231" s="13"/>
      <c r="P231" s="13"/>
      <c r="Q231" s="13"/>
      <c r="R231" s="13"/>
      <c r="S231" s="13"/>
      <c r="T231" s="13"/>
      <c r="U231" s="13"/>
      <c r="V231" s="13"/>
      <c r="W231" s="13"/>
      <c r="X231" s="13"/>
      <c r="Y231" s="13"/>
      <c r="Z231" s="13"/>
      <c r="AA231" s="13"/>
      <c r="AB231" s="13"/>
      <c r="AC231" s="13"/>
      <c r="AD231" s="13"/>
      <c r="AE231" s="13"/>
      <c r="AF231" s="13"/>
      <c r="AG231" s="13"/>
      <c r="AH231" s="13"/>
      <c r="AI231" s="13"/>
      <c r="AJ231" s="13"/>
      <c r="AK231" s="13"/>
      <c r="AL231" s="13"/>
      <c r="AM231" s="13"/>
      <c r="AN231" s="13"/>
      <c r="AO231" s="13"/>
      <c r="AP231" s="13"/>
      <c r="AQ231" s="13"/>
      <c r="AR231" s="13"/>
      <c r="AS231" s="13"/>
      <c r="AT231" s="13"/>
      <c r="AU231" s="13"/>
      <c r="AV231" s="13"/>
      <c r="AW231" s="13"/>
      <c r="AX231" s="13"/>
      <c r="AY231" s="13"/>
      <c r="AZ231" s="13"/>
      <c r="BA231" s="13"/>
      <c r="BB231" s="13"/>
      <c r="BC231" s="13"/>
      <c r="BD231" s="13"/>
      <c r="BE231" s="13"/>
      <c r="BF231" s="13"/>
      <c r="BG231" s="13"/>
    </row>
    <row r="232" spans="1:59" s="37" customFormat="1" ht="39" customHeight="1">
      <c r="A232" s="32"/>
      <c r="B232" s="32"/>
      <c r="C232" s="32"/>
      <c r="D232" s="38" t="s">
        <v>293</v>
      </c>
      <c r="E232" s="74" t="s">
        <v>293</v>
      </c>
      <c r="F232" s="73"/>
      <c r="G232" s="34">
        <f t="shared" si="11"/>
        <v>0</v>
      </c>
      <c r="H232" s="104"/>
      <c r="I232" s="73"/>
      <c r="J232" s="34">
        <f t="shared" si="12"/>
        <v>0</v>
      </c>
      <c r="K232" s="2">
        <v>35000</v>
      </c>
      <c r="L232" s="2"/>
      <c r="M232" s="2">
        <f>K232+L232</f>
        <v>35000</v>
      </c>
      <c r="N232" s="3">
        <f t="shared" si="13"/>
        <v>35</v>
      </c>
      <c r="O232" s="13"/>
      <c r="P232" s="13"/>
      <c r="Q232" s="13"/>
      <c r="R232" s="13"/>
      <c r="S232" s="13"/>
      <c r="T232" s="13"/>
      <c r="U232" s="13"/>
      <c r="V232" s="13"/>
      <c r="W232" s="13"/>
      <c r="X232" s="13"/>
      <c r="Y232" s="13"/>
      <c r="Z232" s="13"/>
      <c r="AA232" s="13"/>
      <c r="AB232" s="13"/>
      <c r="AC232" s="13"/>
      <c r="AD232" s="13"/>
      <c r="AE232" s="13"/>
      <c r="AF232" s="13"/>
      <c r="AG232" s="13"/>
      <c r="AH232" s="13"/>
      <c r="AI232" s="13"/>
      <c r="AJ232" s="13"/>
      <c r="AK232" s="13"/>
      <c r="AL232" s="13"/>
      <c r="AM232" s="13"/>
      <c r="AN232" s="13"/>
      <c r="AO232" s="13"/>
      <c r="AP232" s="13"/>
      <c r="AQ232" s="13"/>
      <c r="AR232" s="13"/>
      <c r="AS232" s="13"/>
      <c r="AT232" s="13"/>
      <c r="AU232" s="13"/>
      <c r="AV232" s="13"/>
      <c r="AW232" s="13"/>
      <c r="AX232" s="13"/>
      <c r="AY232" s="13"/>
      <c r="AZ232" s="13"/>
      <c r="BA232" s="13"/>
      <c r="BB232" s="13"/>
      <c r="BC232" s="13"/>
      <c r="BD232" s="13"/>
      <c r="BE232" s="13"/>
      <c r="BF232" s="13"/>
      <c r="BG232" s="13"/>
    </row>
    <row r="233" spans="1:59" s="37" customFormat="1" ht="39.75" customHeight="1">
      <c r="A233" s="32"/>
      <c r="B233" s="32"/>
      <c r="C233" s="32"/>
      <c r="D233" s="38" t="s">
        <v>294</v>
      </c>
      <c r="E233" s="74" t="s">
        <v>294</v>
      </c>
      <c r="F233" s="73"/>
      <c r="G233" s="34">
        <f t="shared" si="11"/>
        <v>0</v>
      </c>
      <c r="H233" s="104"/>
      <c r="I233" s="73"/>
      <c r="J233" s="34">
        <f t="shared" si="12"/>
        <v>0</v>
      </c>
      <c r="K233" s="2">
        <v>145000</v>
      </c>
      <c r="L233" s="2"/>
      <c r="M233" s="2">
        <f>K233+L233</f>
        <v>145000</v>
      </c>
      <c r="N233" s="3">
        <f t="shared" si="13"/>
        <v>145</v>
      </c>
      <c r="O233" s="13"/>
      <c r="P233" s="13"/>
      <c r="Q233" s="13"/>
      <c r="R233" s="13"/>
      <c r="S233" s="13"/>
      <c r="T233" s="13"/>
      <c r="U233" s="13"/>
      <c r="V233" s="13"/>
      <c r="W233" s="13"/>
      <c r="X233" s="13"/>
      <c r="Y233" s="13"/>
      <c r="Z233" s="13"/>
      <c r="AA233" s="13"/>
      <c r="AB233" s="13"/>
      <c r="AC233" s="13"/>
      <c r="AD233" s="13"/>
      <c r="AE233" s="13"/>
      <c r="AF233" s="13"/>
      <c r="AG233" s="13"/>
      <c r="AH233" s="13"/>
      <c r="AI233" s="13"/>
      <c r="AJ233" s="13"/>
      <c r="AK233" s="13"/>
      <c r="AL233" s="13"/>
      <c r="AM233" s="13"/>
      <c r="AN233" s="13"/>
      <c r="AO233" s="13"/>
      <c r="AP233" s="13"/>
      <c r="AQ233" s="13"/>
      <c r="AR233" s="13"/>
      <c r="AS233" s="13"/>
      <c r="AT233" s="13"/>
      <c r="AU233" s="13"/>
      <c r="AV233" s="13"/>
      <c r="AW233" s="13"/>
      <c r="AX233" s="13"/>
      <c r="AY233" s="13"/>
      <c r="AZ233" s="13"/>
      <c r="BA233" s="13"/>
      <c r="BB233" s="13"/>
      <c r="BC233" s="13"/>
      <c r="BD233" s="13"/>
      <c r="BE233" s="13"/>
      <c r="BF233" s="13"/>
      <c r="BG233" s="13"/>
    </row>
    <row r="234" spans="1:59" s="37" customFormat="1" ht="39" customHeight="1">
      <c r="A234" s="32"/>
      <c r="B234" s="32"/>
      <c r="C234" s="32"/>
      <c r="D234" s="38" t="s">
        <v>272</v>
      </c>
      <c r="E234" s="74" t="s">
        <v>272</v>
      </c>
      <c r="F234" s="73"/>
      <c r="G234" s="34">
        <f t="shared" si="11"/>
        <v>0</v>
      </c>
      <c r="H234" s="104"/>
      <c r="I234" s="73"/>
      <c r="J234" s="34">
        <f t="shared" si="12"/>
        <v>0</v>
      </c>
      <c r="K234" s="2">
        <f>10500+50000</f>
        <v>60500</v>
      </c>
      <c r="L234" s="2"/>
      <c r="M234" s="2">
        <f t="shared" si="7"/>
        <v>60500</v>
      </c>
      <c r="N234" s="3">
        <f t="shared" si="13"/>
        <v>60.5</v>
      </c>
      <c r="O234" s="13"/>
      <c r="P234" s="13"/>
      <c r="Q234" s="13"/>
      <c r="R234" s="13"/>
      <c r="S234" s="13"/>
      <c r="T234" s="13"/>
      <c r="U234" s="13"/>
      <c r="V234" s="13"/>
      <c r="W234" s="13"/>
      <c r="X234" s="13"/>
      <c r="Y234" s="13"/>
      <c r="Z234" s="13"/>
      <c r="AA234" s="13"/>
      <c r="AB234" s="13"/>
      <c r="AC234" s="13"/>
      <c r="AD234" s="13"/>
      <c r="AE234" s="13"/>
      <c r="AF234" s="13"/>
      <c r="AG234" s="13"/>
      <c r="AH234" s="13"/>
      <c r="AI234" s="13"/>
      <c r="AJ234" s="13"/>
      <c r="AK234" s="13"/>
      <c r="AL234" s="13"/>
      <c r="AM234" s="13"/>
      <c r="AN234" s="13"/>
      <c r="AO234" s="13"/>
      <c r="AP234" s="13"/>
      <c r="AQ234" s="13"/>
      <c r="AR234" s="13"/>
      <c r="AS234" s="13"/>
      <c r="AT234" s="13"/>
      <c r="AU234" s="13"/>
      <c r="AV234" s="13"/>
      <c r="AW234" s="13"/>
      <c r="AX234" s="13"/>
      <c r="AY234" s="13"/>
      <c r="AZ234" s="13"/>
      <c r="BA234" s="13"/>
      <c r="BB234" s="13"/>
      <c r="BC234" s="13"/>
      <c r="BD234" s="13"/>
      <c r="BE234" s="13"/>
      <c r="BF234" s="13"/>
      <c r="BG234" s="13"/>
    </row>
    <row r="235" spans="1:59" s="37" customFormat="1" ht="42" customHeight="1">
      <c r="A235" s="32"/>
      <c r="B235" s="32"/>
      <c r="C235" s="32"/>
      <c r="D235" s="38" t="s">
        <v>273</v>
      </c>
      <c r="E235" s="74" t="s">
        <v>273</v>
      </c>
      <c r="F235" s="73"/>
      <c r="G235" s="34">
        <f t="shared" si="11"/>
        <v>0</v>
      </c>
      <c r="H235" s="104"/>
      <c r="I235" s="73"/>
      <c r="J235" s="34">
        <f t="shared" si="12"/>
        <v>0</v>
      </c>
      <c r="K235" s="2">
        <f>10500+50000</f>
        <v>60500</v>
      </c>
      <c r="L235" s="2"/>
      <c r="M235" s="2">
        <f t="shared" si="7"/>
        <v>60500</v>
      </c>
      <c r="N235" s="3">
        <f t="shared" si="13"/>
        <v>60.5</v>
      </c>
      <c r="O235" s="13"/>
      <c r="P235" s="13"/>
      <c r="Q235" s="13"/>
      <c r="R235" s="13"/>
      <c r="S235" s="13"/>
      <c r="T235" s="13"/>
      <c r="U235" s="13"/>
      <c r="V235" s="13"/>
      <c r="W235" s="13"/>
      <c r="X235" s="13"/>
      <c r="Y235" s="13"/>
      <c r="Z235" s="13"/>
      <c r="AA235" s="13"/>
      <c r="AB235" s="13"/>
      <c r="AC235" s="13"/>
      <c r="AD235" s="13"/>
      <c r="AE235" s="13"/>
      <c r="AF235" s="13"/>
      <c r="AG235" s="13"/>
      <c r="AH235" s="13"/>
      <c r="AI235" s="13"/>
      <c r="AJ235" s="13"/>
      <c r="AK235" s="13"/>
      <c r="AL235" s="13"/>
      <c r="AM235" s="13"/>
      <c r="AN235" s="13"/>
      <c r="AO235" s="13"/>
      <c r="AP235" s="13"/>
      <c r="AQ235" s="13"/>
      <c r="AR235" s="13"/>
      <c r="AS235" s="13"/>
      <c r="AT235" s="13"/>
      <c r="AU235" s="13"/>
      <c r="AV235" s="13"/>
      <c r="AW235" s="13"/>
      <c r="AX235" s="13"/>
      <c r="AY235" s="13"/>
      <c r="AZ235" s="13"/>
      <c r="BA235" s="13"/>
      <c r="BB235" s="13"/>
      <c r="BC235" s="13"/>
      <c r="BD235" s="13"/>
      <c r="BE235" s="13"/>
      <c r="BF235" s="13"/>
      <c r="BG235" s="13"/>
    </row>
    <row r="236" spans="1:59" s="37" customFormat="1" ht="42" customHeight="1">
      <c r="A236" s="32"/>
      <c r="B236" s="32"/>
      <c r="C236" s="32"/>
      <c r="D236" s="38" t="s">
        <v>382</v>
      </c>
      <c r="E236" s="74" t="s">
        <v>382</v>
      </c>
      <c r="F236" s="73"/>
      <c r="G236" s="34">
        <f t="shared" si="11"/>
        <v>0</v>
      </c>
      <c r="H236" s="104"/>
      <c r="I236" s="73"/>
      <c r="J236" s="34">
        <f t="shared" si="12"/>
        <v>0</v>
      </c>
      <c r="K236" s="2">
        <v>10000</v>
      </c>
      <c r="L236" s="2"/>
      <c r="M236" s="2">
        <f t="shared" si="7"/>
        <v>10000</v>
      </c>
      <c r="N236" s="3">
        <f t="shared" si="13"/>
        <v>10</v>
      </c>
      <c r="O236" s="13"/>
      <c r="P236" s="13"/>
      <c r="Q236" s="13"/>
      <c r="R236" s="13"/>
      <c r="S236" s="13"/>
      <c r="T236" s="13"/>
      <c r="U236" s="13"/>
      <c r="V236" s="13"/>
      <c r="W236" s="13"/>
      <c r="X236" s="13"/>
      <c r="Y236" s="13"/>
      <c r="Z236" s="13"/>
      <c r="AA236" s="13"/>
      <c r="AB236" s="13"/>
      <c r="AC236" s="13"/>
      <c r="AD236" s="13"/>
      <c r="AE236" s="13"/>
      <c r="AF236" s="13"/>
      <c r="AG236" s="13"/>
      <c r="AH236" s="13"/>
      <c r="AI236" s="13"/>
      <c r="AJ236" s="13"/>
      <c r="AK236" s="13"/>
      <c r="AL236" s="13"/>
      <c r="AM236" s="13"/>
      <c r="AN236" s="13"/>
      <c r="AO236" s="13"/>
      <c r="AP236" s="13"/>
      <c r="AQ236" s="13"/>
      <c r="AR236" s="13"/>
      <c r="AS236" s="13"/>
      <c r="AT236" s="13"/>
      <c r="AU236" s="13"/>
      <c r="AV236" s="13"/>
      <c r="AW236" s="13"/>
      <c r="AX236" s="13"/>
      <c r="AY236" s="13"/>
      <c r="AZ236" s="13"/>
      <c r="BA236" s="13"/>
      <c r="BB236" s="13"/>
      <c r="BC236" s="13"/>
      <c r="BD236" s="13"/>
      <c r="BE236" s="13"/>
      <c r="BF236" s="13"/>
      <c r="BG236" s="13"/>
    </row>
    <row r="237" spans="1:59" s="37" customFormat="1" ht="36" customHeight="1">
      <c r="A237" s="32"/>
      <c r="B237" s="32"/>
      <c r="C237" s="32"/>
      <c r="D237" s="38" t="s">
        <v>380</v>
      </c>
      <c r="E237" s="74" t="s">
        <v>380</v>
      </c>
      <c r="F237" s="73"/>
      <c r="G237" s="34">
        <f t="shared" si="11"/>
        <v>0</v>
      </c>
      <c r="H237" s="104"/>
      <c r="I237" s="73"/>
      <c r="J237" s="34">
        <f t="shared" si="12"/>
        <v>0</v>
      </c>
      <c r="K237" s="2">
        <v>17000</v>
      </c>
      <c r="L237" s="2"/>
      <c r="M237" s="2">
        <f t="shared" si="7"/>
        <v>17000</v>
      </c>
      <c r="N237" s="3">
        <f t="shared" si="13"/>
        <v>17</v>
      </c>
      <c r="O237" s="13"/>
      <c r="P237" s="13"/>
      <c r="Q237" s="13"/>
      <c r="R237" s="13"/>
      <c r="S237" s="13"/>
      <c r="T237" s="13"/>
      <c r="U237" s="13"/>
      <c r="V237" s="13"/>
      <c r="W237" s="13"/>
      <c r="X237" s="13"/>
      <c r="Y237" s="13"/>
      <c r="Z237" s="13"/>
      <c r="AA237" s="13"/>
      <c r="AB237" s="13"/>
      <c r="AC237" s="13"/>
      <c r="AD237" s="13"/>
      <c r="AE237" s="13"/>
      <c r="AF237" s="13"/>
      <c r="AG237" s="13"/>
      <c r="AH237" s="13"/>
      <c r="AI237" s="13"/>
      <c r="AJ237" s="13"/>
      <c r="AK237" s="13"/>
      <c r="AL237" s="13"/>
      <c r="AM237" s="13"/>
      <c r="AN237" s="13"/>
      <c r="AO237" s="13"/>
      <c r="AP237" s="13"/>
      <c r="AQ237" s="13"/>
      <c r="AR237" s="13"/>
      <c r="AS237" s="13"/>
      <c r="AT237" s="13"/>
      <c r="AU237" s="13"/>
      <c r="AV237" s="13"/>
      <c r="AW237" s="13"/>
      <c r="AX237" s="13"/>
      <c r="AY237" s="13"/>
      <c r="AZ237" s="13"/>
      <c r="BA237" s="13"/>
      <c r="BB237" s="13"/>
      <c r="BC237" s="13"/>
      <c r="BD237" s="13"/>
      <c r="BE237" s="13"/>
      <c r="BF237" s="13"/>
      <c r="BG237" s="13"/>
    </row>
    <row r="238" spans="1:59" s="37" customFormat="1" ht="37.5" customHeight="1">
      <c r="A238" s="32"/>
      <c r="B238" s="32"/>
      <c r="C238" s="32"/>
      <c r="D238" s="38" t="s">
        <v>379</v>
      </c>
      <c r="E238" s="74" t="s">
        <v>379</v>
      </c>
      <c r="F238" s="73"/>
      <c r="G238" s="34">
        <f t="shared" si="11"/>
        <v>0</v>
      </c>
      <c r="H238" s="104"/>
      <c r="I238" s="73"/>
      <c r="J238" s="34">
        <f t="shared" si="12"/>
        <v>0</v>
      </c>
      <c r="K238" s="2">
        <v>10000</v>
      </c>
      <c r="L238" s="2"/>
      <c r="M238" s="2">
        <f t="shared" si="7"/>
        <v>10000</v>
      </c>
      <c r="N238" s="3">
        <f t="shared" si="13"/>
        <v>10</v>
      </c>
      <c r="O238" s="13"/>
      <c r="P238" s="13"/>
      <c r="Q238" s="13"/>
      <c r="R238" s="13"/>
      <c r="S238" s="13"/>
      <c r="T238" s="13"/>
      <c r="U238" s="13"/>
      <c r="V238" s="13"/>
      <c r="W238" s="13"/>
      <c r="X238" s="13"/>
      <c r="Y238" s="13"/>
      <c r="Z238" s="13"/>
      <c r="AA238" s="13"/>
      <c r="AB238" s="13"/>
      <c r="AC238" s="13"/>
      <c r="AD238" s="13"/>
      <c r="AE238" s="13"/>
      <c r="AF238" s="13"/>
      <c r="AG238" s="13"/>
      <c r="AH238" s="13"/>
      <c r="AI238" s="13"/>
      <c r="AJ238" s="13"/>
      <c r="AK238" s="13"/>
      <c r="AL238" s="13"/>
      <c r="AM238" s="13"/>
      <c r="AN238" s="13"/>
      <c r="AO238" s="13"/>
      <c r="AP238" s="13"/>
      <c r="AQ238" s="13"/>
      <c r="AR238" s="13"/>
      <c r="AS238" s="13"/>
      <c r="AT238" s="13"/>
      <c r="AU238" s="13"/>
      <c r="AV238" s="13"/>
      <c r="AW238" s="13"/>
      <c r="AX238" s="13"/>
      <c r="AY238" s="13"/>
      <c r="AZ238" s="13"/>
      <c r="BA238" s="13"/>
      <c r="BB238" s="13"/>
      <c r="BC238" s="13"/>
      <c r="BD238" s="13"/>
      <c r="BE238" s="13"/>
      <c r="BF238" s="13"/>
      <c r="BG238" s="13"/>
    </row>
    <row r="239" spans="1:59" s="37" customFormat="1" ht="42" customHeight="1">
      <c r="A239" s="32"/>
      <c r="B239" s="32"/>
      <c r="C239" s="32"/>
      <c r="D239" s="38" t="s">
        <v>381</v>
      </c>
      <c r="E239" s="74" t="s">
        <v>381</v>
      </c>
      <c r="F239" s="73"/>
      <c r="G239" s="34">
        <f t="shared" si="11"/>
        <v>0</v>
      </c>
      <c r="H239" s="104"/>
      <c r="I239" s="73"/>
      <c r="J239" s="34">
        <f t="shared" si="12"/>
        <v>0</v>
      </c>
      <c r="K239" s="2">
        <v>24000</v>
      </c>
      <c r="L239" s="2"/>
      <c r="M239" s="2">
        <f t="shared" si="7"/>
        <v>24000</v>
      </c>
      <c r="N239" s="3">
        <f t="shared" si="13"/>
        <v>24</v>
      </c>
      <c r="O239" s="13"/>
      <c r="P239" s="13"/>
      <c r="Q239" s="13"/>
      <c r="R239" s="13"/>
      <c r="S239" s="13"/>
      <c r="T239" s="13"/>
      <c r="U239" s="13"/>
      <c r="V239" s="13"/>
      <c r="W239" s="13"/>
      <c r="X239" s="13"/>
      <c r="Y239" s="13"/>
      <c r="Z239" s="13"/>
      <c r="AA239" s="13"/>
      <c r="AB239" s="13"/>
      <c r="AC239" s="13"/>
      <c r="AD239" s="13"/>
      <c r="AE239" s="13"/>
      <c r="AF239" s="13"/>
      <c r="AG239" s="13"/>
      <c r="AH239" s="13"/>
      <c r="AI239" s="13"/>
      <c r="AJ239" s="13"/>
      <c r="AK239" s="13"/>
      <c r="AL239" s="13"/>
      <c r="AM239" s="13"/>
      <c r="AN239" s="13"/>
      <c r="AO239" s="13"/>
      <c r="AP239" s="13"/>
      <c r="AQ239" s="13"/>
      <c r="AR239" s="13"/>
      <c r="AS239" s="13"/>
      <c r="AT239" s="13"/>
      <c r="AU239" s="13"/>
      <c r="AV239" s="13"/>
      <c r="AW239" s="13"/>
      <c r="AX239" s="13"/>
      <c r="AY239" s="13"/>
      <c r="AZ239" s="13"/>
      <c r="BA239" s="13"/>
      <c r="BB239" s="13"/>
      <c r="BC239" s="13"/>
      <c r="BD239" s="13"/>
      <c r="BE239" s="13"/>
      <c r="BF239" s="13"/>
      <c r="BG239" s="13"/>
    </row>
    <row r="240" spans="1:59" s="37" customFormat="1" ht="42.75" customHeight="1">
      <c r="A240" s="32"/>
      <c r="B240" s="32"/>
      <c r="C240" s="32"/>
      <c r="D240" s="38" t="s">
        <v>374</v>
      </c>
      <c r="E240" s="38" t="s">
        <v>374</v>
      </c>
      <c r="F240" s="73"/>
      <c r="G240" s="34">
        <f t="shared" si="11"/>
        <v>0</v>
      </c>
      <c r="H240" s="104"/>
      <c r="I240" s="73"/>
      <c r="J240" s="34">
        <f t="shared" si="12"/>
        <v>0</v>
      </c>
      <c r="K240" s="2">
        <v>20000</v>
      </c>
      <c r="L240" s="2"/>
      <c r="M240" s="2">
        <f>K240+L240</f>
        <v>20000</v>
      </c>
      <c r="N240" s="3">
        <f t="shared" si="13"/>
        <v>20</v>
      </c>
      <c r="O240" s="13"/>
      <c r="P240" s="13"/>
      <c r="Q240" s="13"/>
      <c r="R240" s="13"/>
      <c r="S240" s="13"/>
      <c r="T240" s="13"/>
      <c r="U240" s="13"/>
      <c r="V240" s="13"/>
      <c r="W240" s="13"/>
      <c r="X240" s="13"/>
      <c r="Y240" s="13"/>
      <c r="Z240" s="13"/>
      <c r="AA240" s="13"/>
      <c r="AB240" s="13"/>
      <c r="AC240" s="13"/>
      <c r="AD240" s="13"/>
      <c r="AE240" s="13"/>
      <c r="AF240" s="13"/>
      <c r="AG240" s="13"/>
      <c r="AH240" s="13"/>
      <c r="AI240" s="13"/>
      <c r="AJ240" s="13"/>
      <c r="AK240" s="13"/>
      <c r="AL240" s="13"/>
      <c r="AM240" s="13"/>
      <c r="AN240" s="13"/>
      <c r="AO240" s="13"/>
      <c r="AP240" s="13"/>
      <c r="AQ240" s="13"/>
      <c r="AR240" s="13"/>
      <c r="AS240" s="13"/>
      <c r="AT240" s="13"/>
      <c r="AU240" s="13"/>
      <c r="AV240" s="13"/>
      <c r="AW240" s="13"/>
      <c r="AX240" s="13"/>
      <c r="AY240" s="13"/>
      <c r="AZ240" s="13"/>
      <c r="BA240" s="13"/>
      <c r="BB240" s="13"/>
      <c r="BC240" s="13"/>
      <c r="BD240" s="13"/>
      <c r="BE240" s="13"/>
      <c r="BF240" s="13"/>
      <c r="BG240" s="13"/>
    </row>
    <row r="241" spans="1:59" s="37" customFormat="1" ht="39" customHeight="1">
      <c r="A241" s="32"/>
      <c r="B241" s="32"/>
      <c r="C241" s="32"/>
      <c r="D241" s="38" t="s">
        <v>314</v>
      </c>
      <c r="E241" s="74" t="s">
        <v>314</v>
      </c>
      <c r="F241" s="73"/>
      <c r="G241" s="34">
        <f t="shared" si="11"/>
        <v>0</v>
      </c>
      <c r="H241" s="104"/>
      <c r="I241" s="73"/>
      <c r="J241" s="34">
        <f t="shared" si="12"/>
        <v>0</v>
      </c>
      <c r="K241" s="2">
        <v>50000</v>
      </c>
      <c r="L241" s="2"/>
      <c r="M241" s="2">
        <f t="shared" si="7"/>
        <v>50000</v>
      </c>
      <c r="N241" s="3">
        <f t="shared" si="13"/>
        <v>50</v>
      </c>
      <c r="O241" s="13"/>
      <c r="P241" s="13"/>
      <c r="Q241" s="13"/>
      <c r="R241" s="13"/>
      <c r="S241" s="13"/>
      <c r="T241" s="13"/>
      <c r="U241" s="13"/>
      <c r="V241" s="13"/>
      <c r="W241" s="13"/>
      <c r="X241" s="13"/>
      <c r="Y241" s="13"/>
      <c r="Z241" s="13"/>
      <c r="AA241" s="13"/>
      <c r="AB241" s="13"/>
      <c r="AC241" s="13"/>
      <c r="AD241" s="13"/>
      <c r="AE241" s="13"/>
      <c r="AF241" s="13"/>
      <c r="AG241" s="13"/>
      <c r="AH241" s="13"/>
      <c r="AI241" s="13"/>
      <c r="AJ241" s="13"/>
      <c r="AK241" s="13"/>
      <c r="AL241" s="13"/>
      <c r="AM241" s="13"/>
      <c r="AN241" s="13"/>
      <c r="AO241" s="13"/>
      <c r="AP241" s="13"/>
      <c r="AQ241" s="13"/>
      <c r="AR241" s="13"/>
      <c r="AS241" s="13"/>
      <c r="AT241" s="13"/>
      <c r="AU241" s="13"/>
      <c r="AV241" s="13"/>
      <c r="AW241" s="13"/>
      <c r="AX241" s="13"/>
      <c r="AY241" s="13"/>
      <c r="AZ241" s="13"/>
      <c r="BA241" s="13"/>
      <c r="BB241" s="13"/>
      <c r="BC241" s="13"/>
      <c r="BD241" s="13"/>
      <c r="BE241" s="13"/>
      <c r="BF241" s="13"/>
      <c r="BG241" s="13"/>
    </row>
    <row r="242" spans="1:59" s="66" customFormat="1" ht="29.25" customHeight="1">
      <c r="A242" s="31"/>
      <c r="B242" s="31"/>
      <c r="C242" s="31"/>
      <c r="D242" s="61" t="s">
        <v>193</v>
      </c>
      <c r="E242" s="61" t="s">
        <v>193</v>
      </c>
      <c r="F242" s="75"/>
      <c r="G242" s="64">
        <f t="shared" si="11"/>
        <v>0</v>
      </c>
      <c r="H242" s="105"/>
      <c r="I242" s="75"/>
      <c r="J242" s="64">
        <f t="shared" si="12"/>
        <v>0</v>
      </c>
      <c r="K242" s="35">
        <f>SUM(K243:K247)</f>
        <v>450000</v>
      </c>
      <c r="L242" s="35">
        <f>SUM(L243:L247)</f>
        <v>0</v>
      </c>
      <c r="M242" s="35">
        <f>SUM(M243:M247)</f>
        <v>450000</v>
      </c>
      <c r="N242" s="36">
        <f>SUM(N243:N247)</f>
        <v>450</v>
      </c>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c r="BG242" s="65"/>
    </row>
    <row r="243" spans="1:59" s="37" customFormat="1" ht="37.5" customHeight="1">
      <c r="A243" s="32"/>
      <c r="B243" s="32"/>
      <c r="C243" s="32"/>
      <c r="D243" s="38" t="s">
        <v>395</v>
      </c>
      <c r="E243" s="38" t="s">
        <v>395</v>
      </c>
      <c r="F243" s="73"/>
      <c r="G243" s="34">
        <f t="shared" si="11"/>
        <v>0</v>
      </c>
      <c r="H243" s="104"/>
      <c r="I243" s="73"/>
      <c r="J243" s="34">
        <f t="shared" si="12"/>
        <v>0</v>
      </c>
      <c r="K243" s="2">
        <v>90000</v>
      </c>
      <c r="L243" s="2"/>
      <c r="M243" s="2">
        <f t="shared" si="7"/>
        <v>90000</v>
      </c>
      <c r="N243" s="3">
        <f t="shared" si="13"/>
        <v>90</v>
      </c>
      <c r="O243" s="13"/>
      <c r="P243" s="13"/>
      <c r="Q243" s="13"/>
      <c r="R243" s="13"/>
      <c r="S243" s="13"/>
      <c r="T243" s="13"/>
      <c r="U243" s="13"/>
      <c r="V243" s="13"/>
      <c r="W243" s="13"/>
      <c r="X243" s="13"/>
      <c r="Y243" s="13"/>
      <c r="Z243" s="13"/>
      <c r="AA243" s="13"/>
      <c r="AB243" s="13"/>
      <c r="AC243" s="13"/>
      <c r="AD243" s="13"/>
      <c r="AE243" s="13"/>
      <c r="AF243" s="13"/>
      <c r="AG243" s="13"/>
      <c r="AH243" s="13"/>
      <c r="AI243" s="13"/>
      <c r="AJ243" s="13"/>
      <c r="AK243" s="13"/>
      <c r="AL243" s="13"/>
      <c r="AM243" s="13"/>
      <c r="AN243" s="13"/>
      <c r="AO243" s="13"/>
      <c r="AP243" s="13"/>
      <c r="AQ243" s="13"/>
      <c r="AR243" s="13"/>
      <c r="AS243" s="13"/>
      <c r="AT243" s="13"/>
      <c r="AU243" s="13"/>
      <c r="AV243" s="13"/>
      <c r="AW243" s="13"/>
      <c r="AX243" s="13"/>
      <c r="AY243" s="13"/>
      <c r="AZ243" s="13"/>
      <c r="BA243" s="13"/>
      <c r="BB243" s="13"/>
      <c r="BC243" s="13"/>
      <c r="BD243" s="13"/>
      <c r="BE243" s="13"/>
      <c r="BF243" s="13"/>
      <c r="BG243" s="13"/>
    </row>
    <row r="244" spans="1:59" s="37" customFormat="1" ht="36" customHeight="1">
      <c r="A244" s="32"/>
      <c r="B244" s="32"/>
      <c r="C244" s="32"/>
      <c r="D244" s="38" t="s">
        <v>234</v>
      </c>
      <c r="E244" s="38" t="s">
        <v>234</v>
      </c>
      <c r="F244" s="73"/>
      <c r="G244" s="34">
        <f t="shared" si="11"/>
        <v>0</v>
      </c>
      <c r="H244" s="104"/>
      <c r="I244" s="73"/>
      <c r="J244" s="34">
        <f t="shared" si="12"/>
        <v>0</v>
      </c>
      <c r="K244" s="2">
        <f>70000+20000</f>
        <v>90000</v>
      </c>
      <c r="L244" s="2"/>
      <c r="M244" s="2">
        <f t="shared" si="7"/>
        <v>90000</v>
      </c>
      <c r="N244" s="3">
        <f t="shared" si="13"/>
        <v>90</v>
      </c>
      <c r="O244" s="13"/>
      <c r="P244" s="13"/>
      <c r="Q244" s="13"/>
      <c r="R244" s="13"/>
      <c r="S244" s="13"/>
      <c r="T244" s="13"/>
      <c r="U244" s="13"/>
      <c r="V244" s="13"/>
      <c r="W244" s="13"/>
      <c r="X244" s="13"/>
      <c r="Y244" s="13"/>
      <c r="Z244" s="13"/>
      <c r="AA244" s="13"/>
      <c r="AB244" s="13"/>
      <c r="AC244" s="13"/>
      <c r="AD244" s="13"/>
      <c r="AE244" s="13"/>
      <c r="AF244" s="13"/>
      <c r="AG244" s="13"/>
      <c r="AH244" s="13"/>
      <c r="AI244" s="13"/>
      <c r="AJ244" s="13"/>
      <c r="AK244" s="13"/>
      <c r="AL244" s="13"/>
      <c r="AM244" s="13"/>
      <c r="AN244" s="13"/>
      <c r="AO244" s="13"/>
      <c r="AP244" s="13"/>
      <c r="AQ244" s="13"/>
      <c r="AR244" s="13"/>
      <c r="AS244" s="13"/>
      <c r="AT244" s="13"/>
      <c r="AU244" s="13"/>
      <c r="AV244" s="13"/>
      <c r="AW244" s="13"/>
      <c r="AX244" s="13"/>
      <c r="AY244" s="13"/>
      <c r="AZ244" s="13"/>
      <c r="BA244" s="13"/>
      <c r="BB244" s="13"/>
      <c r="BC244" s="13"/>
      <c r="BD244" s="13"/>
      <c r="BE244" s="13"/>
      <c r="BF244" s="13"/>
      <c r="BG244" s="13"/>
    </row>
    <row r="245" spans="1:59" s="37" customFormat="1" ht="47.25" customHeight="1">
      <c r="A245" s="32"/>
      <c r="B245" s="32"/>
      <c r="C245" s="32"/>
      <c r="D245" s="38" t="s">
        <v>215</v>
      </c>
      <c r="E245" s="38" t="s">
        <v>215</v>
      </c>
      <c r="F245" s="73"/>
      <c r="G245" s="34">
        <f t="shared" si="11"/>
        <v>0</v>
      </c>
      <c r="H245" s="104"/>
      <c r="I245" s="73"/>
      <c r="J245" s="34">
        <f t="shared" si="12"/>
        <v>0</v>
      </c>
      <c r="K245" s="2">
        <f>70000+20000</f>
        <v>90000</v>
      </c>
      <c r="L245" s="2"/>
      <c r="M245" s="2">
        <f t="shared" si="7"/>
        <v>90000</v>
      </c>
      <c r="N245" s="3">
        <f t="shared" si="13"/>
        <v>90</v>
      </c>
      <c r="O245" s="13"/>
      <c r="P245" s="13"/>
      <c r="Q245" s="13"/>
      <c r="R245" s="13"/>
      <c r="S245" s="13"/>
      <c r="T245" s="13"/>
      <c r="U245" s="13"/>
      <c r="V245" s="13"/>
      <c r="W245" s="13"/>
      <c r="X245" s="13"/>
      <c r="Y245" s="13"/>
      <c r="Z245" s="13"/>
      <c r="AA245" s="13"/>
      <c r="AB245" s="13"/>
      <c r="AC245" s="13"/>
      <c r="AD245" s="13"/>
      <c r="AE245" s="13"/>
      <c r="AF245" s="13"/>
      <c r="AG245" s="13"/>
      <c r="AH245" s="13"/>
      <c r="AI245" s="13"/>
      <c r="AJ245" s="13"/>
      <c r="AK245" s="13"/>
      <c r="AL245" s="13"/>
      <c r="AM245" s="13"/>
      <c r="AN245" s="13"/>
      <c r="AO245" s="13"/>
      <c r="AP245" s="13"/>
      <c r="AQ245" s="13"/>
      <c r="AR245" s="13"/>
      <c r="AS245" s="13"/>
      <c r="AT245" s="13"/>
      <c r="AU245" s="13"/>
      <c r="AV245" s="13"/>
      <c r="AW245" s="13"/>
      <c r="AX245" s="13"/>
      <c r="AY245" s="13"/>
      <c r="AZ245" s="13"/>
      <c r="BA245" s="13"/>
      <c r="BB245" s="13"/>
      <c r="BC245" s="13"/>
      <c r="BD245" s="13"/>
      <c r="BE245" s="13"/>
      <c r="BF245" s="13"/>
      <c r="BG245" s="13"/>
    </row>
    <row r="246" spans="1:59" s="37" customFormat="1" ht="41.25" customHeight="1">
      <c r="A246" s="32"/>
      <c r="B246" s="32"/>
      <c r="C246" s="32"/>
      <c r="D246" s="38" t="s">
        <v>216</v>
      </c>
      <c r="E246" s="38" t="s">
        <v>216</v>
      </c>
      <c r="F246" s="73"/>
      <c r="G246" s="34">
        <f t="shared" si="11"/>
        <v>0</v>
      </c>
      <c r="H246" s="104"/>
      <c r="I246" s="73"/>
      <c r="J246" s="34">
        <f t="shared" si="12"/>
        <v>0</v>
      </c>
      <c r="K246" s="2">
        <f>70000+20000</f>
        <v>90000</v>
      </c>
      <c r="L246" s="2"/>
      <c r="M246" s="2">
        <f t="shared" si="7"/>
        <v>90000</v>
      </c>
      <c r="N246" s="3">
        <f t="shared" si="13"/>
        <v>90</v>
      </c>
      <c r="O246" s="13"/>
      <c r="P246" s="13"/>
      <c r="Q246" s="13"/>
      <c r="R246" s="13"/>
      <c r="S246" s="13"/>
      <c r="T246" s="13"/>
      <c r="U246" s="13"/>
      <c r="V246" s="13"/>
      <c r="W246" s="13"/>
      <c r="X246" s="13"/>
      <c r="Y246" s="13"/>
      <c r="Z246" s="13"/>
      <c r="AA246" s="13"/>
      <c r="AB246" s="13"/>
      <c r="AC246" s="13"/>
      <c r="AD246" s="13"/>
      <c r="AE246" s="13"/>
      <c r="AF246" s="13"/>
      <c r="AG246" s="13"/>
      <c r="AH246" s="13"/>
      <c r="AI246" s="13"/>
      <c r="AJ246" s="13"/>
      <c r="AK246" s="13"/>
      <c r="AL246" s="13"/>
      <c r="AM246" s="13"/>
      <c r="AN246" s="13"/>
      <c r="AO246" s="13"/>
      <c r="AP246" s="13"/>
      <c r="AQ246" s="13"/>
      <c r="AR246" s="13"/>
      <c r="AS246" s="13"/>
      <c r="AT246" s="13"/>
      <c r="AU246" s="13"/>
      <c r="AV246" s="13"/>
      <c r="AW246" s="13"/>
      <c r="AX246" s="13"/>
      <c r="AY246" s="13"/>
      <c r="AZ246" s="13"/>
      <c r="BA246" s="13"/>
      <c r="BB246" s="13"/>
      <c r="BC246" s="13"/>
      <c r="BD246" s="13"/>
      <c r="BE246" s="13"/>
      <c r="BF246" s="13"/>
      <c r="BG246" s="13"/>
    </row>
    <row r="247" spans="1:59" s="37" customFormat="1" ht="39" customHeight="1">
      <c r="A247" s="32"/>
      <c r="B247" s="32"/>
      <c r="C247" s="32"/>
      <c r="D247" s="38" t="s">
        <v>217</v>
      </c>
      <c r="E247" s="38" t="s">
        <v>217</v>
      </c>
      <c r="F247" s="73"/>
      <c r="G247" s="34">
        <f t="shared" si="11"/>
        <v>0</v>
      </c>
      <c r="H247" s="104"/>
      <c r="I247" s="73"/>
      <c r="J247" s="34">
        <f t="shared" si="12"/>
        <v>0</v>
      </c>
      <c r="K247" s="2">
        <f>70000+20000</f>
        <v>90000</v>
      </c>
      <c r="L247" s="2"/>
      <c r="M247" s="2">
        <f t="shared" si="7"/>
        <v>90000</v>
      </c>
      <c r="N247" s="3">
        <f t="shared" si="13"/>
        <v>90</v>
      </c>
      <c r="O247" s="13"/>
      <c r="P247" s="13"/>
      <c r="Q247" s="13"/>
      <c r="R247" s="13"/>
      <c r="S247" s="13"/>
      <c r="T247" s="13"/>
      <c r="U247" s="13"/>
      <c r="V247" s="13"/>
      <c r="W247" s="13"/>
      <c r="X247" s="13"/>
      <c r="Y247" s="13"/>
      <c r="Z247" s="13"/>
      <c r="AA247" s="13"/>
      <c r="AB247" s="13"/>
      <c r="AC247" s="13"/>
      <c r="AD247" s="13"/>
      <c r="AE247" s="13"/>
      <c r="AF247" s="13"/>
      <c r="AG247" s="13"/>
      <c r="AH247" s="13"/>
      <c r="AI247" s="13"/>
      <c r="AJ247" s="13"/>
      <c r="AK247" s="13"/>
      <c r="AL247" s="13"/>
      <c r="AM247" s="13"/>
      <c r="AN247" s="13"/>
      <c r="AO247" s="13"/>
      <c r="AP247" s="13"/>
      <c r="AQ247" s="13"/>
      <c r="AR247" s="13"/>
      <c r="AS247" s="13"/>
      <c r="AT247" s="13"/>
      <c r="AU247" s="13"/>
      <c r="AV247" s="13"/>
      <c r="AW247" s="13"/>
      <c r="AX247" s="13"/>
      <c r="AY247" s="13"/>
      <c r="AZ247" s="13"/>
      <c r="BA247" s="13"/>
      <c r="BB247" s="13"/>
      <c r="BC247" s="13"/>
      <c r="BD247" s="13"/>
      <c r="BE247" s="13"/>
      <c r="BF247" s="13"/>
      <c r="BG247" s="13"/>
    </row>
    <row r="248" spans="1:59" s="66" customFormat="1" ht="27.75" customHeight="1">
      <c r="A248" s="31"/>
      <c r="B248" s="31"/>
      <c r="C248" s="31"/>
      <c r="D248" s="61" t="s">
        <v>192</v>
      </c>
      <c r="E248" s="61" t="s">
        <v>192</v>
      </c>
      <c r="F248" s="75"/>
      <c r="G248" s="64">
        <f t="shared" si="11"/>
        <v>0</v>
      </c>
      <c r="H248" s="105"/>
      <c r="I248" s="75"/>
      <c r="J248" s="64">
        <f t="shared" si="12"/>
        <v>0</v>
      </c>
      <c r="K248" s="35">
        <f>SUM(K249:K305)</f>
        <v>95707143</v>
      </c>
      <c r="L248" s="35">
        <f>SUM(L249:L305)</f>
        <v>59000</v>
      </c>
      <c r="M248" s="35">
        <f>SUM(M249:M305)</f>
        <v>95766143</v>
      </c>
      <c r="N248" s="36">
        <f>SUM(N249:N305)</f>
        <v>95766.1</v>
      </c>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c r="BG248" s="65"/>
    </row>
    <row r="249" spans="1:59" s="37" customFormat="1" ht="33" customHeight="1">
      <c r="A249" s="32"/>
      <c r="B249" s="32"/>
      <c r="C249" s="32"/>
      <c r="D249" s="38" t="s">
        <v>194</v>
      </c>
      <c r="E249" s="38" t="s">
        <v>194</v>
      </c>
      <c r="F249" s="73">
        <v>9995386</v>
      </c>
      <c r="G249" s="34">
        <f t="shared" si="11"/>
        <v>9995.4</v>
      </c>
      <c r="H249" s="103">
        <v>24</v>
      </c>
      <c r="I249" s="73">
        <v>2401568</v>
      </c>
      <c r="J249" s="34">
        <f t="shared" si="12"/>
        <v>2401.6</v>
      </c>
      <c r="K249" s="2">
        <f>200000+500000</f>
        <v>700000</v>
      </c>
      <c r="L249" s="2"/>
      <c r="M249" s="2">
        <f aca="true" t="shared" si="14" ref="M249:M324">K249+L249</f>
        <v>700000</v>
      </c>
      <c r="N249" s="3">
        <f t="shared" si="13"/>
        <v>700</v>
      </c>
      <c r="O249" s="13"/>
      <c r="P249" s="13"/>
      <c r="Q249" s="13"/>
      <c r="R249" s="13"/>
      <c r="S249" s="13"/>
      <c r="T249" s="13"/>
      <c r="U249" s="13"/>
      <c r="V249" s="13"/>
      <c r="W249" s="13"/>
      <c r="X249" s="13"/>
      <c r="Y249" s="13"/>
      <c r="Z249" s="13"/>
      <c r="AA249" s="13"/>
      <c r="AB249" s="13"/>
      <c r="AC249" s="13"/>
      <c r="AD249" s="13"/>
      <c r="AE249" s="13"/>
      <c r="AF249" s="13"/>
      <c r="AG249" s="13"/>
      <c r="AH249" s="13"/>
      <c r="AI249" s="13"/>
      <c r="AJ249" s="13"/>
      <c r="AK249" s="13"/>
      <c r="AL249" s="13"/>
      <c r="AM249" s="13"/>
      <c r="AN249" s="13"/>
      <c r="AO249" s="13"/>
      <c r="AP249" s="13"/>
      <c r="AQ249" s="13"/>
      <c r="AR249" s="13"/>
      <c r="AS249" s="13"/>
      <c r="AT249" s="13"/>
      <c r="AU249" s="13"/>
      <c r="AV249" s="13"/>
      <c r="AW249" s="13"/>
      <c r="AX249" s="13"/>
      <c r="AY249" s="13"/>
      <c r="AZ249" s="13"/>
      <c r="BA249" s="13"/>
      <c r="BB249" s="13"/>
      <c r="BC249" s="13"/>
      <c r="BD249" s="13"/>
      <c r="BE249" s="13"/>
      <c r="BF249" s="13"/>
      <c r="BG249" s="13"/>
    </row>
    <row r="250" spans="1:59" s="37" customFormat="1" ht="36" customHeight="1">
      <c r="A250" s="32"/>
      <c r="B250" s="32"/>
      <c r="C250" s="32"/>
      <c r="D250" s="38" t="s">
        <v>195</v>
      </c>
      <c r="E250" s="38" t="s">
        <v>195</v>
      </c>
      <c r="F250" s="73">
        <v>11282117</v>
      </c>
      <c r="G250" s="34">
        <f t="shared" si="11"/>
        <v>11282.1</v>
      </c>
      <c r="H250" s="103">
        <v>61</v>
      </c>
      <c r="I250" s="73">
        <v>6879469</v>
      </c>
      <c r="J250" s="34">
        <f t="shared" si="12"/>
        <v>6879.5</v>
      </c>
      <c r="K250" s="2">
        <f>1000000+2050000+1500000+450000</f>
        <v>5000000</v>
      </c>
      <c r="L250" s="2"/>
      <c r="M250" s="2">
        <f t="shared" si="14"/>
        <v>5000000</v>
      </c>
      <c r="N250" s="3">
        <f t="shared" si="13"/>
        <v>5000</v>
      </c>
      <c r="O250" s="13"/>
      <c r="P250" s="13"/>
      <c r="Q250" s="13"/>
      <c r="R250" s="13"/>
      <c r="S250" s="13"/>
      <c r="T250" s="13"/>
      <c r="U250" s="13"/>
      <c r="V250" s="13"/>
      <c r="W250" s="13"/>
      <c r="X250" s="13"/>
      <c r="Y250" s="13"/>
      <c r="Z250" s="13"/>
      <c r="AA250" s="13"/>
      <c r="AB250" s="13"/>
      <c r="AC250" s="13"/>
      <c r="AD250" s="13"/>
      <c r="AE250" s="13"/>
      <c r="AF250" s="13"/>
      <c r="AG250" s="13"/>
      <c r="AH250" s="13"/>
      <c r="AI250" s="13"/>
      <c r="AJ250" s="13"/>
      <c r="AK250" s="13"/>
      <c r="AL250" s="13"/>
      <c r="AM250" s="13"/>
      <c r="AN250" s="13"/>
      <c r="AO250" s="13"/>
      <c r="AP250" s="13"/>
      <c r="AQ250" s="13"/>
      <c r="AR250" s="13"/>
      <c r="AS250" s="13"/>
      <c r="AT250" s="13"/>
      <c r="AU250" s="13"/>
      <c r="AV250" s="13"/>
      <c r="AW250" s="13"/>
      <c r="AX250" s="13"/>
      <c r="AY250" s="13"/>
      <c r="AZ250" s="13"/>
      <c r="BA250" s="13"/>
      <c r="BB250" s="13"/>
      <c r="BC250" s="13"/>
      <c r="BD250" s="13"/>
      <c r="BE250" s="13"/>
      <c r="BF250" s="13"/>
      <c r="BG250" s="13"/>
    </row>
    <row r="251" spans="1:59" s="37" customFormat="1" ht="80.25" customHeight="1">
      <c r="A251" s="32"/>
      <c r="B251" s="32"/>
      <c r="C251" s="32"/>
      <c r="D251" s="38" t="s">
        <v>254</v>
      </c>
      <c r="E251" s="74" t="s">
        <v>254</v>
      </c>
      <c r="F251" s="73"/>
      <c r="G251" s="34">
        <f t="shared" si="11"/>
        <v>0</v>
      </c>
      <c r="H251" s="104"/>
      <c r="I251" s="73"/>
      <c r="J251" s="34">
        <f t="shared" si="12"/>
        <v>0</v>
      </c>
      <c r="K251" s="2">
        <v>500000</v>
      </c>
      <c r="L251" s="2"/>
      <c r="M251" s="2">
        <f t="shared" si="14"/>
        <v>500000</v>
      </c>
      <c r="N251" s="3">
        <f t="shared" si="13"/>
        <v>500</v>
      </c>
      <c r="O251" s="13"/>
      <c r="P251" s="13"/>
      <c r="Q251" s="13"/>
      <c r="R251" s="13"/>
      <c r="S251" s="13"/>
      <c r="T251" s="13"/>
      <c r="U251" s="13"/>
      <c r="V251" s="13"/>
      <c r="W251" s="13"/>
      <c r="X251" s="13"/>
      <c r="Y251" s="13"/>
      <c r="Z251" s="13"/>
      <c r="AA251" s="13"/>
      <c r="AB251" s="13"/>
      <c r="AC251" s="13"/>
      <c r="AD251" s="13"/>
      <c r="AE251" s="13"/>
      <c r="AF251" s="13"/>
      <c r="AG251" s="13"/>
      <c r="AH251" s="13"/>
      <c r="AI251" s="13"/>
      <c r="AJ251" s="13"/>
      <c r="AK251" s="13"/>
      <c r="AL251" s="13"/>
      <c r="AM251" s="13"/>
      <c r="AN251" s="13"/>
      <c r="AO251" s="13"/>
      <c r="AP251" s="13"/>
      <c r="AQ251" s="13"/>
      <c r="AR251" s="13"/>
      <c r="AS251" s="13"/>
      <c r="AT251" s="13"/>
      <c r="AU251" s="13"/>
      <c r="AV251" s="13"/>
      <c r="AW251" s="13"/>
      <c r="AX251" s="13"/>
      <c r="AY251" s="13"/>
      <c r="AZ251" s="13"/>
      <c r="BA251" s="13"/>
      <c r="BB251" s="13"/>
      <c r="BC251" s="13"/>
      <c r="BD251" s="13"/>
      <c r="BE251" s="13"/>
      <c r="BF251" s="13"/>
      <c r="BG251" s="13"/>
    </row>
    <row r="252" spans="1:59" s="37" customFormat="1" ht="74.25" customHeight="1">
      <c r="A252" s="32"/>
      <c r="B252" s="32"/>
      <c r="C252" s="32"/>
      <c r="D252" s="38" t="s">
        <v>255</v>
      </c>
      <c r="E252" s="74" t="s">
        <v>255</v>
      </c>
      <c r="F252" s="73"/>
      <c r="G252" s="34">
        <f t="shared" si="11"/>
        <v>0</v>
      </c>
      <c r="H252" s="104"/>
      <c r="I252" s="73"/>
      <c r="J252" s="34">
        <f t="shared" si="12"/>
        <v>0</v>
      </c>
      <c r="K252" s="2">
        <v>500000</v>
      </c>
      <c r="L252" s="2"/>
      <c r="M252" s="2">
        <f t="shared" si="14"/>
        <v>500000</v>
      </c>
      <c r="N252" s="3">
        <f t="shared" si="13"/>
        <v>500</v>
      </c>
      <c r="O252" s="13"/>
      <c r="P252" s="13"/>
      <c r="Q252" s="13"/>
      <c r="R252" s="13"/>
      <c r="S252" s="13"/>
      <c r="T252" s="13"/>
      <c r="U252" s="13"/>
      <c r="V252" s="13"/>
      <c r="W252" s="13"/>
      <c r="X252" s="13"/>
      <c r="Y252" s="13"/>
      <c r="Z252" s="13"/>
      <c r="AA252" s="13"/>
      <c r="AB252" s="13"/>
      <c r="AC252" s="13"/>
      <c r="AD252" s="13"/>
      <c r="AE252" s="13"/>
      <c r="AF252" s="13"/>
      <c r="AG252" s="13"/>
      <c r="AH252" s="13"/>
      <c r="AI252" s="13"/>
      <c r="AJ252" s="13"/>
      <c r="AK252" s="13"/>
      <c r="AL252" s="13"/>
      <c r="AM252" s="13"/>
      <c r="AN252" s="13"/>
      <c r="AO252" s="13"/>
      <c r="AP252" s="13"/>
      <c r="AQ252" s="13"/>
      <c r="AR252" s="13"/>
      <c r="AS252" s="13"/>
      <c r="AT252" s="13"/>
      <c r="AU252" s="13"/>
      <c r="AV252" s="13"/>
      <c r="AW252" s="13"/>
      <c r="AX252" s="13"/>
      <c r="AY252" s="13"/>
      <c r="AZ252" s="13"/>
      <c r="BA252" s="13"/>
      <c r="BB252" s="13"/>
      <c r="BC252" s="13"/>
      <c r="BD252" s="13"/>
      <c r="BE252" s="13"/>
      <c r="BF252" s="13"/>
      <c r="BG252" s="13"/>
    </row>
    <row r="253" spans="1:59" s="37" customFormat="1" ht="36" customHeight="1">
      <c r="A253" s="32"/>
      <c r="B253" s="32"/>
      <c r="C253" s="32"/>
      <c r="D253" s="38" t="s">
        <v>280</v>
      </c>
      <c r="E253" s="74" t="s">
        <v>280</v>
      </c>
      <c r="F253" s="73"/>
      <c r="G253" s="34">
        <f t="shared" si="11"/>
        <v>0</v>
      </c>
      <c r="H253" s="104"/>
      <c r="I253" s="73"/>
      <c r="J253" s="34">
        <f t="shared" si="12"/>
        <v>0</v>
      </c>
      <c r="K253" s="2">
        <v>30000</v>
      </c>
      <c r="L253" s="2"/>
      <c r="M253" s="2">
        <f t="shared" si="14"/>
        <v>30000</v>
      </c>
      <c r="N253" s="3">
        <f t="shared" si="13"/>
        <v>30</v>
      </c>
      <c r="O253" s="13"/>
      <c r="P253" s="13"/>
      <c r="Q253" s="13"/>
      <c r="R253" s="13"/>
      <c r="S253" s="13"/>
      <c r="T253" s="13"/>
      <c r="U253" s="13"/>
      <c r="V253" s="13"/>
      <c r="W253" s="13"/>
      <c r="X253" s="13"/>
      <c r="Y253" s="13"/>
      <c r="Z253" s="13"/>
      <c r="AA253" s="13"/>
      <c r="AB253" s="13"/>
      <c r="AC253" s="13"/>
      <c r="AD253" s="13"/>
      <c r="AE253" s="13"/>
      <c r="AF253" s="13"/>
      <c r="AG253" s="13"/>
      <c r="AH253" s="13"/>
      <c r="AI253" s="13"/>
      <c r="AJ253" s="13"/>
      <c r="AK253" s="13"/>
      <c r="AL253" s="13"/>
      <c r="AM253" s="13"/>
      <c r="AN253" s="13"/>
      <c r="AO253" s="13"/>
      <c r="AP253" s="13"/>
      <c r="AQ253" s="13"/>
      <c r="AR253" s="13"/>
      <c r="AS253" s="13"/>
      <c r="AT253" s="13"/>
      <c r="AU253" s="13"/>
      <c r="AV253" s="13"/>
      <c r="AW253" s="13"/>
      <c r="AX253" s="13"/>
      <c r="AY253" s="13"/>
      <c r="AZ253" s="13"/>
      <c r="BA253" s="13"/>
      <c r="BB253" s="13"/>
      <c r="BC253" s="13"/>
      <c r="BD253" s="13"/>
      <c r="BE253" s="13"/>
      <c r="BF253" s="13"/>
      <c r="BG253" s="13"/>
    </row>
    <row r="254" spans="1:59" s="37" customFormat="1" ht="39" customHeight="1">
      <c r="A254" s="32"/>
      <c r="B254" s="32"/>
      <c r="C254" s="32"/>
      <c r="D254" s="38" t="s">
        <v>365</v>
      </c>
      <c r="E254" s="74" t="s">
        <v>365</v>
      </c>
      <c r="F254" s="73"/>
      <c r="G254" s="34">
        <f t="shared" si="11"/>
        <v>0</v>
      </c>
      <c r="H254" s="104"/>
      <c r="I254" s="73"/>
      <c r="J254" s="34">
        <f t="shared" si="12"/>
        <v>0</v>
      </c>
      <c r="K254" s="2">
        <v>150000</v>
      </c>
      <c r="L254" s="2"/>
      <c r="M254" s="2">
        <f>K254+L254</f>
        <v>150000</v>
      </c>
      <c r="N254" s="3">
        <f t="shared" si="13"/>
        <v>150</v>
      </c>
      <c r="O254" s="13"/>
      <c r="P254" s="13"/>
      <c r="Q254" s="13"/>
      <c r="R254" s="13"/>
      <c r="S254" s="13"/>
      <c r="T254" s="13"/>
      <c r="U254" s="13"/>
      <c r="V254" s="13"/>
      <c r="W254" s="13"/>
      <c r="X254" s="13"/>
      <c r="Y254" s="13"/>
      <c r="Z254" s="13"/>
      <c r="AA254" s="13"/>
      <c r="AB254" s="13"/>
      <c r="AC254" s="13"/>
      <c r="AD254" s="13"/>
      <c r="AE254" s="13"/>
      <c r="AF254" s="13"/>
      <c r="AG254" s="13"/>
      <c r="AH254" s="13"/>
      <c r="AI254" s="13"/>
      <c r="AJ254" s="13"/>
      <c r="AK254" s="13"/>
      <c r="AL254" s="13"/>
      <c r="AM254" s="13"/>
      <c r="AN254" s="13"/>
      <c r="AO254" s="13"/>
      <c r="AP254" s="13"/>
      <c r="AQ254" s="13"/>
      <c r="AR254" s="13"/>
      <c r="AS254" s="13"/>
      <c r="AT254" s="13"/>
      <c r="AU254" s="13"/>
      <c r="AV254" s="13"/>
      <c r="AW254" s="13"/>
      <c r="AX254" s="13"/>
      <c r="AY254" s="13"/>
      <c r="AZ254" s="13"/>
      <c r="BA254" s="13"/>
      <c r="BB254" s="13"/>
      <c r="BC254" s="13"/>
      <c r="BD254" s="13"/>
      <c r="BE254" s="13"/>
      <c r="BF254" s="13"/>
      <c r="BG254" s="13"/>
    </row>
    <row r="255" spans="1:59" s="37" customFormat="1" ht="29.25" customHeight="1">
      <c r="A255" s="32"/>
      <c r="B255" s="32"/>
      <c r="C255" s="32"/>
      <c r="D255" s="38" t="s">
        <v>267</v>
      </c>
      <c r="E255" s="74" t="s">
        <v>267</v>
      </c>
      <c r="F255" s="73"/>
      <c r="G255" s="34">
        <f t="shared" si="11"/>
        <v>0</v>
      </c>
      <c r="H255" s="104"/>
      <c r="I255" s="73"/>
      <c r="J255" s="34">
        <f t="shared" si="12"/>
        <v>0</v>
      </c>
      <c r="K255" s="2">
        <f>4005000-500000</f>
        <v>3505000</v>
      </c>
      <c r="L255" s="2"/>
      <c r="M255" s="2">
        <f t="shared" si="14"/>
        <v>3505000</v>
      </c>
      <c r="N255" s="3">
        <f t="shared" si="13"/>
        <v>3505</v>
      </c>
      <c r="O255" s="13"/>
      <c r="P255" s="13"/>
      <c r="Q255" s="13"/>
      <c r="R255" s="13"/>
      <c r="S255" s="13"/>
      <c r="T255" s="13"/>
      <c r="U255" s="13"/>
      <c r="V255" s="13"/>
      <c r="W255" s="13"/>
      <c r="X255" s="13"/>
      <c r="Y255" s="13"/>
      <c r="Z255" s="13"/>
      <c r="AA255" s="13"/>
      <c r="AB255" s="13"/>
      <c r="AC255" s="13"/>
      <c r="AD255" s="13"/>
      <c r="AE255" s="13"/>
      <c r="AF255" s="13"/>
      <c r="AG255" s="13"/>
      <c r="AH255" s="13"/>
      <c r="AI255" s="13"/>
      <c r="AJ255" s="13"/>
      <c r="AK255" s="13"/>
      <c r="AL255" s="13"/>
      <c r="AM255" s="13"/>
      <c r="AN255" s="13"/>
      <c r="AO255" s="13"/>
      <c r="AP255" s="13"/>
      <c r="AQ255" s="13"/>
      <c r="AR255" s="13"/>
      <c r="AS255" s="13"/>
      <c r="AT255" s="13"/>
      <c r="AU255" s="13"/>
      <c r="AV255" s="13"/>
      <c r="AW255" s="13"/>
      <c r="AX255" s="13"/>
      <c r="AY255" s="13"/>
      <c r="AZ255" s="13"/>
      <c r="BA255" s="13"/>
      <c r="BB255" s="13"/>
      <c r="BC255" s="13"/>
      <c r="BD255" s="13"/>
      <c r="BE255" s="13"/>
      <c r="BF255" s="13"/>
      <c r="BG255" s="13"/>
    </row>
    <row r="256" spans="1:59" s="37" customFormat="1" ht="33" customHeight="1">
      <c r="A256" s="32"/>
      <c r="B256" s="32"/>
      <c r="C256" s="32"/>
      <c r="D256" s="38" t="s">
        <v>196</v>
      </c>
      <c r="E256" s="38" t="s">
        <v>196</v>
      </c>
      <c r="F256" s="73">
        <v>5382485</v>
      </c>
      <c r="G256" s="34">
        <f t="shared" si="11"/>
        <v>5382.5</v>
      </c>
      <c r="H256" s="103">
        <v>88.6</v>
      </c>
      <c r="I256" s="73">
        <v>4766800</v>
      </c>
      <c r="J256" s="34">
        <f t="shared" si="12"/>
        <v>4766.8</v>
      </c>
      <c r="K256" s="2">
        <f>1322041+1322041</f>
        <v>2644082</v>
      </c>
      <c r="L256" s="2"/>
      <c r="M256" s="2">
        <f t="shared" si="14"/>
        <v>2644082</v>
      </c>
      <c r="N256" s="3">
        <f t="shared" si="13"/>
        <v>2644.1</v>
      </c>
      <c r="O256" s="13"/>
      <c r="P256" s="13"/>
      <c r="Q256" s="13"/>
      <c r="R256" s="13"/>
      <c r="S256" s="13"/>
      <c r="T256" s="13"/>
      <c r="U256" s="13"/>
      <c r="V256" s="13"/>
      <c r="W256" s="13"/>
      <c r="X256" s="13"/>
      <c r="Y256" s="13"/>
      <c r="Z256" s="13"/>
      <c r="AA256" s="13"/>
      <c r="AB256" s="13"/>
      <c r="AC256" s="13"/>
      <c r="AD256" s="13"/>
      <c r="AE256" s="13"/>
      <c r="AF256" s="13"/>
      <c r="AG256" s="13"/>
      <c r="AH256" s="13"/>
      <c r="AI256" s="13"/>
      <c r="AJ256" s="13"/>
      <c r="AK256" s="13"/>
      <c r="AL256" s="13"/>
      <c r="AM256" s="13"/>
      <c r="AN256" s="13"/>
      <c r="AO256" s="13"/>
      <c r="AP256" s="13"/>
      <c r="AQ256" s="13"/>
      <c r="AR256" s="13"/>
      <c r="AS256" s="13"/>
      <c r="AT256" s="13"/>
      <c r="AU256" s="13"/>
      <c r="AV256" s="13"/>
      <c r="AW256" s="13"/>
      <c r="AX256" s="13"/>
      <c r="AY256" s="13"/>
      <c r="AZ256" s="13"/>
      <c r="BA256" s="13"/>
      <c r="BB256" s="13"/>
      <c r="BC256" s="13"/>
      <c r="BD256" s="13"/>
      <c r="BE256" s="13"/>
      <c r="BF256" s="13"/>
      <c r="BG256" s="13"/>
    </row>
    <row r="257" spans="1:59" s="37" customFormat="1" ht="35.25" customHeight="1">
      <c r="A257" s="32"/>
      <c r="B257" s="32"/>
      <c r="C257" s="32"/>
      <c r="D257" s="38" t="s">
        <v>197</v>
      </c>
      <c r="E257" s="38" t="s">
        <v>197</v>
      </c>
      <c r="F257" s="73"/>
      <c r="G257" s="34">
        <f t="shared" si="11"/>
        <v>0</v>
      </c>
      <c r="H257" s="104"/>
      <c r="I257" s="73"/>
      <c r="J257" s="34">
        <f t="shared" si="12"/>
        <v>0</v>
      </c>
      <c r="K257" s="2">
        <f>5263766-3000000+2000000</f>
        <v>4263766</v>
      </c>
      <c r="L257" s="2"/>
      <c r="M257" s="2">
        <f t="shared" si="14"/>
        <v>4263766</v>
      </c>
      <c r="N257" s="3">
        <f>ROUND(M257/1000,1)-0.1</f>
        <v>4263.7</v>
      </c>
      <c r="O257" s="13"/>
      <c r="P257" s="13"/>
      <c r="Q257" s="13"/>
      <c r="R257" s="13"/>
      <c r="S257" s="13"/>
      <c r="T257" s="13"/>
      <c r="U257" s="13"/>
      <c r="V257" s="13"/>
      <c r="W257" s="13"/>
      <c r="X257" s="13"/>
      <c r="Y257" s="13"/>
      <c r="Z257" s="13"/>
      <c r="AA257" s="13"/>
      <c r="AB257" s="13"/>
      <c r="AC257" s="13"/>
      <c r="AD257" s="13"/>
      <c r="AE257" s="13"/>
      <c r="AF257" s="13"/>
      <c r="AG257" s="13"/>
      <c r="AH257" s="13"/>
      <c r="AI257" s="13"/>
      <c r="AJ257" s="13"/>
      <c r="AK257" s="13"/>
      <c r="AL257" s="13"/>
      <c r="AM257" s="13"/>
      <c r="AN257" s="13"/>
      <c r="AO257" s="13"/>
      <c r="AP257" s="13"/>
      <c r="AQ257" s="13"/>
      <c r="AR257" s="13"/>
      <c r="AS257" s="13"/>
      <c r="AT257" s="13"/>
      <c r="AU257" s="13"/>
      <c r="AV257" s="13"/>
      <c r="AW257" s="13"/>
      <c r="AX257" s="13"/>
      <c r="AY257" s="13"/>
      <c r="AZ257" s="13"/>
      <c r="BA257" s="13"/>
      <c r="BB257" s="13"/>
      <c r="BC257" s="13"/>
      <c r="BD257" s="13"/>
      <c r="BE257" s="13"/>
      <c r="BF257" s="13"/>
      <c r="BG257" s="13"/>
    </row>
    <row r="258" spans="1:59" s="37" customFormat="1" ht="41.25" customHeight="1">
      <c r="A258" s="32"/>
      <c r="B258" s="32"/>
      <c r="C258" s="32"/>
      <c r="D258" s="38" t="s">
        <v>415</v>
      </c>
      <c r="E258" s="38" t="s">
        <v>415</v>
      </c>
      <c r="F258" s="73"/>
      <c r="G258" s="34">
        <f t="shared" si="11"/>
        <v>0</v>
      </c>
      <c r="H258" s="104"/>
      <c r="I258" s="73"/>
      <c r="J258" s="34">
        <f t="shared" si="12"/>
        <v>0</v>
      </c>
      <c r="K258" s="2"/>
      <c r="L258" s="2">
        <v>59000</v>
      </c>
      <c r="M258" s="2">
        <f t="shared" si="14"/>
        <v>59000</v>
      </c>
      <c r="N258" s="3">
        <f t="shared" si="13"/>
        <v>59</v>
      </c>
      <c r="O258" s="13"/>
      <c r="P258" s="13"/>
      <c r="Q258" s="13"/>
      <c r="R258" s="13"/>
      <c r="S258" s="13"/>
      <c r="T258" s="13"/>
      <c r="U258" s="13"/>
      <c r="V258" s="13"/>
      <c r="W258" s="13"/>
      <c r="X258" s="13"/>
      <c r="Y258" s="13"/>
      <c r="Z258" s="13"/>
      <c r="AA258" s="13"/>
      <c r="AB258" s="13"/>
      <c r="AC258" s="13"/>
      <c r="AD258" s="13"/>
      <c r="AE258" s="13"/>
      <c r="AF258" s="13"/>
      <c r="AG258" s="13"/>
      <c r="AH258" s="13"/>
      <c r="AI258" s="13"/>
      <c r="AJ258" s="13"/>
      <c r="AK258" s="13"/>
      <c r="AL258" s="13"/>
      <c r="AM258" s="13"/>
      <c r="AN258" s="13"/>
      <c r="AO258" s="13"/>
      <c r="AP258" s="13"/>
      <c r="AQ258" s="13"/>
      <c r="AR258" s="13"/>
      <c r="AS258" s="13"/>
      <c r="AT258" s="13"/>
      <c r="AU258" s="13"/>
      <c r="AV258" s="13"/>
      <c r="AW258" s="13"/>
      <c r="AX258" s="13"/>
      <c r="AY258" s="13"/>
      <c r="AZ258" s="13"/>
      <c r="BA258" s="13"/>
      <c r="BB258" s="13"/>
      <c r="BC258" s="13"/>
      <c r="BD258" s="13"/>
      <c r="BE258" s="13"/>
      <c r="BF258" s="13"/>
      <c r="BG258" s="13"/>
    </row>
    <row r="259" spans="1:59" s="37" customFormat="1" ht="30.75" customHeight="1">
      <c r="A259" s="32"/>
      <c r="B259" s="32"/>
      <c r="C259" s="32"/>
      <c r="D259" s="38" t="s">
        <v>256</v>
      </c>
      <c r="E259" s="38" t="s">
        <v>256</v>
      </c>
      <c r="F259" s="73"/>
      <c r="G259" s="34">
        <f t="shared" si="11"/>
        <v>0</v>
      </c>
      <c r="H259" s="104"/>
      <c r="I259" s="73"/>
      <c r="J259" s="34">
        <f t="shared" si="12"/>
        <v>0</v>
      </c>
      <c r="K259" s="2">
        <f>425000+300000+600000</f>
        <v>1325000</v>
      </c>
      <c r="L259" s="2"/>
      <c r="M259" s="2">
        <f t="shared" si="14"/>
        <v>1325000</v>
      </c>
      <c r="N259" s="3">
        <f t="shared" si="13"/>
        <v>1325</v>
      </c>
      <c r="O259" s="13"/>
      <c r="P259" s="13"/>
      <c r="Q259" s="13"/>
      <c r="R259" s="13"/>
      <c r="S259" s="13"/>
      <c r="T259" s="13"/>
      <c r="U259" s="13"/>
      <c r="V259" s="13"/>
      <c r="W259" s="13"/>
      <c r="X259" s="13"/>
      <c r="Y259" s="13"/>
      <c r="Z259" s="13"/>
      <c r="AA259" s="13"/>
      <c r="AB259" s="13"/>
      <c r="AC259" s="13"/>
      <c r="AD259" s="13"/>
      <c r="AE259" s="13"/>
      <c r="AF259" s="13"/>
      <c r="AG259" s="13"/>
      <c r="AH259" s="13"/>
      <c r="AI259" s="13"/>
      <c r="AJ259" s="13"/>
      <c r="AK259" s="13"/>
      <c r="AL259" s="13"/>
      <c r="AM259" s="13"/>
      <c r="AN259" s="13"/>
      <c r="AO259" s="13"/>
      <c r="AP259" s="13"/>
      <c r="AQ259" s="13"/>
      <c r="AR259" s="13"/>
      <c r="AS259" s="13"/>
      <c r="AT259" s="13"/>
      <c r="AU259" s="13"/>
      <c r="AV259" s="13"/>
      <c r="AW259" s="13"/>
      <c r="AX259" s="13"/>
      <c r="AY259" s="13"/>
      <c r="AZ259" s="13"/>
      <c r="BA259" s="13"/>
      <c r="BB259" s="13"/>
      <c r="BC259" s="13"/>
      <c r="BD259" s="13"/>
      <c r="BE259" s="13"/>
      <c r="BF259" s="13"/>
      <c r="BG259" s="13"/>
    </row>
    <row r="260" spans="1:59" s="37" customFormat="1" ht="52.5" customHeight="1">
      <c r="A260" s="32"/>
      <c r="B260" s="32"/>
      <c r="C260" s="32"/>
      <c r="D260" s="38" t="s">
        <v>268</v>
      </c>
      <c r="E260" s="38" t="s">
        <v>268</v>
      </c>
      <c r="F260" s="73"/>
      <c r="G260" s="34">
        <f t="shared" si="11"/>
        <v>0</v>
      </c>
      <c r="H260" s="104"/>
      <c r="I260" s="73"/>
      <c r="J260" s="34">
        <f t="shared" si="12"/>
        <v>0</v>
      </c>
      <c r="K260" s="2">
        <v>250000</v>
      </c>
      <c r="L260" s="2"/>
      <c r="M260" s="2">
        <f aca="true" t="shared" si="15" ref="M260:M268">K260+L260</f>
        <v>250000</v>
      </c>
      <c r="N260" s="3">
        <f t="shared" si="13"/>
        <v>250</v>
      </c>
      <c r="O260" s="13"/>
      <c r="P260" s="13"/>
      <c r="Q260" s="13"/>
      <c r="R260" s="13"/>
      <c r="S260" s="13"/>
      <c r="T260" s="13"/>
      <c r="U260" s="13"/>
      <c r="V260" s="13"/>
      <c r="W260" s="13"/>
      <c r="X260" s="13"/>
      <c r="Y260" s="13"/>
      <c r="Z260" s="13"/>
      <c r="AA260" s="13"/>
      <c r="AB260" s="13"/>
      <c r="AC260" s="13"/>
      <c r="AD260" s="13"/>
      <c r="AE260" s="13"/>
      <c r="AF260" s="13"/>
      <c r="AG260" s="13"/>
      <c r="AH260" s="13"/>
      <c r="AI260" s="13"/>
      <c r="AJ260" s="13"/>
      <c r="AK260" s="13"/>
      <c r="AL260" s="13"/>
      <c r="AM260" s="13"/>
      <c r="AN260" s="13"/>
      <c r="AO260" s="13"/>
      <c r="AP260" s="13"/>
      <c r="AQ260" s="13"/>
      <c r="AR260" s="13"/>
      <c r="AS260" s="13"/>
      <c r="AT260" s="13"/>
      <c r="AU260" s="13"/>
      <c r="AV260" s="13"/>
      <c r="AW260" s="13"/>
      <c r="AX260" s="13"/>
      <c r="AY260" s="13"/>
      <c r="AZ260" s="13"/>
      <c r="BA260" s="13"/>
      <c r="BB260" s="13"/>
      <c r="BC260" s="13"/>
      <c r="BD260" s="13"/>
      <c r="BE260" s="13"/>
      <c r="BF260" s="13"/>
      <c r="BG260" s="13"/>
    </row>
    <row r="261" spans="1:59" s="37" customFormat="1" ht="55.5" customHeight="1">
      <c r="A261" s="32"/>
      <c r="B261" s="32"/>
      <c r="C261" s="32"/>
      <c r="D261" s="38" t="s">
        <v>269</v>
      </c>
      <c r="E261" s="38" t="s">
        <v>269</v>
      </c>
      <c r="F261" s="73"/>
      <c r="G261" s="34">
        <f t="shared" si="11"/>
        <v>0</v>
      </c>
      <c r="H261" s="104"/>
      <c r="I261" s="73"/>
      <c r="J261" s="34">
        <f t="shared" si="12"/>
        <v>0</v>
      </c>
      <c r="K261" s="2">
        <v>250000</v>
      </c>
      <c r="L261" s="2"/>
      <c r="M261" s="2">
        <f t="shared" si="15"/>
        <v>250000</v>
      </c>
      <c r="N261" s="3">
        <f t="shared" si="13"/>
        <v>250</v>
      </c>
      <c r="O261" s="13"/>
      <c r="P261" s="13"/>
      <c r="Q261" s="13"/>
      <c r="R261" s="13"/>
      <c r="S261" s="13"/>
      <c r="T261" s="13"/>
      <c r="U261" s="13"/>
      <c r="V261" s="13"/>
      <c r="W261" s="13"/>
      <c r="X261" s="13"/>
      <c r="Y261" s="13"/>
      <c r="Z261" s="13"/>
      <c r="AA261" s="13"/>
      <c r="AB261" s="13"/>
      <c r="AC261" s="13"/>
      <c r="AD261" s="13"/>
      <c r="AE261" s="13"/>
      <c r="AF261" s="13"/>
      <c r="AG261" s="13"/>
      <c r="AH261" s="13"/>
      <c r="AI261" s="13"/>
      <c r="AJ261" s="13"/>
      <c r="AK261" s="13"/>
      <c r="AL261" s="13"/>
      <c r="AM261" s="13"/>
      <c r="AN261" s="13"/>
      <c r="AO261" s="13"/>
      <c r="AP261" s="13"/>
      <c r="AQ261" s="13"/>
      <c r="AR261" s="13"/>
      <c r="AS261" s="13"/>
      <c r="AT261" s="13"/>
      <c r="AU261" s="13"/>
      <c r="AV261" s="13"/>
      <c r="AW261" s="13"/>
      <c r="AX261" s="13"/>
      <c r="AY261" s="13"/>
      <c r="AZ261" s="13"/>
      <c r="BA261" s="13"/>
      <c r="BB261" s="13"/>
      <c r="BC261" s="13"/>
      <c r="BD261" s="13"/>
      <c r="BE261" s="13"/>
      <c r="BF261" s="13"/>
      <c r="BG261" s="13"/>
    </row>
    <row r="262" spans="1:59" s="37" customFormat="1" ht="53.25" customHeight="1">
      <c r="A262" s="32"/>
      <c r="B262" s="32"/>
      <c r="C262" s="32"/>
      <c r="D262" s="38" t="s">
        <v>266</v>
      </c>
      <c r="E262" s="38" t="s">
        <v>266</v>
      </c>
      <c r="F262" s="73"/>
      <c r="G262" s="34">
        <f t="shared" si="11"/>
        <v>0</v>
      </c>
      <c r="H262" s="104"/>
      <c r="I262" s="73"/>
      <c r="J262" s="34">
        <f t="shared" si="12"/>
        <v>0</v>
      </c>
      <c r="K262" s="2">
        <v>500000</v>
      </c>
      <c r="L262" s="2"/>
      <c r="M262" s="2">
        <f t="shared" si="15"/>
        <v>500000</v>
      </c>
      <c r="N262" s="3">
        <f t="shared" si="13"/>
        <v>500</v>
      </c>
      <c r="O262" s="13"/>
      <c r="P262" s="13"/>
      <c r="Q262" s="13"/>
      <c r="R262" s="13"/>
      <c r="S262" s="13"/>
      <c r="T262" s="13"/>
      <c r="U262" s="13"/>
      <c r="V262" s="13"/>
      <c r="W262" s="13"/>
      <c r="X262" s="13"/>
      <c r="Y262" s="13"/>
      <c r="Z262" s="13"/>
      <c r="AA262" s="13"/>
      <c r="AB262" s="13"/>
      <c r="AC262" s="13"/>
      <c r="AD262" s="13"/>
      <c r="AE262" s="13"/>
      <c r="AF262" s="13"/>
      <c r="AG262" s="13"/>
      <c r="AH262" s="13"/>
      <c r="AI262" s="13"/>
      <c r="AJ262" s="13"/>
      <c r="AK262" s="13"/>
      <c r="AL262" s="13"/>
      <c r="AM262" s="13"/>
      <c r="AN262" s="13"/>
      <c r="AO262" s="13"/>
      <c r="AP262" s="13"/>
      <c r="AQ262" s="13"/>
      <c r="AR262" s="13"/>
      <c r="AS262" s="13"/>
      <c r="AT262" s="13"/>
      <c r="AU262" s="13"/>
      <c r="AV262" s="13"/>
      <c r="AW262" s="13"/>
      <c r="AX262" s="13"/>
      <c r="AY262" s="13"/>
      <c r="AZ262" s="13"/>
      <c r="BA262" s="13"/>
      <c r="BB262" s="13"/>
      <c r="BC262" s="13"/>
      <c r="BD262" s="13"/>
      <c r="BE262" s="13"/>
      <c r="BF262" s="13"/>
      <c r="BG262" s="13"/>
    </row>
    <row r="263" spans="1:59" s="37" customFormat="1" ht="59.25" customHeight="1">
      <c r="A263" s="32"/>
      <c r="B263" s="32"/>
      <c r="C263" s="32"/>
      <c r="D263" s="38" t="s">
        <v>443</v>
      </c>
      <c r="E263" s="38" t="s">
        <v>261</v>
      </c>
      <c r="F263" s="73"/>
      <c r="G263" s="34">
        <f aca="true" t="shared" si="16" ref="G263:G322">ROUND(F263/1000,1)</f>
        <v>0</v>
      </c>
      <c r="H263" s="104"/>
      <c r="I263" s="73"/>
      <c r="J263" s="34">
        <f aca="true" t="shared" si="17" ref="J263:J322">ROUND(I263/1000,1)</f>
        <v>0</v>
      </c>
      <c r="K263" s="2">
        <v>500000</v>
      </c>
      <c r="L263" s="2"/>
      <c r="M263" s="2">
        <f t="shared" si="15"/>
        <v>500000</v>
      </c>
      <c r="N263" s="3">
        <f aca="true" t="shared" si="18" ref="N263:N321">ROUND(M263/1000,1)</f>
        <v>500</v>
      </c>
      <c r="O263" s="13"/>
      <c r="P263" s="13"/>
      <c r="Q263" s="13"/>
      <c r="R263" s="13"/>
      <c r="S263" s="13"/>
      <c r="T263" s="13"/>
      <c r="U263" s="13"/>
      <c r="V263" s="13"/>
      <c r="W263" s="13"/>
      <c r="X263" s="13"/>
      <c r="Y263" s="13"/>
      <c r="Z263" s="13"/>
      <c r="AA263" s="13"/>
      <c r="AB263" s="13"/>
      <c r="AC263" s="13"/>
      <c r="AD263" s="13"/>
      <c r="AE263" s="13"/>
      <c r="AF263" s="13"/>
      <c r="AG263" s="13"/>
      <c r="AH263" s="13"/>
      <c r="AI263" s="13"/>
      <c r="AJ263" s="13"/>
      <c r="AK263" s="13"/>
      <c r="AL263" s="13"/>
      <c r="AM263" s="13"/>
      <c r="AN263" s="13"/>
      <c r="AO263" s="13"/>
      <c r="AP263" s="13"/>
      <c r="AQ263" s="13"/>
      <c r="AR263" s="13"/>
      <c r="AS263" s="13"/>
      <c r="AT263" s="13"/>
      <c r="AU263" s="13"/>
      <c r="AV263" s="13"/>
      <c r="AW263" s="13"/>
      <c r="AX263" s="13"/>
      <c r="AY263" s="13"/>
      <c r="AZ263" s="13"/>
      <c r="BA263" s="13"/>
      <c r="BB263" s="13"/>
      <c r="BC263" s="13"/>
      <c r="BD263" s="13"/>
      <c r="BE263" s="13"/>
      <c r="BF263" s="13"/>
      <c r="BG263" s="13"/>
    </row>
    <row r="264" spans="1:59" s="37" customFormat="1" ht="59.25" customHeight="1">
      <c r="A264" s="32"/>
      <c r="B264" s="32"/>
      <c r="C264" s="32"/>
      <c r="D264" s="38" t="s">
        <v>394</v>
      </c>
      <c r="E264" s="38" t="s">
        <v>394</v>
      </c>
      <c r="F264" s="73"/>
      <c r="G264" s="34">
        <f t="shared" si="16"/>
        <v>0</v>
      </c>
      <c r="H264" s="104"/>
      <c r="I264" s="73"/>
      <c r="J264" s="34">
        <f t="shared" si="17"/>
        <v>0</v>
      </c>
      <c r="K264" s="2">
        <v>50000</v>
      </c>
      <c r="L264" s="2"/>
      <c r="M264" s="2">
        <f t="shared" si="15"/>
        <v>50000</v>
      </c>
      <c r="N264" s="3">
        <f t="shared" si="18"/>
        <v>50</v>
      </c>
      <c r="O264" s="13"/>
      <c r="P264" s="13"/>
      <c r="Q264" s="13"/>
      <c r="R264" s="13"/>
      <c r="S264" s="13"/>
      <c r="T264" s="13"/>
      <c r="U264" s="13"/>
      <c r="V264" s="13"/>
      <c r="W264" s="13"/>
      <c r="X264" s="13"/>
      <c r="Y264" s="13"/>
      <c r="Z264" s="13"/>
      <c r="AA264" s="13"/>
      <c r="AB264" s="13"/>
      <c r="AC264" s="13"/>
      <c r="AD264" s="13"/>
      <c r="AE264" s="13"/>
      <c r="AF264" s="13"/>
      <c r="AG264" s="13"/>
      <c r="AH264" s="13"/>
      <c r="AI264" s="13"/>
      <c r="AJ264" s="13"/>
      <c r="AK264" s="13"/>
      <c r="AL264" s="13"/>
      <c r="AM264" s="13"/>
      <c r="AN264" s="13"/>
      <c r="AO264" s="13"/>
      <c r="AP264" s="13"/>
      <c r="AQ264" s="13"/>
      <c r="AR264" s="13"/>
      <c r="AS264" s="13"/>
      <c r="AT264" s="13"/>
      <c r="AU264" s="13"/>
      <c r="AV264" s="13"/>
      <c r="AW264" s="13"/>
      <c r="AX264" s="13"/>
      <c r="AY264" s="13"/>
      <c r="AZ264" s="13"/>
      <c r="BA264" s="13"/>
      <c r="BB264" s="13"/>
      <c r="BC264" s="13"/>
      <c r="BD264" s="13"/>
      <c r="BE264" s="13"/>
      <c r="BF264" s="13"/>
      <c r="BG264" s="13"/>
    </row>
    <row r="265" spans="1:59" s="37" customFormat="1" ht="43.5" customHeight="1">
      <c r="A265" s="32"/>
      <c r="B265" s="32"/>
      <c r="C265" s="32"/>
      <c r="D265" s="38" t="s">
        <v>386</v>
      </c>
      <c r="E265" s="38" t="s">
        <v>386</v>
      </c>
      <c r="F265" s="73"/>
      <c r="G265" s="34">
        <f t="shared" si="16"/>
        <v>0</v>
      </c>
      <c r="H265" s="104"/>
      <c r="I265" s="73"/>
      <c r="J265" s="34">
        <f t="shared" si="17"/>
        <v>0</v>
      </c>
      <c r="K265" s="2">
        <f>56986+1829000</f>
        <v>1885986</v>
      </c>
      <c r="L265" s="2"/>
      <c r="M265" s="2">
        <f t="shared" si="15"/>
        <v>1885986</v>
      </c>
      <c r="N265" s="3">
        <f t="shared" si="18"/>
        <v>1886</v>
      </c>
      <c r="O265" s="13"/>
      <c r="P265" s="13"/>
      <c r="Q265" s="13"/>
      <c r="R265" s="13"/>
      <c r="S265" s="13"/>
      <c r="T265" s="13"/>
      <c r="U265" s="13"/>
      <c r="V265" s="13"/>
      <c r="W265" s="13"/>
      <c r="X265" s="13"/>
      <c r="Y265" s="13"/>
      <c r="Z265" s="13"/>
      <c r="AA265" s="13"/>
      <c r="AB265" s="13"/>
      <c r="AC265" s="13"/>
      <c r="AD265" s="13"/>
      <c r="AE265" s="13"/>
      <c r="AF265" s="13"/>
      <c r="AG265" s="13"/>
      <c r="AH265" s="13"/>
      <c r="AI265" s="13"/>
      <c r="AJ265" s="13"/>
      <c r="AK265" s="13"/>
      <c r="AL265" s="13"/>
      <c r="AM265" s="13"/>
      <c r="AN265" s="13"/>
      <c r="AO265" s="13"/>
      <c r="AP265" s="13"/>
      <c r="AQ265" s="13"/>
      <c r="AR265" s="13"/>
      <c r="AS265" s="13"/>
      <c r="AT265" s="13"/>
      <c r="AU265" s="13"/>
      <c r="AV265" s="13"/>
      <c r="AW265" s="13"/>
      <c r="AX265" s="13"/>
      <c r="AY265" s="13"/>
      <c r="AZ265" s="13"/>
      <c r="BA265" s="13"/>
      <c r="BB265" s="13"/>
      <c r="BC265" s="13"/>
      <c r="BD265" s="13"/>
      <c r="BE265" s="13"/>
      <c r="BF265" s="13"/>
      <c r="BG265" s="13"/>
    </row>
    <row r="266" spans="1:59" s="37" customFormat="1" ht="58.5" customHeight="1">
      <c r="A266" s="32"/>
      <c r="B266" s="32"/>
      <c r="C266" s="32"/>
      <c r="D266" s="38" t="s">
        <v>378</v>
      </c>
      <c r="E266" s="38" t="s">
        <v>378</v>
      </c>
      <c r="F266" s="73"/>
      <c r="G266" s="34">
        <f t="shared" si="16"/>
        <v>0</v>
      </c>
      <c r="H266" s="104"/>
      <c r="I266" s="73"/>
      <c r="J266" s="34">
        <f t="shared" si="17"/>
        <v>0</v>
      </c>
      <c r="K266" s="2">
        <f>43050+1435000</f>
        <v>1478050</v>
      </c>
      <c r="L266" s="2"/>
      <c r="M266" s="2">
        <f t="shared" si="15"/>
        <v>1478050</v>
      </c>
      <c r="N266" s="3">
        <f>ROUND(M266/1000,1)-0.1</f>
        <v>1478</v>
      </c>
      <c r="O266" s="13"/>
      <c r="P266" s="13"/>
      <c r="Q266" s="13"/>
      <c r="R266" s="13"/>
      <c r="S266" s="13"/>
      <c r="T266" s="13"/>
      <c r="U266" s="13"/>
      <c r="V266" s="13"/>
      <c r="W266" s="13"/>
      <c r="X266" s="13"/>
      <c r="Y266" s="13"/>
      <c r="Z266" s="13"/>
      <c r="AA266" s="13"/>
      <c r="AB266" s="13"/>
      <c r="AC266" s="13"/>
      <c r="AD266" s="13"/>
      <c r="AE266" s="13"/>
      <c r="AF266" s="13"/>
      <c r="AG266" s="13"/>
      <c r="AH266" s="13"/>
      <c r="AI266" s="13"/>
      <c r="AJ266" s="13"/>
      <c r="AK266" s="13"/>
      <c r="AL266" s="13"/>
      <c r="AM266" s="13"/>
      <c r="AN266" s="13"/>
      <c r="AO266" s="13"/>
      <c r="AP266" s="13"/>
      <c r="AQ266" s="13"/>
      <c r="AR266" s="13"/>
      <c r="AS266" s="13"/>
      <c r="AT266" s="13"/>
      <c r="AU266" s="13"/>
      <c r="AV266" s="13"/>
      <c r="AW266" s="13"/>
      <c r="AX266" s="13"/>
      <c r="AY266" s="13"/>
      <c r="AZ266" s="13"/>
      <c r="BA266" s="13"/>
      <c r="BB266" s="13"/>
      <c r="BC266" s="13"/>
      <c r="BD266" s="13"/>
      <c r="BE266" s="13"/>
      <c r="BF266" s="13"/>
      <c r="BG266" s="13"/>
    </row>
    <row r="267" spans="1:59" s="37" customFormat="1" ht="37.5" customHeight="1">
      <c r="A267" s="32"/>
      <c r="B267" s="32"/>
      <c r="C267" s="32"/>
      <c r="D267" s="38" t="s">
        <v>363</v>
      </c>
      <c r="E267" s="38" t="s">
        <v>363</v>
      </c>
      <c r="F267" s="73"/>
      <c r="G267" s="34">
        <f t="shared" si="16"/>
        <v>0</v>
      </c>
      <c r="H267" s="104"/>
      <c r="I267" s="73"/>
      <c r="J267" s="34">
        <f t="shared" si="17"/>
        <v>0</v>
      </c>
      <c r="K267" s="2">
        <f>32500+150000</f>
        <v>182500</v>
      </c>
      <c r="L267" s="2"/>
      <c r="M267" s="2">
        <f t="shared" si="15"/>
        <v>182500</v>
      </c>
      <c r="N267" s="3">
        <f t="shared" si="18"/>
        <v>182.5</v>
      </c>
      <c r="O267" s="13"/>
      <c r="P267" s="13"/>
      <c r="Q267" s="13"/>
      <c r="R267" s="13"/>
      <c r="S267" s="13"/>
      <c r="T267" s="13"/>
      <c r="U267" s="13"/>
      <c r="V267" s="13"/>
      <c r="W267" s="13"/>
      <c r="X267" s="13"/>
      <c r="Y267" s="13"/>
      <c r="Z267" s="13"/>
      <c r="AA267" s="13"/>
      <c r="AB267" s="13"/>
      <c r="AC267" s="13"/>
      <c r="AD267" s="13"/>
      <c r="AE267" s="13"/>
      <c r="AF267" s="13"/>
      <c r="AG267" s="13"/>
      <c r="AH267" s="13"/>
      <c r="AI267" s="13"/>
      <c r="AJ267" s="13"/>
      <c r="AK267" s="13"/>
      <c r="AL267" s="13"/>
      <c r="AM267" s="13"/>
      <c r="AN267" s="13"/>
      <c r="AO267" s="13"/>
      <c r="AP267" s="13"/>
      <c r="AQ267" s="13"/>
      <c r="AR267" s="13"/>
      <c r="AS267" s="13"/>
      <c r="AT267" s="13"/>
      <c r="AU267" s="13"/>
      <c r="AV267" s="13"/>
      <c r="AW267" s="13"/>
      <c r="AX267" s="13"/>
      <c r="AY267" s="13"/>
      <c r="AZ267" s="13"/>
      <c r="BA267" s="13"/>
      <c r="BB267" s="13"/>
      <c r="BC267" s="13"/>
      <c r="BD267" s="13"/>
      <c r="BE267" s="13"/>
      <c r="BF267" s="13"/>
      <c r="BG267" s="13"/>
    </row>
    <row r="268" spans="1:59" s="37" customFormat="1" ht="45" customHeight="1">
      <c r="A268" s="32"/>
      <c r="B268" s="32"/>
      <c r="C268" s="32"/>
      <c r="D268" s="38" t="s">
        <v>412</v>
      </c>
      <c r="E268" s="38" t="s">
        <v>412</v>
      </c>
      <c r="F268" s="73"/>
      <c r="G268" s="34">
        <f t="shared" si="16"/>
        <v>0</v>
      </c>
      <c r="H268" s="104"/>
      <c r="I268" s="73"/>
      <c r="J268" s="34">
        <f t="shared" si="17"/>
        <v>0</v>
      </c>
      <c r="K268" s="2">
        <v>515000</v>
      </c>
      <c r="L268" s="2"/>
      <c r="M268" s="2">
        <f t="shared" si="15"/>
        <v>515000</v>
      </c>
      <c r="N268" s="3">
        <f t="shared" si="18"/>
        <v>515</v>
      </c>
      <c r="O268" s="13"/>
      <c r="P268" s="13"/>
      <c r="Q268" s="13"/>
      <c r="R268" s="13"/>
      <c r="S268" s="13"/>
      <c r="T268" s="13"/>
      <c r="U268" s="13"/>
      <c r="V268" s="13"/>
      <c r="W268" s="13"/>
      <c r="X268" s="13"/>
      <c r="Y268" s="13"/>
      <c r="Z268" s="13"/>
      <c r="AA268" s="13"/>
      <c r="AB268" s="13"/>
      <c r="AC268" s="13"/>
      <c r="AD268" s="13"/>
      <c r="AE268" s="13"/>
      <c r="AF268" s="13"/>
      <c r="AG268" s="13"/>
      <c r="AH268" s="13"/>
      <c r="AI268" s="13"/>
      <c r="AJ268" s="13"/>
      <c r="AK268" s="13"/>
      <c r="AL268" s="13"/>
      <c r="AM268" s="13"/>
      <c r="AN268" s="13"/>
      <c r="AO268" s="13"/>
      <c r="AP268" s="13"/>
      <c r="AQ268" s="13"/>
      <c r="AR268" s="13"/>
      <c r="AS268" s="13"/>
      <c r="AT268" s="13"/>
      <c r="AU268" s="13"/>
      <c r="AV268" s="13"/>
      <c r="AW268" s="13"/>
      <c r="AX268" s="13"/>
      <c r="AY268" s="13"/>
      <c r="AZ268" s="13"/>
      <c r="BA268" s="13"/>
      <c r="BB268" s="13"/>
      <c r="BC268" s="13"/>
      <c r="BD268" s="13"/>
      <c r="BE268" s="13"/>
      <c r="BF268" s="13"/>
      <c r="BG268" s="13"/>
    </row>
    <row r="269" spans="1:59" s="37" customFormat="1" ht="36.75" customHeight="1">
      <c r="A269" s="32"/>
      <c r="B269" s="32"/>
      <c r="C269" s="32"/>
      <c r="D269" s="38" t="s">
        <v>198</v>
      </c>
      <c r="E269" s="38" t="s">
        <v>198</v>
      </c>
      <c r="F269" s="73"/>
      <c r="G269" s="34">
        <f t="shared" si="16"/>
        <v>0</v>
      </c>
      <c r="H269" s="104"/>
      <c r="I269" s="73"/>
      <c r="J269" s="34">
        <f t="shared" si="17"/>
        <v>0</v>
      </c>
      <c r="K269" s="2">
        <f>1000000-500000+2500000-80000</f>
        <v>2920000</v>
      </c>
      <c r="L269" s="2"/>
      <c r="M269" s="2">
        <f t="shared" si="14"/>
        <v>2920000</v>
      </c>
      <c r="N269" s="3">
        <f t="shared" si="18"/>
        <v>2920</v>
      </c>
      <c r="O269" s="13"/>
      <c r="P269" s="13"/>
      <c r="Q269" s="13"/>
      <c r="R269" s="13"/>
      <c r="S269" s="13"/>
      <c r="T269" s="13"/>
      <c r="U269" s="13"/>
      <c r="V269" s="13"/>
      <c r="W269" s="13"/>
      <c r="X269" s="13"/>
      <c r="Y269" s="13"/>
      <c r="Z269" s="13"/>
      <c r="AA269" s="13"/>
      <c r="AB269" s="13"/>
      <c r="AC269" s="13"/>
      <c r="AD269" s="13"/>
      <c r="AE269" s="13"/>
      <c r="AF269" s="13"/>
      <c r="AG269" s="13"/>
      <c r="AH269" s="13"/>
      <c r="AI269" s="13"/>
      <c r="AJ269" s="13"/>
      <c r="AK269" s="13"/>
      <c r="AL269" s="13"/>
      <c r="AM269" s="13"/>
      <c r="AN269" s="13"/>
      <c r="AO269" s="13"/>
      <c r="AP269" s="13"/>
      <c r="AQ269" s="13"/>
      <c r="AR269" s="13"/>
      <c r="AS269" s="13"/>
      <c r="AT269" s="13"/>
      <c r="AU269" s="13"/>
      <c r="AV269" s="13"/>
      <c r="AW269" s="13"/>
      <c r="AX269" s="13"/>
      <c r="AY269" s="13"/>
      <c r="AZ269" s="13"/>
      <c r="BA269" s="13"/>
      <c r="BB269" s="13"/>
      <c r="BC269" s="13"/>
      <c r="BD269" s="13"/>
      <c r="BE269" s="13"/>
      <c r="BF269" s="13"/>
      <c r="BG269" s="13"/>
    </row>
    <row r="270" spans="1:59" s="37" customFormat="1" ht="54.75" customHeight="1">
      <c r="A270" s="32"/>
      <c r="B270" s="32"/>
      <c r="C270" s="32"/>
      <c r="D270" s="38" t="s">
        <v>430</v>
      </c>
      <c r="E270" s="38" t="s">
        <v>296</v>
      </c>
      <c r="F270" s="73"/>
      <c r="G270" s="34">
        <f t="shared" si="16"/>
        <v>0</v>
      </c>
      <c r="H270" s="104"/>
      <c r="I270" s="73"/>
      <c r="J270" s="34">
        <f t="shared" si="17"/>
        <v>0</v>
      </c>
      <c r="K270" s="2">
        <v>100000</v>
      </c>
      <c r="L270" s="2"/>
      <c r="M270" s="2">
        <f t="shared" si="14"/>
        <v>100000</v>
      </c>
      <c r="N270" s="3">
        <f t="shared" si="18"/>
        <v>100</v>
      </c>
      <c r="O270" s="13"/>
      <c r="P270" s="13"/>
      <c r="Q270" s="13"/>
      <c r="R270" s="13"/>
      <c r="S270" s="13"/>
      <c r="T270" s="13"/>
      <c r="U270" s="13"/>
      <c r="V270" s="13"/>
      <c r="W270" s="13"/>
      <c r="X270" s="13"/>
      <c r="Y270" s="13"/>
      <c r="Z270" s="13"/>
      <c r="AA270" s="13"/>
      <c r="AB270" s="13"/>
      <c r="AC270" s="13"/>
      <c r="AD270" s="13"/>
      <c r="AE270" s="13"/>
      <c r="AF270" s="13"/>
      <c r="AG270" s="13"/>
      <c r="AH270" s="13"/>
      <c r="AI270" s="13"/>
      <c r="AJ270" s="13"/>
      <c r="AK270" s="13"/>
      <c r="AL270" s="13"/>
      <c r="AM270" s="13"/>
      <c r="AN270" s="13"/>
      <c r="AO270" s="13"/>
      <c r="AP270" s="13"/>
      <c r="AQ270" s="13"/>
      <c r="AR270" s="13"/>
      <c r="AS270" s="13"/>
      <c r="AT270" s="13"/>
      <c r="AU270" s="13"/>
      <c r="AV270" s="13"/>
      <c r="AW270" s="13"/>
      <c r="AX270" s="13"/>
      <c r="AY270" s="13"/>
      <c r="AZ270" s="13"/>
      <c r="BA270" s="13"/>
      <c r="BB270" s="13"/>
      <c r="BC270" s="13"/>
      <c r="BD270" s="13"/>
      <c r="BE270" s="13"/>
      <c r="BF270" s="13"/>
      <c r="BG270" s="13"/>
    </row>
    <row r="271" spans="1:59" s="37" customFormat="1" ht="29.25" customHeight="1">
      <c r="A271" s="32"/>
      <c r="B271" s="32"/>
      <c r="C271" s="32"/>
      <c r="D271" s="38" t="s">
        <v>239</v>
      </c>
      <c r="E271" s="38" t="s">
        <v>239</v>
      </c>
      <c r="F271" s="73"/>
      <c r="G271" s="34">
        <f t="shared" si="16"/>
        <v>0</v>
      </c>
      <c r="H271" s="104"/>
      <c r="I271" s="73"/>
      <c r="J271" s="34">
        <f t="shared" si="17"/>
        <v>0</v>
      </c>
      <c r="K271" s="2">
        <v>1000000</v>
      </c>
      <c r="L271" s="2"/>
      <c r="M271" s="2">
        <f t="shared" si="14"/>
        <v>1000000</v>
      </c>
      <c r="N271" s="3">
        <f t="shared" si="18"/>
        <v>1000</v>
      </c>
      <c r="O271" s="13"/>
      <c r="P271" s="13"/>
      <c r="Q271" s="13"/>
      <c r="R271" s="13"/>
      <c r="S271" s="13"/>
      <c r="T271" s="13"/>
      <c r="U271" s="13"/>
      <c r="V271" s="13"/>
      <c r="W271" s="13"/>
      <c r="X271" s="13"/>
      <c r="Y271" s="13"/>
      <c r="Z271" s="13"/>
      <c r="AA271" s="13"/>
      <c r="AB271" s="13"/>
      <c r="AC271" s="13"/>
      <c r="AD271" s="13"/>
      <c r="AE271" s="13"/>
      <c r="AF271" s="13"/>
      <c r="AG271" s="13"/>
      <c r="AH271" s="13"/>
      <c r="AI271" s="13"/>
      <c r="AJ271" s="13"/>
      <c r="AK271" s="13"/>
      <c r="AL271" s="13"/>
      <c r="AM271" s="13"/>
      <c r="AN271" s="13"/>
      <c r="AO271" s="13"/>
      <c r="AP271" s="13"/>
      <c r="AQ271" s="13"/>
      <c r="AR271" s="13"/>
      <c r="AS271" s="13"/>
      <c r="AT271" s="13"/>
      <c r="AU271" s="13"/>
      <c r="AV271" s="13"/>
      <c r="AW271" s="13"/>
      <c r="AX271" s="13"/>
      <c r="AY271" s="13"/>
      <c r="AZ271" s="13"/>
      <c r="BA271" s="13"/>
      <c r="BB271" s="13"/>
      <c r="BC271" s="13"/>
      <c r="BD271" s="13"/>
      <c r="BE271" s="13"/>
      <c r="BF271" s="13"/>
      <c r="BG271" s="13"/>
    </row>
    <row r="272" spans="1:59" s="37" customFormat="1" ht="34.5" customHeight="1">
      <c r="A272" s="32"/>
      <c r="B272" s="32"/>
      <c r="C272" s="32"/>
      <c r="D272" s="38" t="s">
        <v>257</v>
      </c>
      <c r="E272" s="38" t="s">
        <v>257</v>
      </c>
      <c r="F272" s="73"/>
      <c r="G272" s="34">
        <f t="shared" si="16"/>
        <v>0</v>
      </c>
      <c r="H272" s="104"/>
      <c r="I272" s="73"/>
      <c r="J272" s="34">
        <f t="shared" si="17"/>
        <v>0</v>
      </c>
      <c r="K272" s="2">
        <f>500000+200000+250000</f>
        <v>950000</v>
      </c>
      <c r="L272" s="2"/>
      <c r="M272" s="2">
        <f t="shared" si="14"/>
        <v>950000</v>
      </c>
      <c r="N272" s="3">
        <f t="shared" si="18"/>
        <v>950</v>
      </c>
      <c r="O272" s="13"/>
      <c r="P272" s="13"/>
      <c r="Q272" s="13"/>
      <c r="R272" s="13"/>
      <c r="S272" s="13"/>
      <c r="T272" s="13"/>
      <c r="U272" s="13"/>
      <c r="V272" s="13"/>
      <c r="W272" s="13"/>
      <c r="X272" s="13"/>
      <c r="Y272" s="13"/>
      <c r="Z272" s="13"/>
      <c r="AA272" s="13"/>
      <c r="AB272" s="13"/>
      <c r="AC272" s="13"/>
      <c r="AD272" s="13"/>
      <c r="AE272" s="13"/>
      <c r="AF272" s="13"/>
      <c r="AG272" s="13"/>
      <c r="AH272" s="13"/>
      <c r="AI272" s="13"/>
      <c r="AJ272" s="13"/>
      <c r="AK272" s="13"/>
      <c r="AL272" s="13"/>
      <c r="AM272" s="13"/>
      <c r="AN272" s="13"/>
      <c r="AO272" s="13"/>
      <c r="AP272" s="13"/>
      <c r="AQ272" s="13"/>
      <c r="AR272" s="13"/>
      <c r="AS272" s="13"/>
      <c r="AT272" s="13"/>
      <c r="AU272" s="13"/>
      <c r="AV272" s="13"/>
      <c r="AW272" s="13"/>
      <c r="AX272" s="13"/>
      <c r="AY272" s="13"/>
      <c r="AZ272" s="13"/>
      <c r="BA272" s="13"/>
      <c r="BB272" s="13"/>
      <c r="BC272" s="13"/>
      <c r="BD272" s="13"/>
      <c r="BE272" s="13"/>
      <c r="BF272" s="13"/>
      <c r="BG272" s="13"/>
    </row>
    <row r="273" spans="1:59" s="37" customFormat="1" ht="66" customHeight="1">
      <c r="A273" s="32"/>
      <c r="B273" s="32"/>
      <c r="C273" s="32"/>
      <c r="D273" s="38" t="s">
        <v>359</v>
      </c>
      <c r="E273" s="38" t="s">
        <v>359</v>
      </c>
      <c r="F273" s="73"/>
      <c r="G273" s="34">
        <f t="shared" si="16"/>
        <v>0</v>
      </c>
      <c r="H273" s="104"/>
      <c r="I273" s="73"/>
      <c r="J273" s="34">
        <f t="shared" si="17"/>
        <v>0</v>
      </c>
      <c r="K273" s="2">
        <v>294000</v>
      </c>
      <c r="L273" s="2"/>
      <c r="M273" s="2">
        <f t="shared" si="14"/>
        <v>294000</v>
      </c>
      <c r="N273" s="3">
        <f t="shared" si="18"/>
        <v>294</v>
      </c>
      <c r="O273" s="13"/>
      <c r="P273" s="13"/>
      <c r="Q273" s="13"/>
      <c r="R273" s="13"/>
      <c r="S273" s="13"/>
      <c r="T273" s="13"/>
      <c r="U273" s="13"/>
      <c r="V273" s="13"/>
      <c r="W273" s="13"/>
      <c r="X273" s="13"/>
      <c r="Y273" s="13"/>
      <c r="Z273" s="13"/>
      <c r="AA273" s="13"/>
      <c r="AB273" s="13"/>
      <c r="AC273" s="13"/>
      <c r="AD273" s="13"/>
      <c r="AE273" s="13"/>
      <c r="AF273" s="13"/>
      <c r="AG273" s="13"/>
      <c r="AH273" s="13"/>
      <c r="AI273" s="13"/>
      <c r="AJ273" s="13"/>
      <c r="AK273" s="13"/>
      <c r="AL273" s="13"/>
      <c r="AM273" s="13"/>
      <c r="AN273" s="13"/>
      <c r="AO273" s="13"/>
      <c r="AP273" s="13"/>
      <c r="AQ273" s="13"/>
      <c r="AR273" s="13"/>
      <c r="AS273" s="13"/>
      <c r="AT273" s="13"/>
      <c r="AU273" s="13"/>
      <c r="AV273" s="13"/>
      <c r="AW273" s="13"/>
      <c r="AX273" s="13"/>
      <c r="AY273" s="13"/>
      <c r="AZ273" s="13"/>
      <c r="BA273" s="13"/>
      <c r="BB273" s="13"/>
      <c r="BC273" s="13"/>
      <c r="BD273" s="13"/>
      <c r="BE273" s="13"/>
      <c r="BF273" s="13"/>
      <c r="BG273" s="13"/>
    </row>
    <row r="274" spans="1:59" s="37" customFormat="1" ht="39" customHeight="1">
      <c r="A274" s="32"/>
      <c r="B274" s="32"/>
      <c r="C274" s="32"/>
      <c r="D274" s="38" t="s">
        <v>209</v>
      </c>
      <c r="E274" s="38" t="s">
        <v>209</v>
      </c>
      <c r="F274" s="73"/>
      <c r="G274" s="34">
        <f t="shared" si="16"/>
        <v>0</v>
      </c>
      <c r="H274" s="104"/>
      <c r="I274" s="73"/>
      <c r="J274" s="34">
        <f t="shared" si="17"/>
        <v>0</v>
      </c>
      <c r="K274" s="2">
        <v>200000</v>
      </c>
      <c r="L274" s="2"/>
      <c r="M274" s="2">
        <f>K274+L274</f>
        <v>200000</v>
      </c>
      <c r="N274" s="3">
        <f t="shared" si="18"/>
        <v>200</v>
      </c>
      <c r="O274" s="13"/>
      <c r="P274" s="13"/>
      <c r="Q274" s="13"/>
      <c r="R274" s="13"/>
      <c r="S274" s="13"/>
      <c r="T274" s="13"/>
      <c r="U274" s="13"/>
      <c r="V274" s="13"/>
      <c r="W274" s="13"/>
      <c r="X274" s="13"/>
      <c r="Y274" s="13"/>
      <c r="Z274" s="13"/>
      <c r="AA274" s="13"/>
      <c r="AB274" s="13"/>
      <c r="AC274" s="13"/>
      <c r="AD274" s="13"/>
      <c r="AE274" s="13"/>
      <c r="AF274" s="13"/>
      <c r="AG274" s="13"/>
      <c r="AH274" s="13"/>
      <c r="AI274" s="13"/>
      <c r="AJ274" s="13"/>
      <c r="AK274" s="13"/>
      <c r="AL274" s="13"/>
      <c r="AM274" s="13"/>
      <c r="AN274" s="13"/>
      <c r="AO274" s="13"/>
      <c r="AP274" s="13"/>
      <c r="AQ274" s="13"/>
      <c r="AR274" s="13"/>
      <c r="AS274" s="13"/>
      <c r="AT274" s="13"/>
      <c r="AU274" s="13"/>
      <c r="AV274" s="13"/>
      <c r="AW274" s="13"/>
      <c r="AX274" s="13"/>
      <c r="AY274" s="13"/>
      <c r="AZ274" s="13"/>
      <c r="BA274" s="13"/>
      <c r="BB274" s="13"/>
      <c r="BC274" s="13"/>
      <c r="BD274" s="13"/>
      <c r="BE274" s="13"/>
      <c r="BF274" s="13"/>
      <c r="BG274" s="13"/>
    </row>
    <row r="275" spans="1:59" s="37" customFormat="1" ht="63.75" customHeight="1">
      <c r="A275" s="32"/>
      <c r="B275" s="32"/>
      <c r="C275" s="32"/>
      <c r="D275" s="38" t="s">
        <v>208</v>
      </c>
      <c r="E275" s="38" t="s">
        <v>208</v>
      </c>
      <c r="F275" s="73">
        <v>10359229</v>
      </c>
      <c r="G275" s="34">
        <f t="shared" si="16"/>
        <v>10359.2</v>
      </c>
      <c r="H275" s="103">
        <v>40.9</v>
      </c>
      <c r="I275" s="73">
        <v>4240867</v>
      </c>
      <c r="J275" s="34">
        <f t="shared" si="17"/>
        <v>4240.9</v>
      </c>
      <c r="K275" s="2">
        <f>1000000+1100000</f>
        <v>2100000</v>
      </c>
      <c r="L275" s="2"/>
      <c r="M275" s="2">
        <f>K275+L275</f>
        <v>2100000</v>
      </c>
      <c r="N275" s="3">
        <f t="shared" si="18"/>
        <v>2100</v>
      </c>
      <c r="O275" s="13"/>
      <c r="P275" s="13"/>
      <c r="Q275" s="13"/>
      <c r="R275" s="13"/>
      <c r="S275" s="13"/>
      <c r="T275" s="13"/>
      <c r="U275" s="13"/>
      <c r="V275" s="13"/>
      <c r="W275" s="13"/>
      <c r="X275" s="13"/>
      <c r="Y275" s="13"/>
      <c r="Z275" s="13"/>
      <c r="AA275" s="13"/>
      <c r="AB275" s="13"/>
      <c r="AC275" s="13"/>
      <c r="AD275" s="13"/>
      <c r="AE275" s="13"/>
      <c r="AF275" s="13"/>
      <c r="AG275" s="13"/>
      <c r="AH275" s="13"/>
      <c r="AI275" s="13"/>
      <c r="AJ275" s="13"/>
      <c r="AK275" s="13"/>
      <c r="AL275" s="13"/>
      <c r="AM275" s="13"/>
      <c r="AN275" s="13"/>
      <c r="AO275" s="13"/>
      <c r="AP275" s="13"/>
      <c r="AQ275" s="13"/>
      <c r="AR275" s="13"/>
      <c r="AS275" s="13"/>
      <c r="AT275" s="13"/>
      <c r="AU275" s="13"/>
      <c r="AV275" s="13"/>
      <c r="AW275" s="13"/>
      <c r="AX275" s="13"/>
      <c r="AY275" s="13"/>
      <c r="AZ275" s="13"/>
      <c r="BA275" s="13"/>
      <c r="BB275" s="13"/>
      <c r="BC275" s="13"/>
      <c r="BD275" s="13"/>
      <c r="BE275" s="13"/>
      <c r="BF275" s="13"/>
      <c r="BG275" s="13"/>
    </row>
    <row r="276" spans="1:59" s="37" customFormat="1" ht="31.5" customHeight="1">
      <c r="A276" s="32"/>
      <c r="B276" s="32"/>
      <c r="C276" s="32"/>
      <c r="D276" s="38" t="s">
        <v>199</v>
      </c>
      <c r="E276" s="38" t="s">
        <v>199</v>
      </c>
      <c r="F276" s="73">
        <v>8134171</v>
      </c>
      <c r="G276" s="34">
        <f t="shared" si="16"/>
        <v>8134.2</v>
      </c>
      <c r="H276" s="103">
        <v>87.2</v>
      </c>
      <c r="I276" s="73">
        <v>7095619</v>
      </c>
      <c r="J276" s="34">
        <f t="shared" si="17"/>
        <v>7095.6</v>
      </c>
      <c r="K276" s="2">
        <f>2000000+1000000+500000</f>
        <v>3500000</v>
      </c>
      <c r="L276" s="2"/>
      <c r="M276" s="2">
        <f t="shared" si="14"/>
        <v>3500000</v>
      </c>
      <c r="N276" s="3">
        <f t="shared" si="18"/>
        <v>3500</v>
      </c>
      <c r="O276" s="13"/>
      <c r="P276" s="13"/>
      <c r="Q276" s="13"/>
      <c r="R276" s="13"/>
      <c r="S276" s="13"/>
      <c r="T276" s="13"/>
      <c r="U276" s="13"/>
      <c r="V276" s="13"/>
      <c r="W276" s="13"/>
      <c r="X276" s="13"/>
      <c r="Y276" s="13"/>
      <c r="Z276" s="13"/>
      <c r="AA276" s="13"/>
      <c r="AB276" s="13"/>
      <c r="AC276" s="13"/>
      <c r="AD276" s="13"/>
      <c r="AE276" s="13"/>
      <c r="AF276" s="13"/>
      <c r="AG276" s="13"/>
      <c r="AH276" s="13"/>
      <c r="AI276" s="13"/>
      <c r="AJ276" s="13"/>
      <c r="AK276" s="13"/>
      <c r="AL276" s="13"/>
      <c r="AM276" s="13"/>
      <c r="AN276" s="13"/>
      <c r="AO276" s="13"/>
      <c r="AP276" s="13"/>
      <c r="AQ276" s="13"/>
      <c r="AR276" s="13"/>
      <c r="AS276" s="13"/>
      <c r="AT276" s="13"/>
      <c r="AU276" s="13"/>
      <c r="AV276" s="13"/>
      <c r="AW276" s="13"/>
      <c r="AX276" s="13"/>
      <c r="AY276" s="13"/>
      <c r="AZ276" s="13"/>
      <c r="BA276" s="13"/>
      <c r="BB276" s="13"/>
      <c r="BC276" s="13"/>
      <c r="BD276" s="13"/>
      <c r="BE276" s="13"/>
      <c r="BF276" s="13"/>
      <c r="BG276" s="13"/>
    </row>
    <row r="277" spans="1:59" s="37" customFormat="1" ht="31.5" customHeight="1">
      <c r="A277" s="32"/>
      <c r="B277" s="32"/>
      <c r="C277" s="32"/>
      <c r="D277" s="38" t="s">
        <v>200</v>
      </c>
      <c r="E277" s="38" t="s">
        <v>200</v>
      </c>
      <c r="F277" s="73">
        <v>33898627</v>
      </c>
      <c r="G277" s="34">
        <f t="shared" si="16"/>
        <v>33898.6</v>
      </c>
      <c r="H277" s="103">
        <v>98.1</v>
      </c>
      <c r="I277" s="73">
        <v>33247860</v>
      </c>
      <c r="J277" s="34">
        <f t="shared" si="17"/>
        <v>33247.9</v>
      </c>
      <c r="K277" s="2">
        <f>5000000+5000000</f>
        <v>10000000</v>
      </c>
      <c r="L277" s="2"/>
      <c r="M277" s="2">
        <f t="shared" si="14"/>
        <v>10000000</v>
      </c>
      <c r="N277" s="3">
        <f t="shared" si="18"/>
        <v>10000</v>
      </c>
      <c r="O277" s="13"/>
      <c r="P277" s="13"/>
      <c r="Q277" s="13"/>
      <c r="R277" s="13"/>
      <c r="S277" s="13"/>
      <c r="T277" s="13"/>
      <c r="U277" s="13"/>
      <c r="V277" s="13"/>
      <c r="W277" s="13"/>
      <c r="X277" s="13"/>
      <c r="Y277" s="13"/>
      <c r="Z277" s="13"/>
      <c r="AA277" s="13"/>
      <c r="AB277" s="13"/>
      <c r="AC277" s="13"/>
      <c r="AD277" s="13"/>
      <c r="AE277" s="13"/>
      <c r="AF277" s="13"/>
      <c r="AG277" s="13"/>
      <c r="AH277" s="13"/>
      <c r="AI277" s="13"/>
      <c r="AJ277" s="13"/>
      <c r="AK277" s="13"/>
      <c r="AL277" s="13"/>
      <c r="AM277" s="13"/>
      <c r="AN277" s="13"/>
      <c r="AO277" s="13"/>
      <c r="AP277" s="13"/>
      <c r="AQ277" s="13"/>
      <c r="AR277" s="13"/>
      <c r="AS277" s="13"/>
      <c r="AT277" s="13"/>
      <c r="AU277" s="13"/>
      <c r="AV277" s="13"/>
      <c r="AW277" s="13"/>
      <c r="AX277" s="13"/>
      <c r="AY277" s="13"/>
      <c r="AZ277" s="13"/>
      <c r="BA277" s="13"/>
      <c r="BB277" s="13"/>
      <c r="BC277" s="13"/>
      <c r="BD277" s="13"/>
      <c r="BE277" s="13"/>
      <c r="BF277" s="13"/>
      <c r="BG277" s="13"/>
    </row>
    <row r="278" spans="1:59" s="37" customFormat="1" ht="31.5" customHeight="1">
      <c r="A278" s="32"/>
      <c r="B278" s="32"/>
      <c r="C278" s="32"/>
      <c r="D278" s="38" t="s">
        <v>220</v>
      </c>
      <c r="E278" s="38" t="s">
        <v>220</v>
      </c>
      <c r="F278" s="73"/>
      <c r="G278" s="34">
        <f t="shared" si="16"/>
        <v>0</v>
      </c>
      <c r="H278" s="104"/>
      <c r="I278" s="73"/>
      <c r="J278" s="34">
        <f t="shared" si="17"/>
        <v>0</v>
      </c>
      <c r="K278" s="2">
        <f>2700000+1500000</f>
        <v>4200000</v>
      </c>
      <c r="L278" s="2"/>
      <c r="M278" s="2">
        <f t="shared" si="14"/>
        <v>4200000</v>
      </c>
      <c r="N278" s="3">
        <f t="shared" si="18"/>
        <v>4200</v>
      </c>
      <c r="O278" s="13"/>
      <c r="P278" s="13"/>
      <c r="Q278" s="13"/>
      <c r="R278" s="13"/>
      <c r="S278" s="13"/>
      <c r="T278" s="13"/>
      <c r="U278" s="13"/>
      <c r="V278" s="13"/>
      <c r="W278" s="13"/>
      <c r="X278" s="13"/>
      <c r="Y278" s="13"/>
      <c r="Z278" s="13"/>
      <c r="AA278" s="13"/>
      <c r="AB278" s="13"/>
      <c r="AC278" s="13"/>
      <c r="AD278" s="13"/>
      <c r="AE278" s="13"/>
      <c r="AF278" s="13"/>
      <c r="AG278" s="13"/>
      <c r="AH278" s="13"/>
      <c r="AI278" s="13"/>
      <c r="AJ278" s="13"/>
      <c r="AK278" s="13"/>
      <c r="AL278" s="13"/>
      <c r="AM278" s="13"/>
      <c r="AN278" s="13"/>
      <c r="AO278" s="13"/>
      <c r="AP278" s="13"/>
      <c r="AQ278" s="13"/>
      <c r="AR278" s="13"/>
      <c r="AS278" s="13"/>
      <c r="AT278" s="13"/>
      <c r="AU278" s="13"/>
      <c r="AV278" s="13"/>
      <c r="AW278" s="13"/>
      <c r="AX278" s="13"/>
      <c r="AY278" s="13"/>
      <c r="AZ278" s="13"/>
      <c r="BA278" s="13"/>
      <c r="BB278" s="13"/>
      <c r="BC278" s="13"/>
      <c r="BD278" s="13"/>
      <c r="BE278" s="13"/>
      <c r="BF278" s="13"/>
      <c r="BG278" s="13"/>
    </row>
    <row r="279" spans="1:59" s="37" customFormat="1" ht="31.5" customHeight="1">
      <c r="A279" s="32"/>
      <c r="B279" s="32"/>
      <c r="C279" s="32"/>
      <c r="D279" s="38" t="s">
        <v>212</v>
      </c>
      <c r="E279" s="38" t="s">
        <v>212</v>
      </c>
      <c r="F279" s="73">
        <v>14670250</v>
      </c>
      <c r="G279" s="34">
        <f t="shared" si="16"/>
        <v>14670.3</v>
      </c>
      <c r="H279" s="103">
        <v>98.5</v>
      </c>
      <c r="I279" s="73">
        <v>14443532</v>
      </c>
      <c r="J279" s="34">
        <f t="shared" si="17"/>
        <v>14443.5</v>
      </c>
      <c r="K279" s="2">
        <f>2000000+5000000</f>
        <v>7000000</v>
      </c>
      <c r="L279" s="2"/>
      <c r="M279" s="2">
        <f>K279+L279</f>
        <v>7000000</v>
      </c>
      <c r="N279" s="3">
        <f t="shared" si="18"/>
        <v>7000</v>
      </c>
      <c r="O279" s="13"/>
      <c r="P279" s="13"/>
      <c r="Q279" s="13"/>
      <c r="R279" s="13"/>
      <c r="S279" s="13"/>
      <c r="T279" s="13"/>
      <c r="U279" s="13"/>
      <c r="V279" s="13"/>
      <c r="W279" s="13"/>
      <c r="X279" s="13"/>
      <c r="Y279" s="13"/>
      <c r="Z279" s="13"/>
      <c r="AA279" s="13"/>
      <c r="AB279" s="13"/>
      <c r="AC279" s="13"/>
      <c r="AD279" s="13"/>
      <c r="AE279" s="13"/>
      <c r="AF279" s="13"/>
      <c r="AG279" s="13"/>
      <c r="AH279" s="13"/>
      <c r="AI279" s="13"/>
      <c r="AJ279" s="13"/>
      <c r="AK279" s="13"/>
      <c r="AL279" s="13"/>
      <c r="AM279" s="13"/>
      <c r="AN279" s="13"/>
      <c r="AO279" s="13"/>
      <c r="AP279" s="13"/>
      <c r="AQ279" s="13"/>
      <c r="AR279" s="13"/>
      <c r="AS279" s="13"/>
      <c r="AT279" s="13"/>
      <c r="AU279" s="13"/>
      <c r="AV279" s="13"/>
      <c r="AW279" s="13"/>
      <c r="AX279" s="13"/>
      <c r="AY279" s="13"/>
      <c r="AZ279" s="13"/>
      <c r="BA279" s="13"/>
      <c r="BB279" s="13"/>
      <c r="BC279" s="13"/>
      <c r="BD279" s="13"/>
      <c r="BE279" s="13"/>
      <c r="BF279" s="13"/>
      <c r="BG279" s="13"/>
    </row>
    <row r="280" spans="1:59" s="37" customFormat="1" ht="34.5" customHeight="1">
      <c r="A280" s="32"/>
      <c r="B280" s="32"/>
      <c r="C280" s="32"/>
      <c r="D280" s="38" t="s">
        <v>201</v>
      </c>
      <c r="E280" s="38" t="s">
        <v>201</v>
      </c>
      <c r="F280" s="73">
        <v>7365869</v>
      </c>
      <c r="G280" s="34">
        <f t="shared" si="16"/>
        <v>7365.9</v>
      </c>
      <c r="H280" s="103">
        <v>76.3</v>
      </c>
      <c r="I280" s="73">
        <v>5617385</v>
      </c>
      <c r="J280" s="34">
        <f t="shared" si="17"/>
        <v>5617.4</v>
      </c>
      <c r="K280" s="2">
        <f>2000000+1000000+1087159</f>
        <v>4087159</v>
      </c>
      <c r="L280" s="2"/>
      <c r="M280" s="2">
        <f t="shared" si="14"/>
        <v>4087159</v>
      </c>
      <c r="N280" s="3">
        <f t="shared" si="18"/>
        <v>4087.2</v>
      </c>
      <c r="O280" s="13"/>
      <c r="P280" s="13"/>
      <c r="Q280" s="13"/>
      <c r="R280" s="13"/>
      <c r="S280" s="13"/>
      <c r="T280" s="13"/>
      <c r="U280" s="13"/>
      <c r="V280" s="13"/>
      <c r="W280" s="13"/>
      <c r="X280" s="13"/>
      <c r="Y280" s="13"/>
      <c r="Z280" s="13"/>
      <c r="AA280" s="13"/>
      <c r="AB280" s="13"/>
      <c r="AC280" s="13"/>
      <c r="AD280" s="13"/>
      <c r="AE280" s="13"/>
      <c r="AF280" s="13"/>
      <c r="AG280" s="13"/>
      <c r="AH280" s="13"/>
      <c r="AI280" s="13"/>
      <c r="AJ280" s="13"/>
      <c r="AK280" s="13"/>
      <c r="AL280" s="13"/>
      <c r="AM280" s="13"/>
      <c r="AN280" s="13"/>
      <c r="AO280" s="13"/>
      <c r="AP280" s="13"/>
      <c r="AQ280" s="13"/>
      <c r="AR280" s="13"/>
      <c r="AS280" s="13"/>
      <c r="AT280" s="13"/>
      <c r="AU280" s="13"/>
      <c r="AV280" s="13"/>
      <c r="AW280" s="13"/>
      <c r="AX280" s="13"/>
      <c r="AY280" s="13"/>
      <c r="AZ280" s="13"/>
      <c r="BA280" s="13"/>
      <c r="BB280" s="13"/>
      <c r="BC280" s="13"/>
      <c r="BD280" s="13"/>
      <c r="BE280" s="13"/>
      <c r="BF280" s="13"/>
      <c r="BG280" s="13"/>
    </row>
    <row r="281" spans="1:59" s="37" customFormat="1" ht="39" customHeight="1">
      <c r="A281" s="32"/>
      <c r="B281" s="32"/>
      <c r="C281" s="32"/>
      <c r="D281" s="38" t="s">
        <v>202</v>
      </c>
      <c r="E281" s="38" t="s">
        <v>202</v>
      </c>
      <c r="F281" s="73">
        <v>2512375</v>
      </c>
      <c r="G281" s="34">
        <f t="shared" si="16"/>
        <v>2512.4</v>
      </c>
      <c r="H281" s="103">
        <v>100</v>
      </c>
      <c r="I281" s="73">
        <v>2512375</v>
      </c>
      <c r="J281" s="34">
        <f t="shared" si="17"/>
        <v>2512.4</v>
      </c>
      <c r="K281" s="2">
        <f>2000000+400000</f>
        <v>2400000</v>
      </c>
      <c r="L281" s="2"/>
      <c r="M281" s="2">
        <f t="shared" si="14"/>
        <v>2400000</v>
      </c>
      <c r="N281" s="3">
        <f t="shared" si="18"/>
        <v>2400</v>
      </c>
      <c r="O281" s="13"/>
      <c r="P281" s="13"/>
      <c r="Q281" s="13"/>
      <c r="R281" s="13"/>
      <c r="S281" s="13"/>
      <c r="T281" s="13"/>
      <c r="U281" s="13"/>
      <c r="V281" s="13"/>
      <c r="W281" s="13"/>
      <c r="X281" s="13"/>
      <c r="Y281" s="13"/>
      <c r="Z281" s="13"/>
      <c r="AA281" s="13"/>
      <c r="AB281" s="13"/>
      <c r="AC281" s="13"/>
      <c r="AD281" s="13"/>
      <c r="AE281" s="13"/>
      <c r="AF281" s="13"/>
      <c r="AG281" s="13"/>
      <c r="AH281" s="13"/>
      <c r="AI281" s="13"/>
      <c r="AJ281" s="13"/>
      <c r="AK281" s="13"/>
      <c r="AL281" s="13"/>
      <c r="AM281" s="13"/>
      <c r="AN281" s="13"/>
      <c r="AO281" s="13"/>
      <c r="AP281" s="13"/>
      <c r="AQ281" s="13"/>
      <c r="AR281" s="13"/>
      <c r="AS281" s="13"/>
      <c r="AT281" s="13"/>
      <c r="AU281" s="13"/>
      <c r="AV281" s="13"/>
      <c r="AW281" s="13"/>
      <c r="AX281" s="13"/>
      <c r="AY281" s="13"/>
      <c r="AZ281" s="13"/>
      <c r="BA281" s="13"/>
      <c r="BB281" s="13"/>
      <c r="BC281" s="13"/>
      <c r="BD281" s="13"/>
      <c r="BE281" s="13"/>
      <c r="BF281" s="13"/>
      <c r="BG281" s="13"/>
    </row>
    <row r="282" spans="1:59" s="37" customFormat="1" ht="41.25" customHeight="1">
      <c r="A282" s="32"/>
      <c r="B282" s="32"/>
      <c r="C282" s="32"/>
      <c r="D282" s="38" t="s">
        <v>203</v>
      </c>
      <c r="E282" s="38" t="s">
        <v>203</v>
      </c>
      <c r="F282" s="73">
        <v>4782900</v>
      </c>
      <c r="G282" s="34">
        <f t="shared" si="16"/>
        <v>4782.9</v>
      </c>
      <c r="H282" s="103">
        <v>45.4</v>
      </c>
      <c r="I282" s="73">
        <v>2171239</v>
      </c>
      <c r="J282" s="34">
        <f t="shared" si="17"/>
        <v>2171.2</v>
      </c>
      <c r="K282" s="2">
        <v>2000000</v>
      </c>
      <c r="L282" s="2"/>
      <c r="M282" s="2">
        <f t="shared" si="14"/>
        <v>2000000</v>
      </c>
      <c r="N282" s="3">
        <f t="shared" si="18"/>
        <v>2000</v>
      </c>
      <c r="O282" s="13"/>
      <c r="P282" s="13"/>
      <c r="Q282" s="13"/>
      <c r="R282" s="13"/>
      <c r="S282" s="13"/>
      <c r="T282" s="13"/>
      <c r="U282" s="13"/>
      <c r="V282" s="13"/>
      <c r="W282" s="13"/>
      <c r="X282" s="13"/>
      <c r="Y282" s="13"/>
      <c r="Z282" s="13"/>
      <c r="AA282" s="13"/>
      <c r="AB282" s="13"/>
      <c r="AC282" s="13"/>
      <c r="AD282" s="13"/>
      <c r="AE282" s="13"/>
      <c r="AF282" s="13"/>
      <c r="AG282" s="13"/>
      <c r="AH282" s="13"/>
      <c r="AI282" s="13"/>
      <c r="AJ282" s="13"/>
      <c r="AK282" s="13"/>
      <c r="AL282" s="13"/>
      <c r="AM282" s="13"/>
      <c r="AN282" s="13"/>
      <c r="AO282" s="13"/>
      <c r="AP282" s="13"/>
      <c r="AQ282" s="13"/>
      <c r="AR282" s="13"/>
      <c r="AS282" s="13"/>
      <c r="AT282" s="13"/>
      <c r="AU282" s="13"/>
      <c r="AV282" s="13"/>
      <c r="AW282" s="13"/>
      <c r="AX282" s="13"/>
      <c r="AY282" s="13"/>
      <c r="AZ282" s="13"/>
      <c r="BA282" s="13"/>
      <c r="BB282" s="13"/>
      <c r="BC282" s="13"/>
      <c r="BD282" s="13"/>
      <c r="BE282" s="13"/>
      <c r="BF282" s="13"/>
      <c r="BG282" s="13"/>
    </row>
    <row r="283" spans="1:59" s="37" customFormat="1" ht="40.5" customHeight="1">
      <c r="A283" s="32"/>
      <c r="B283" s="32"/>
      <c r="C283" s="32"/>
      <c r="D283" s="38" t="s">
        <v>204</v>
      </c>
      <c r="E283" s="38" t="s">
        <v>204</v>
      </c>
      <c r="F283" s="73"/>
      <c r="G283" s="34">
        <f t="shared" si="16"/>
        <v>0</v>
      </c>
      <c r="H283" s="104"/>
      <c r="I283" s="73"/>
      <c r="J283" s="34">
        <f t="shared" si="17"/>
        <v>0</v>
      </c>
      <c r="K283" s="2">
        <f>1000000-805000+400000</f>
        <v>595000</v>
      </c>
      <c r="L283" s="2"/>
      <c r="M283" s="2">
        <f t="shared" si="14"/>
        <v>595000</v>
      </c>
      <c r="N283" s="3">
        <f t="shared" si="18"/>
        <v>595</v>
      </c>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3"/>
      <c r="BA283" s="13"/>
      <c r="BB283" s="13"/>
      <c r="BC283" s="13"/>
      <c r="BD283" s="13"/>
      <c r="BE283" s="13"/>
      <c r="BF283" s="13"/>
      <c r="BG283" s="13"/>
    </row>
    <row r="284" spans="1:59" s="37" customFormat="1" ht="49.5" customHeight="1">
      <c r="A284" s="32"/>
      <c r="B284" s="32"/>
      <c r="C284" s="32"/>
      <c r="D284" s="38" t="s">
        <v>205</v>
      </c>
      <c r="E284" s="38" t="s">
        <v>205</v>
      </c>
      <c r="F284" s="73">
        <v>54104796</v>
      </c>
      <c r="G284" s="34">
        <f t="shared" si="16"/>
        <v>54104.8</v>
      </c>
      <c r="H284" s="103">
        <v>28.9</v>
      </c>
      <c r="I284" s="73">
        <v>15616691</v>
      </c>
      <c r="J284" s="34">
        <f t="shared" si="17"/>
        <v>15616.7</v>
      </c>
      <c r="K284" s="2">
        <f>10000000-2000000+1900000</f>
        <v>9900000</v>
      </c>
      <c r="L284" s="2"/>
      <c r="M284" s="2">
        <f t="shared" si="14"/>
        <v>9900000</v>
      </c>
      <c r="N284" s="3">
        <f t="shared" si="18"/>
        <v>9900</v>
      </c>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3"/>
      <c r="BA284" s="13"/>
      <c r="BB284" s="13"/>
      <c r="BC284" s="13"/>
      <c r="BD284" s="13"/>
      <c r="BE284" s="13"/>
      <c r="BF284" s="13"/>
      <c r="BG284" s="13"/>
    </row>
    <row r="285" spans="1:59" s="37" customFormat="1" ht="52.5" customHeight="1">
      <c r="A285" s="32"/>
      <c r="B285" s="32"/>
      <c r="C285" s="32"/>
      <c r="D285" s="38" t="s">
        <v>206</v>
      </c>
      <c r="E285" s="38" t="s">
        <v>206</v>
      </c>
      <c r="F285" s="73"/>
      <c r="G285" s="34">
        <f t="shared" si="16"/>
        <v>0</v>
      </c>
      <c r="H285" s="104"/>
      <c r="I285" s="73"/>
      <c r="J285" s="34">
        <f t="shared" si="17"/>
        <v>0</v>
      </c>
      <c r="K285" s="2">
        <v>300000</v>
      </c>
      <c r="L285" s="2"/>
      <c r="M285" s="2">
        <f t="shared" si="14"/>
        <v>300000</v>
      </c>
      <c r="N285" s="3">
        <f t="shared" si="18"/>
        <v>300</v>
      </c>
      <c r="O285" s="13"/>
      <c r="P285" s="13"/>
      <c r="Q285" s="13"/>
      <c r="R285" s="13"/>
      <c r="S285" s="13"/>
      <c r="T285" s="13"/>
      <c r="U285" s="13"/>
      <c r="V285" s="13"/>
      <c r="W285" s="13"/>
      <c r="X285" s="13"/>
      <c r="Y285" s="13"/>
      <c r="Z285" s="13"/>
      <c r="AA285" s="13"/>
      <c r="AB285" s="13"/>
      <c r="AC285" s="13"/>
      <c r="AD285" s="13"/>
      <c r="AE285" s="13"/>
      <c r="AF285" s="13"/>
      <c r="AG285" s="13"/>
      <c r="AH285" s="13"/>
      <c r="AI285" s="13"/>
      <c r="AJ285" s="13"/>
      <c r="AK285" s="13"/>
      <c r="AL285" s="13"/>
      <c r="AM285" s="13"/>
      <c r="AN285" s="13"/>
      <c r="AO285" s="13"/>
      <c r="AP285" s="13"/>
      <c r="AQ285" s="13"/>
      <c r="AR285" s="13"/>
      <c r="AS285" s="13"/>
      <c r="AT285" s="13"/>
      <c r="AU285" s="13"/>
      <c r="AV285" s="13"/>
      <c r="AW285" s="13"/>
      <c r="AX285" s="13"/>
      <c r="AY285" s="13"/>
      <c r="AZ285" s="13"/>
      <c r="BA285" s="13"/>
      <c r="BB285" s="13"/>
      <c r="BC285" s="13"/>
      <c r="BD285" s="13"/>
      <c r="BE285" s="13"/>
      <c r="BF285" s="13"/>
      <c r="BG285" s="13"/>
    </row>
    <row r="286" spans="1:59" s="37" customFormat="1" ht="58.5" customHeight="1">
      <c r="A286" s="32"/>
      <c r="B286" s="32"/>
      <c r="C286" s="32"/>
      <c r="D286" s="38" t="s">
        <v>281</v>
      </c>
      <c r="E286" s="38" t="s">
        <v>281</v>
      </c>
      <c r="F286" s="73"/>
      <c r="G286" s="34">
        <f t="shared" si="16"/>
        <v>0</v>
      </c>
      <c r="H286" s="104"/>
      <c r="I286" s="73"/>
      <c r="J286" s="34">
        <f t="shared" si="17"/>
        <v>0</v>
      </c>
      <c r="K286" s="2">
        <v>100000</v>
      </c>
      <c r="L286" s="2"/>
      <c r="M286" s="2">
        <f t="shared" si="14"/>
        <v>100000</v>
      </c>
      <c r="N286" s="3">
        <f t="shared" si="18"/>
        <v>100</v>
      </c>
      <c r="O286" s="13"/>
      <c r="P286" s="13"/>
      <c r="Q286" s="13"/>
      <c r="R286" s="13"/>
      <c r="S286" s="13"/>
      <c r="T286" s="13"/>
      <c r="U286" s="13"/>
      <c r="V286" s="13"/>
      <c r="W286" s="13"/>
      <c r="X286" s="13"/>
      <c r="Y286" s="13"/>
      <c r="Z286" s="13"/>
      <c r="AA286" s="13"/>
      <c r="AB286" s="13"/>
      <c r="AC286" s="13"/>
      <c r="AD286" s="13"/>
      <c r="AE286" s="13"/>
      <c r="AF286" s="13"/>
      <c r="AG286" s="13"/>
      <c r="AH286" s="13"/>
      <c r="AI286" s="13"/>
      <c r="AJ286" s="13"/>
      <c r="AK286" s="13"/>
      <c r="AL286" s="13"/>
      <c r="AM286" s="13"/>
      <c r="AN286" s="13"/>
      <c r="AO286" s="13"/>
      <c r="AP286" s="13"/>
      <c r="AQ286" s="13"/>
      <c r="AR286" s="13"/>
      <c r="AS286" s="13"/>
      <c r="AT286" s="13"/>
      <c r="AU286" s="13"/>
      <c r="AV286" s="13"/>
      <c r="AW286" s="13"/>
      <c r="AX286" s="13"/>
      <c r="AY286" s="13"/>
      <c r="AZ286" s="13"/>
      <c r="BA286" s="13"/>
      <c r="BB286" s="13"/>
      <c r="BC286" s="13"/>
      <c r="BD286" s="13"/>
      <c r="BE286" s="13"/>
      <c r="BF286" s="13"/>
      <c r="BG286" s="13"/>
    </row>
    <row r="287" spans="1:59" s="37" customFormat="1" ht="36" customHeight="1">
      <c r="A287" s="32"/>
      <c r="B287" s="32"/>
      <c r="C287" s="32"/>
      <c r="D287" s="38" t="s">
        <v>207</v>
      </c>
      <c r="E287" s="38" t="s">
        <v>207</v>
      </c>
      <c r="F287" s="73">
        <v>4291979</v>
      </c>
      <c r="G287" s="34">
        <f t="shared" si="16"/>
        <v>4292</v>
      </c>
      <c r="H287" s="103">
        <v>75.6</v>
      </c>
      <c r="I287" s="73">
        <v>3243169</v>
      </c>
      <c r="J287" s="34">
        <f t="shared" si="17"/>
        <v>3243.2</v>
      </c>
      <c r="K287" s="2">
        <f>1500000-500000+500000+35000</f>
        <v>1535000</v>
      </c>
      <c r="L287" s="2"/>
      <c r="M287" s="2">
        <f t="shared" si="14"/>
        <v>1535000</v>
      </c>
      <c r="N287" s="3">
        <f t="shared" si="18"/>
        <v>1535</v>
      </c>
      <c r="O287" s="13"/>
      <c r="P287" s="13"/>
      <c r="Q287" s="13"/>
      <c r="R287" s="13"/>
      <c r="S287" s="13"/>
      <c r="T287" s="13"/>
      <c r="U287" s="13"/>
      <c r="V287" s="13"/>
      <c r="W287" s="13"/>
      <c r="X287" s="13"/>
      <c r="Y287" s="13"/>
      <c r="Z287" s="13"/>
      <c r="AA287" s="13"/>
      <c r="AB287" s="13"/>
      <c r="AC287" s="13"/>
      <c r="AD287" s="13"/>
      <c r="AE287" s="13"/>
      <c r="AF287" s="13"/>
      <c r="AG287" s="13"/>
      <c r="AH287" s="13"/>
      <c r="AI287" s="13"/>
      <c r="AJ287" s="13"/>
      <c r="AK287" s="13"/>
      <c r="AL287" s="13"/>
      <c r="AM287" s="13"/>
      <c r="AN287" s="13"/>
      <c r="AO287" s="13"/>
      <c r="AP287" s="13"/>
      <c r="AQ287" s="13"/>
      <c r="AR287" s="13"/>
      <c r="AS287" s="13"/>
      <c r="AT287" s="13"/>
      <c r="AU287" s="13"/>
      <c r="AV287" s="13"/>
      <c r="AW287" s="13"/>
      <c r="AX287" s="13"/>
      <c r="AY287" s="13"/>
      <c r="AZ287" s="13"/>
      <c r="BA287" s="13"/>
      <c r="BB287" s="13"/>
      <c r="BC287" s="13"/>
      <c r="BD287" s="13"/>
      <c r="BE287" s="13"/>
      <c r="BF287" s="13"/>
      <c r="BG287" s="13"/>
    </row>
    <row r="288" spans="1:59" s="37" customFormat="1" ht="33" customHeight="1">
      <c r="A288" s="32"/>
      <c r="B288" s="32"/>
      <c r="C288" s="32"/>
      <c r="D288" s="38" t="s">
        <v>210</v>
      </c>
      <c r="E288" s="74" t="s">
        <v>210</v>
      </c>
      <c r="F288" s="73">
        <v>16481572</v>
      </c>
      <c r="G288" s="34">
        <f t="shared" si="16"/>
        <v>16481.6</v>
      </c>
      <c r="H288" s="103">
        <v>95.8</v>
      </c>
      <c r="I288" s="73">
        <v>15789129</v>
      </c>
      <c r="J288" s="34">
        <f t="shared" si="17"/>
        <v>15789.1</v>
      </c>
      <c r="K288" s="2">
        <f>5000000-1000000</f>
        <v>4000000</v>
      </c>
      <c r="L288" s="2"/>
      <c r="M288" s="2">
        <f aca="true" t="shared" si="19" ref="M288:M295">K288+L288</f>
        <v>4000000</v>
      </c>
      <c r="N288" s="3">
        <f t="shared" si="18"/>
        <v>4000</v>
      </c>
      <c r="O288" s="13"/>
      <c r="P288" s="13"/>
      <c r="Q288" s="13"/>
      <c r="R288" s="13"/>
      <c r="S288" s="13"/>
      <c r="T288" s="13"/>
      <c r="U288" s="13"/>
      <c r="V288" s="13"/>
      <c r="W288" s="13"/>
      <c r="X288" s="13"/>
      <c r="Y288" s="13"/>
      <c r="Z288" s="13"/>
      <c r="AA288" s="13"/>
      <c r="AB288" s="13"/>
      <c r="AC288" s="13"/>
      <c r="AD288" s="13"/>
      <c r="AE288" s="13"/>
      <c r="AF288" s="13"/>
      <c r="AG288" s="13"/>
      <c r="AH288" s="13"/>
      <c r="AI288" s="13"/>
      <c r="AJ288" s="13"/>
      <c r="AK288" s="13"/>
      <c r="AL288" s="13"/>
      <c r="AM288" s="13"/>
      <c r="AN288" s="13"/>
      <c r="AO288" s="13"/>
      <c r="AP288" s="13"/>
      <c r="AQ288" s="13"/>
      <c r="AR288" s="13"/>
      <c r="AS288" s="13"/>
      <c r="AT288" s="13"/>
      <c r="AU288" s="13"/>
      <c r="AV288" s="13"/>
      <c r="AW288" s="13"/>
      <c r="AX288" s="13"/>
      <c r="AY288" s="13"/>
      <c r="AZ288" s="13"/>
      <c r="BA288" s="13"/>
      <c r="BB288" s="13"/>
      <c r="BC288" s="13"/>
      <c r="BD288" s="13"/>
      <c r="BE288" s="13"/>
      <c r="BF288" s="13"/>
      <c r="BG288" s="13"/>
    </row>
    <row r="289" spans="1:59" s="37" customFormat="1" ht="43.5" customHeight="1">
      <c r="A289" s="32"/>
      <c r="B289" s="32"/>
      <c r="C289" s="32"/>
      <c r="D289" s="38" t="s">
        <v>211</v>
      </c>
      <c r="E289" s="38" t="s">
        <v>211</v>
      </c>
      <c r="F289" s="73"/>
      <c r="G289" s="34">
        <f t="shared" si="16"/>
        <v>0</v>
      </c>
      <c r="H289" s="104"/>
      <c r="I289" s="73"/>
      <c r="J289" s="34">
        <f t="shared" si="17"/>
        <v>0</v>
      </c>
      <c r="K289" s="2">
        <f>2000000-800000-1000000</f>
        <v>200000</v>
      </c>
      <c r="L289" s="2"/>
      <c r="M289" s="2">
        <f t="shared" si="19"/>
        <v>200000</v>
      </c>
      <c r="N289" s="3">
        <f t="shared" si="18"/>
        <v>200</v>
      </c>
      <c r="O289" s="13"/>
      <c r="P289" s="13"/>
      <c r="Q289" s="13"/>
      <c r="R289" s="13"/>
      <c r="S289" s="13"/>
      <c r="T289" s="13"/>
      <c r="U289" s="13"/>
      <c r="V289" s="13"/>
      <c r="W289" s="13"/>
      <c r="X289" s="13"/>
      <c r="Y289" s="13"/>
      <c r="Z289" s="13"/>
      <c r="AA289" s="13"/>
      <c r="AB289" s="13"/>
      <c r="AC289" s="13"/>
      <c r="AD289" s="13"/>
      <c r="AE289" s="13"/>
      <c r="AF289" s="13"/>
      <c r="AG289" s="13"/>
      <c r="AH289" s="13"/>
      <c r="AI289" s="13"/>
      <c r="AJ289" s="13"/>
      <c r="AK289" s="13"/>
      <c r="AL289" s="13"/>
      <c r="AM289" s="13"/>
      <c r="AN289" s="13"/>
      <c r="AO289" s="13"/>
      <c r="AP289" s="13"/>
      <c r="AQ289" s="13"/>
      <c r="AR289" s="13"/>
      <c r="AS289" s="13"/>
      <c r="AT289" s="13"/>
      <c r="AU289" s="13"/>
      <c r="AV289" s="13"/>
      <c r="AW289" s="13"/>
      <c r="AX289" s="13"/>
      <c r="AY289" s="13"/>
      <c r="AZ289" s="13"/>
      <c r="BA289" s="13"/>
      <c r="BB289" s="13"/>
      <c r="BC289" s="13"/>
      <c r="BD289" s="13"/>
      <c r="BE289" s="13"/>
      <c r="BF289" s="13"/>
      <c r="BG289" s="13"/>
    </row>
    <row r="290" spans="1:59" s="37" customFormat="1" ht="30.75" customHeight="1">
      <c r="A290" s="32"/>
      <c r="B290" s="32"/>
      <c r="C290" s="32"/>
      <c r="D290" s="38" t="s">
        <v>213</v>
      </c>
      <c r="E290" s="38" t="s">
        <v>213</v>
      </c>
      <c r="F290" s="73"/>
      <c r="G290" s="34">
        <f t="shared" si="16"/>
        <v>0</v>
      </c>
      <c r="H290" s="104"/>
      <c r="I290" s="73"/>
      <c r="J290" s="34">
        <f t="shared" si="17"/>
        <v>0</v>
      </c>
      <c r="K290" s="2">
        <f>3000000-2706000</f>
        <v>294000</v>
      </c>
      <c r="L290" s="2"/>
      <c r="M290" s="2">
        <f t="shared" si="19"/>
        <v>294000</v>
      </c>
      <c r="N290" s="3">
        <f t="shared" si="18"/>
        <v>294</v>
      </c>
      <c r="O290" s="13"/>
      <c r="P290" s="13"/>
      <c r="Q290" s="13"/>
      <c r="R290" s="13"/>
      <c r="S290" s="13"/>
      <c r="T290" s="13"/>
      <c r="U290" s="13"/>
      <c r="V290" s="13"/>
      <c r="W290" s="13"/>
      <c r="X290" s="13"/>
      <c r="Y290" s="13"/>
      <c r="Z290" s="13"/>
      <c r="AA290" s="13"/>
      <c r="AB290" s="13"/>
      <c r="AC290" s="13"/>
      <c r="AD290" s="13"/>
      <c r="AE290" s="13"/>
      <c r="AF290" s="13"/>
      <c r="AG290" s="13"/>
      <c r="AH290" s="13"/>
      <c r="AI290" s="13"/>
      <c r="AJ290" s="13"/>
      <c r="AK290" s="13"/>
      <c r="AL290" s="13"/>
      <c r="AM290" s="13"/>
      <c r="AN290" s="13"/>
      <c r="AO290" s="13"/>
      <c r="AP290" s="13"/>
      <c r="AQ290" s="13"/>
      <c r="AR290" s="13"/>
      <c r="AS290" s="13"/>
      <c r="AT290" s="13"/>
      <c r="AU290" s="13"/>
      <c r="AV290" s="13"/>
      <c r="AW290" s="13"/>
      <c r="AX290" s="13"/>
      <c r="AY290" s="13"/>
      <c r="AZ290" s="13"/>
      <c r="BA290" s="13"/>
      <c r="BB290" s="13"/>
      <c r="BC290" s="13"/>
      <c r="BD290" s="13"/>
      <c r="BE290" s="13"/>
      <c r="BF290" s="13"/>
      <c r="BG290" s="13"/>
    </row>
    <row r="291" spans="1:59" s="37" customFormat="1" ht="30.75" customHeight="1">
      <c r="A291" s="32"/>
      <c r="B291" s="32"/>
      <c r="C291" s="32"/>
      <c r="D291" s="38" t="s">
        <v>282</v>
      </c>
      <c r="E291" s="38" t="s">
        <v>282</v>
      </c>
      <c r="F291" s="73"/>
      <c r="G291" s="34">
        <f t="shared" si="16"/>
        <v>0</v>
      </c>
      <c r="H291" s="104"/>
      <c r="I291" s="73"/>
      <c r="J291" s="34">
        <f t="shared" si="17"/>
        <v>0</v>
      </c>
      <c r="K291" s="2">
        <v>100000</v>
      </c>
      <c r="L291" s="2"/>
      <c r="M291" s="2">
        <f t="shared" si="19"/>
        <v>100000</v>
      </c>
      <c r="N291" s="3">
        <f t="shared" si="18"/>
        <v>100</v>
      </c>
      <c r="O291" s="13"/>
      <c r="P291" s="13"/>
      <c r="Q291" s="13"/>
      <c r="R291" s="13"/>
      <c r="S291" s="13"/>
      <c r="T291" s="13"/>
      <c r="U291" s="13"/>
      <c r="V291" s="13"/>
      <c r="W291" s="13"/>
      <c r="X291" s="13"/>
      <c r="Y291" s="13"/>
      <c r="Z291" s="13"/>
      <c r="AA291" s="13"/>
      <c r="AB291" s="13"/>
      <c r="AC291" s="13"/>
      <c r="AD291" s="13"/>
      <c r="AE291" s="13"/>
      <c r="AF291" s="13"/>
      <c r="AG291" s="13"/>
      <c r="AH291" s="13"/>
      <c r="AI291" s="13"/>
      <c r="AJ291" s="13"/>
      <c r="AK291" s="13"/>
      <c r="AL291" s="13"/>
      <c r="AM291" s="13"/>
      <c r="AN291" s="13"/>
      <c r="AO291" s="13"/>
      <c r="AP291" s="13"/>
      <c r="AQ291" s="13"/>
      <c r="AR291" s="13"/>
      <c r="AS291" s="13"/>
      <c r="AT291" s="13"/>
      <c r="AU291" s="13"/>
      <c r="AV291" s="13"/>
      <c r="AW291" s="13"/>
      <c r="AX291" s="13"/>
      <c r="AY291" s="13"/>
      <c r="AZ291" s="13"/>
      <c r="BA291" s="13"/>
      <c r="BB291" s="13"/>
      <c r="BC291" s="13"/>
      <c r="BD291" s="13"/>
      <c r="BE291" s="13"/>
      <c r="BF291" s="13"/>
      <c r="BG291" s="13"/>
    </row>
    <row r="292" spans="1:59" s="37" customFormat="1" ht="30.75" customHeight="1">
      <c r="A292" s="32"/>
      <c r="B292" s="32"/>
      <c r="C292" s="32"/>
      <c r="D292" s="38" t="s">
        <v>283</v>
      </c>
      <c r="E292" s="38" t="s">
        <v>283</v>
      </c>
      <c r="F292" s="73"/>
      <c r="G292" s="34">
        <f t="shared" si="16"/>
        <v>0</v>
      </c>
      <c r="H292" s="104"/>
      <c r="I292" s="73"/>
      <c r="J292" s="34">
        <f t="shared" si="17"/>
        <v>0</v>
      </c>
      <c r="K292" s="2">
        <f>100000+26000</f>
        <v>126000</v>
      </c>
      <c r="L292" s="2"/>
      <c r="M292" s="2">
        <f t="shared" si="19"/>
        <v>126000</v>
      </c>
      <c r="N292" s="3">
        <f t="shared" si="18"/>
        <v>126</v>
      </c>
      <c r="O292" s="13"/>
      <c r="P292" s="13"/>
      <c r="Q292" s="13"/>
      <c r="R292" s="13"/>
      <c r="S292" s="13"/>
      <c r="T292" s="13"/>
      <c r="U292" s="13"/>
      <c r="V292" s="13"/>
      <c r="W292" s="13"/>
      <c r="X292" s="13"/>
      <c r="Y292" s="13"/>
      <c r="Z292" s="13"/>
      <c r="AA292" s="13"/>
      <c r="AB292" s="13"/>
      <c r="AC292" s="13"/>
      <c r="AD292" s="13"/>
      <c r="AE292" s="13"/>
      <c r="AF292" s="13"/>
      <c r="AG292" s="13"/>
      <c r="AH292" s="13"/>
      <c r="AI292" s="13"/>
      <c r="AJ292" s="13"/>
      <c r="AK292" s="13"/>
      <c r="AL292" s="13"/>
      <c r="AM292" s="13"/>
      <c r="AN292" s="13"/>
      <c r="AO292" s="13"/>
      <c r="AP292" s="13"/>
      <c r="AQ292" s="13"/>
      <c r="AR292" s="13"/>
      <c r="AS292" s="13"/>
      <c r="AT292" s="13"/>
      <c r="AU292" s="13"/>
      <c r="AV292" s="13"/>
      <c r="AW292" s="13"/>
      <c r="AX292" s="13"/>
      <c r="AY292" s="13"/>
      <c r="AZ292" s="13"/>
      <c r="BA292" s="13"/>
      <c r="BB292" s="13"/>
      <c r="BC292" s="13"/>
      <c r="BD292" s="13"/>
      <c r="BE292" s="13"/>
      <c r="BF292" s="13"/>
      <c r="BG292" s="13"/>
    </row>
    <row r="293" spans="1:59" s="37" customFormat="1" ht="30.75" customHeight="1">
      <c r="A293" s="32"/>
      <c r="B293" s="32"/>
      <c r="C293" s="32"/>
      <c r="D293" s="38" t="s">
        <v>284</v>
      </c>
      <c r="E293" s="38" t="s">
        <v>284</v>
      </c>
      <c r="F293" s="73"/>
      <c r="G293" s="34">
        <f t="shared" si="16"/>
        <v>0</v>
      </c>
      <c r="H293" s="104"/>
      <c r="I293" s="73"/>
      <c r="J293" s="34">
        <f t="shared" si="17"/>
        <v>0</v>
      </c>
      <c r="K293" s="2">
        <f>100000+180000</f>
        <v>280000</v>
      </c>
      <c r="L293" s="2"/>
      <c r="M293" s="2">
        <f t="shared" si="19"/>
        <v>280000</v>
      </c>
      <c r="N293" s="3">
        <f t="shared" si="18"/>
        <v>280</v>
      </c>
      <c r="O293" s="13"/>
      <c r="P293" s="13"/>
      <c r="Q293" s="13"/>
      <c r="R293" s="13"/>
      <c r="S293" s="13"/>
      <c r="T293" s="13"/>
      <c r="U293" s="13"/>
      <c r="V293" s="13"/>
      <c r="W293" s="13"/>
      <c r="X293" s="13"/>
      <c r="Y293" s="13"/>
      <c r="Z293" s="13"/>
      <c r="AA293" s="13"/>
      <c r="AB293" s="13"/>
      <c r="AC293" s="13"/>
      <c r="AD293" s="13"/>
      <c r="AE293" s="13"/>
      <c r="AF293" s="13"/>
      <c r="AG293" s="13"/>
      <c r="AH293" s="13"/>
      <c r="AI293" s="13"/>
      <c r="AJ293" s="13"/>
      <c r="AK293" s="13"/>
      <c r="AL293" s="13"/>
      <c r="AM293" s="13"/>
      <c r="AN293" s="13"/>
      <c r="AO293" s="13"/>
      <c r="AP293" s="13"/>
      <c r="AQ293" s="13"/>
      <c r="AR293" s="13"/>
      <c r="AS293" s="13"/>
      <c r="AT293" s="13"/>
      <c r="AU293" s="13"/>
      <c r="AV293" s="13"/>
      <c r="AW293" s="13"/>
      <c r="AX293" s="13"/>
      <c r="AY293" s="13"/>
      <c r="AZ293" s="13"/>
      <c r="BA293" s="13"/>
      <c r="BB293" s="13"/>
      <c r="BC293" s="13"/>
      <c r="BD293" s="13"/>
      <c r="BE293" s="13"/>
      <c r="BF293" s="13"/>
      <c r="BG293" s="13"/>
    </row>
    <row r="294" spans="1:59" s="37" customFormat="1" ht="54" customHeight="1">
      <c r="A294" s="32"/>
      <c r="B294" s="32"/>
      <c r="C294" s="32"/>
      <c r="D294" s="38" t="s">
        <v>285</v>
      </c>
      <c r="E294" s="38" t="s">
        <v>285</v>
      </c>
      <c r="F294" s="73"/>
      <c r="G294" s="34">
        <f t="shared" si="16"/>
        <v>0</v>
      </c>
      <c r="H294" s="104"/>
      <c r="I294" s="73"/>
      <c r="J294" s="34">
        <f t="shared" si="17"/>
        <v>0</v>
      </c>
      <c r="K294" s="2">
        <f>100000+1000000</f>
        <v>1100000</v>
      </c>
      <c r="L294" s="2"/>
      <c r="M294" s="2">
        <f t="shared" si="19"/>
        <v>1100000</v>
      </c>
      <c r="N294" s="3">
        <f t="shared" si="18"/>
        <v>1100</v>
      </c>
      <c r="O294" s="13"/>
      <c r="P294" s="13"/>
      <c r="Q294" s="13"/>
      <c r="R294" s="13"/>
      <c r="S294" s="13"/>
      <c r="T294" s="13"/>
      <c r="U294" s="13"/>
      <c r="V294" s="13"/>
      <c r="W294" s="13"/>
      <c r="X294" s="13"/>
      <c r="Y294" s="13"/>
      <c r="Z294" s="13"/>
      <c r="AA294" s="13"/>
      <c r="AB294" s="13"/>
      <c r="AC294" s="13"/>
      <c r="AD294" s="13"/>
      <c r="AE294" s="13"/>
      <c r="AF294" s="13"/>
      <c r="AG294" s="13"/>
      <c r="AH294" s="13"/>
      <c r="AI294" s="13"/>
      <c r="AJ294" s="13"/>
      <c r="AK294" s="13"/>
      <c r="AL294" s="13"/>
      <c r="AM294" s="13"/>
      <c r="AN294" s="13"/>
      <c r="AO294" s="13"/>
      <c r="AP294" s="13"/>
      <c r="AQ294" s="13"/>
      <c r="AR294" s="13"/>
      <c r="AS294" s="13"/>
      <c r="AT294" s="13"/>
      <c r="AU294" s="13"/>
      <c r="AV294" s="13"/>
      <c r="AW294" s="13"/>
      <c r="AX294" s="13"/>
      <c r="AY294" s="13"/>
      <c r="AZ294" s="13"/>
      <c r="BA294" s="13"/>
      <c r="BB294" s="13"/>
      <c r="BC294" s="13"/>
      <c r="BD294" s="13"/>
      <c r="BE294" s="13"/>
      <c r="BF294" s="13"/>
      <c r="BG294" s="13"/>
    </row>
    <row r="295" spans="1:59" s="37" customFormat="1" ht="48" customHeight="1">
      <c r="A295" s="32"/>
      <c r="B295" s="32"/>
      <c r="C295" s="32"/>
      <c r="D295" s="38" t="s">
        <v>431</v>
      </c>
      <c r="E295" s="38" t="s">
        <v>295</v>
      </c>
      <c r="F295" s="73"/>
      <c r="G295" s="34">
        <f t="shared" si="16"/>
        <v>0</v>
      </c>
      <c r="H295" s="104"/>
      <c r="I295" s="73"/>
      <c r="J295" s="34">
        <f t="shared" si="17"/>
        <v>0</v>
      </c>
      <c r="K295" s="2">
        <v>50000</v>
      </c>
      <c r="L295" s="2"/>
      <c r="M295" s="2">
        <f t="shared" si="19"/>
        <v>50000</v>
      </c>
      <c r="N295" s="3">
        <f t="shared" si="18"/>
        <v>50</v>
      </c>
      <c r="O295" s="13"/>
      <c r="P295" s="13"/>
      <c r="Q295" s="13"/>
      <c r="R295" s="13"/>
      <c r="S295" s="13"/>
      <c r="T295" s="13"/>
      <c r="U295" s="13"/>
      <c r="V295" s="13"/>
      <c r="W295" s="13"/>
      <c r="X295" s="13"/>
      <c r="Y295" s="13"/>
      <c r="Z295" s="13"/>
      <c r="AA295" s="13"/>
      <c r="AB295" s="13"/>
      <c r="AC295" s="13"/>
      <c r="AD295" s="13"/>
      <c r="AE295" s="13"/>
      <c r="AF295" s="13"/>
      <c r="AG295" s="13"/>
      <c r="AH295" s="13"/>
      <c r="AI295" s="13"/>
      <c r="AJ295" s="13"/>
      <c r="AK295" s="13"/>
      <c r="AL295" s="13"/>
      <c r="AM295" s="13"/>
      <c r="AN295" s="13"/>
      <c r="AO295" s="13"/>
      <c r="AP295" s="13"/>
      <c r="AQ295" s="13"/>
      <c r="AR295" s="13"/>
      <c r="AS295" s="13"/>
      <c r="AT295" s="13"/>
      <c r="AU295" s="13"/>
      <c r="AV295" s="13"/>
      <c r="AW295" s="13"/>
      <c r="AX295" s="13"/>
      <c r="AY295" s="13"/>
      <c r="AZ295" s="13"/>
      <c r="BA295" s="13"/>
      <c r="BB295" s="13"/>
      <c r="BC295" s="13"/>
      <c r="BD295" s="13"/>
      <c r="BE295" s="13"/>
      <c r="BF295" s="13"/>
      <c r="BG295" s="13"/>
    </row>
    <row r="296" spans="1:59" s="37" customFormat="1" ht="33" customHeight="1">
      <c r="A296" s="32"/>
      <c r="B296" s="32"/>
      <c r="C296" s="32"/>
      <c r="D296" s="38" t="s">
        <v>240</v>
      </c>
      <c r="E296" s="38" t="s">
        <v>240</v>
      </c>
      <c r="F296" s="73"/>
      <c r="G296" s="34">
        <f t="shared" si="16"/>
        <v>0</v>
      </c>
      <c r="H296" s="104"/>
      <c r="I296" s="73"/>
      <c r="J296" s="34">
        <f t="shared" si="17"/>
        <v>0</v>
      </c>
      <c r="K296" s="2">
        <v>100000</v>
      </c>
      <c r="L296" s="2"/>
      <c r="M296" s="2">
        <f t="shared" si="14"/>
        <v>100000</v>
      </c>
      <c r="N296" s="3">
        <f t="shared" si="18"/>
        <v>100</v>
      </c>
      <c r="O296" s="13"/>
      <c r="P296" s="13"/>
      <c r="Q296" s="13"/>
      <c r="R296" s="13"/>
      <c r="S296" s="13"/>
      <c r="T296" s="13"/>
      <c r="U296" s="13"/>
      <c r="V296" s="13"/>
      <c r="W296" s="13"/>
      <c r="X296" s="13"/>
      <c r="Y296" s="13"/>
      <c r="Z296" s="13"/>
      <c r="AA296" s="13"/>
      <c r="AB296" s="13"/>
      <c r="AC296" s="13"/>
      <c r="AD296" s="13"/>
      <c r="AE296" s="13"/>
      <c r="AF296" s="13"/>
      <c r="AG296" s="13"/>
      <c r="AH296" s="13"/>
      <c r="AI296" s="13"/>
      <c r="AJ296" s="13"/>
      <c r="AK296" s="13"/>
      <c r="AL296" s="13"/>
      <c r="AM296" s="13"/>
      <c r="AN296" s="13"/>
      <c r="AO296" s="13"/>
      <c r="AP296" s="13"/>
      <c r="AQ296" s="13"/>
      <c r="AR296" s="13"/>
      <c r="AS296" s="13"/>
      <c r="AT296" s="13"/>
      <c r="AU296" s="13"/>
      <c r="AV296" s="13"/>
      <c r="AW296" s="13"/>
      <c r="AX296" s="13"/>
      <c r="AY296" s="13"/>
      <c r="AZ296" s="13"/>
      <c r="BA296" s="13"/>
      <c r="BB296" s="13"/>
      <c r="BC296" s="13"/>
      <c r="BD296" s="13"/>
      <c r="BE296" s="13"/>
      <c r="BF296" s="13"/>
      <c r="BG296" s="13"/>
    </row>
    <row r="297" spans="1:59" s="37" customFormat="1" ht="34.5" customHeight="1">
      <c r="A297" s="32"/>
      <c r="B297" s="32"/>
      <c r="C297" s="32"/>
      <c r="D297" s="38" t="s">
        <v>241</v>
      </c>
      <c r="E297" s="38" t="s">
        <v>241</v>
      </c>
      <c r="F297" s="73"/>
      <c r="G297" s="34">
        <f t="shared" si="16"/>
        <v>0</v>
      </c>
      <c r="H297" s="104"/>
      <c r="I297" s="73"/>
      <c r="J297" s="34">
        <f t="shared" si="17"/>
        <v>0</v>
      </c>
      <c r="K297" s="2">
        <v>96600</v>
      </c>
      <c r="L297" s="2"/>
      <c r="M297" s="2">
        <f t="shared" si="14"/>
        <v>96600</v>
      </c>
      <c r="N297" s="3">
        <f t="shared" si="18"/>
        <v>96.6</v>
      </c>
      <c r="O297" s="13"/>
      <c r="P297" s="13"/>
      <c r="Q297" s="13"/>
      <c r="R297" s="13"/>
      <c r="S297" s="13"/>
      <c r="T297" s="13"/>
      <c r="U297" s="13"/>
      <c r="V297" s="13"/>
      <c r="W297" s="13"/>
      <c r="X297" s="13"/>
      <c r="Y297" s="13"/>
      <c r="Z297" s="13"/>
      <c r="AA297" s="13"/>
      <c r="AB297" s="13"/>
      <c r="AC297" s="13"/>
      <c r="AD297" s="13"/>
      <c r="AE297" s="13"/>
      <c r="AF297" s="13"/>
      <c r="AG297" s="13"/>
      <c r="AH297" s="13"/>
      <c r="AI297" s="13"/>
      <c r="AJ297" s="13"/>
      <c r="AK297" s="13"/>
      <c r="AL297" s="13"/>
      <c r="AM297" s="13"/>
      <c r="AN297" s="13"/>
      <c r="AO297" s="13"/>
      <c r="AP297" s="13"/>
      <c r="AQ297" s="13"/>
      <c r="AR297" s="13"/>
      <c r="AS297" s="13"/>
      <c r="AT297" s="13"/>
      <c r="AU297" s="13"/>
      <c r="AV297" s="13"/>
      <c r="AW297" s="13"/>
      <c r="AX297" s="13"/>
      <c r="AY297" s="13"/>
      <c r="AZ297" s="13"/>
      <c r="BA297" s="13"/>
      <c r="BB297" s="13"/>
      <c r="BC297" s="13"/>
      <c r="BD297" s="13"/>
      <c r="BE297" s="13"/>
      <c r="BF297" s="13"/>
      <c r="BG297" s="13"/>
    </row>
    <row r="298" spans="1:59" s="37" customFormat="1" ht="34.5" customHeight="1">
      <c r="A298" s="32"/>
      <c r="B298" s="32"/>
      <c r="C298" s="32"/>
      <c r="D298" s="38" t="s">
        <v>214</v>
      </c>
      <c r="E298" s="38" t="s">
        <v>214</v>
      </c>
      <c r="F298" s="73">
        <v>31834622</v>
      </c>
      <c r="G298" s="34">
        <f t="shared" si="16"/>
        <v>31834.6</v>
      </c>
      <c r="H298" s="103">
        <v>98.3</v>
      </c>
      <c r="I298" s="73">
        <v>31285694</v>
      </c>
      <c r="J298" s="34">
        <f t="shared" si="17"/>
        <v>31285.7</v>
      </c>
      <c r="K298" s="2">
        <f>5000000+4000000</f>
        <v>9000000</v>
      </c>
      <c r="L298" s="2"/>
      <c r="M298" s="2">
        <f t="shared" si="14"/>
        <v>9000000</v>
      </c>
      <c r="N298" s="3">
        <f t="shared" si="18"/>
        <v>9000</v>
      </c>
      <c r="O298" s="13"/>
      <c r="P298" s="13"/>
      <c r="Q298" s="13"/>
      <c r="R298" s="13"/>
      <c r="S298" s="13"/>
      <c r="T298" s="13"/>
      <c r="U298" s="13"/>
      <c r="V298" s="13"/>
      <c r="W298" s="13"/>
      <c r="X298" s="13"/>
      <c r="Y298" s="13"/>
      <c r="Z298" s="13"/>
      <c r="AA298" s="13"/>
      <c r="AB298" s="13"/>
      <c r="AC298" s="13"/>
      <c r="AD298" s="13"/>
      <c r="AE298" s="13"/>
      <c r="AF298" s="13"/>
      <c r="AG298" s="13"/>
      <c r="AH298" s="13"/>
      <c r="AI298" s="13"/>
      <c r="AJ298" s="13"/>
      <c r="AK298" s="13"/>
      <c r="AL298" s="13"/>
      <c r="AM298" s="13"/>
      <c r="AN298" s="13"/>
      <c r="AO298" s="13"/>
      <c r="AP298" s="13"/>
      <c r="AQ298" s="13"/>
      <c r="AR298" s="13"/>
      <c r="AS298" s="13"/>
      <c r="AT298" s="13"/>
      <c r="AU298" s="13"/>
      <c r="AV298" s="13"/>
      <c r="AW298" s="13"/>
      <c r="AX298" s="13"/>
      <c r="AY298" s="13"/>
      <c r="AZ298" s="13"/>
      <c r="BA298" s="13"/>
      <c r="BB298" s="13"/>
      <c r="BC298" s="13"/>
      <c r="BD298" s="13"/>
      <c r="BE298" s="13"/>
      <c r="BF298" s="13"/>
      <c r="BG298" s="13"/>
    </row>
    <row r="299" spans="1:59" s="37" customFormat="1" ht="34.5" customHeight="1">
      <c r="A299" s="32"/>
      <c r="B299" s="32"/>
      <c r="C299" s="32"/>
      <c r="D299" s="38" t="s">
        <v>388</v>
      </c>
      <c r="E299" s="38" t="s">
        <v>388</v>
      </c>
      <c r="F299" s="73"/>
      <c r="G299" s="34">
        <f t="shared" si="16"/>
        <v>0</v>
      </c>
      <c r="H299" s="103"/>
      <c r="I299" s="73"/>
      <c r="J299" s="34">
        <f t="shared" si="17"/>
        <v>0</v>
      </c>
      <c r="K299" s="2">
        <v>50000</v>
      </c>
      <c r="L299" s="2"/>
      <c r="M299" s="2">
        <f t="shared" si="14"/>
        <v>50000</v>
      </c>
      <c r="N299" s="3">
        <f t="shared" si="18"/>
        <v>50</v>
      </c>
      <c r="O299" s="13"/>
      <c r="P299" s="13"/>
      <c r="Q299" s="13"/>
      <c r="R299" s="13"/>
      <c r="S299" s="13"/>
      <c r="T299" s="13"/>
      <c r="U299" s="13"/>
      <c r="V299" s="13"/>
      <c r="W299" s="13"/>
      <c r="X299" s="13"/>
      <c r="Y299" s="13"/>
      <c r="Z299" s="13"/>
      <c r="AA299" s="13"/>
      <c r="AB299" s="13"/>
      <c r="AC299" s="13"/>
      <c r="AD299" s="13"/>
      <c r="AE299" s="13"/>
      <c r="AF299" s="13"/>
      <c r="AG299" s="13"/>
      <c r="AH299" s="13"/>
      <c r="AI299" s="13"/>
      <c r="AJ299" s="13"/>
      <c r="AK299" s="13"/>
      <c r="AL299" s="13"/>
      <c r="AM299" s="13"/>
      <c r="AN299" s="13"/>
      <c r="AO299" s="13"/>
      <c r="AP299" s="13"/>
      <c r="AQ299" s="13"/>
      <c r="AR299" s="13"/>
      <c r="AS299" s="13"/>
      <c r="AT299" s="13"/>
      <c r="AU299" s="13"/>
      <c r="AV299" s="13"/>
      <c r="AW299" s="13"/>
      <c r="AX299" s="13"/>
      <c r="AY299" s="13"/>
      <c r="AZ299" s="13"/>
      <c r="BA299" s="13"/>
      <c r="BB299" s="13"/>
      <c r="BC299" s="13"/>
      <c r="BD299" s="13"/>
      <c r="BE299" s="13"/>
      <c r="BF299" s="13"/>
      <c r="BG299" s="13"/>
    </row>
    <row r="300" spans="1:59" s="37" customFormat="1" ht="45" customHeight="1">
      <c r="A300" s="32"/>
      <c r="B300" s="32"/>
      <c r="C300" s="32"/>
      <c r="D300" s="38" t="s">
        <v>253</v>
      </c>
      <c r="E300" s="38" t="s">
        <v>253</v>
      </c>
      <c r="F300" s="73"/>
      <c r="G300" s="34">
        <f t="shared" si="16"/>
        <v>0</v>
      </c>
      <c r="H300" s="104"/>
      <c r="I300" s="73"/>
      <c r="J300" s="34">
        <f t="shared" si="17"/>
        <v>0</v>
      </c>
      <c r="K300" s="2">
        <f>500000+400000</f>
        <v>900000</v>
      </c>
      <c r="L300" s="2"/>
      <c r="M300" s="2">
        <f t="shared" si="14"/>
        <v>900000</v>
      </c>
      <c r="N300" s="3">
        <f t="shared" si="18"/>
        <v>900</v>
      </c>
      <c r="O300" s="13"/>
      <c r="P300" s="13"/>
      <c r="Q300" s="13"/>
      <c r="R300" s="13"/>
      <c r="S300" s="13"/>
      <c r="T300" s="13"/>
      <c r="U300" s="13"/>
      <c r="V300" s="13"/>
      <c r="W300" s="13"/>
      <c r="X300" s="13"/>
      <c r="Y300" s="13"/>
      <c r="Z300" s="13"/>
      <c r="AA300" s="13"/>
      <c r="AB300" s="13"/>
      <c r="AC300" s="13"/>
      <c r="AD300" s="13"/>
      <c r="AE300" s="13"/>
      <c r="AF300" s="13"/>
      <c r="AG300" s="13"/>
      <c r="AH300" s="13"/>
      <c r="AI300" s="13"/>
      <c r="AJ300" s="13"/>
      <c r="AK300" s="13"/>
      <c r="AL300" s="13"/>
      <c r="AM300" s="13"/>
      <c r="AN300" s="13"/>
      <c r="AO300" s="13"/>
      <c r="AP300" s="13"/>
      <c r="AQ300" s="13"/>
      <c r="AR300" s="13"/>
      <c r="AS300" s="13"/>
      <c r="AT300" s="13"/>
      <c r="AU300" s="13"/>
      <c r="AV300" s="13"/>
      <c r="AW300" s="13"/>
      <c r="AX300" s="13"/>
      <c r="AY300" s="13"/>
      <c r="AZ300" s="13"/>
      <c r="BA300" s="13"/>
      <c r="BB300" s="13"/>
      <c r="BC300" s="13"/>
      <c r="BD300" s="13"/>
      <c r="BE300" s="13"/>
      <c r="BF300" s="13"/>
      <c r="BG300" s="13"/>
    </row>
    <row r="301" spans="1:59" s="37" customFormat="1" ht="35.25" customHeight="1">
      <c r="A301" s="32"/>
      <c r="B301" s="32"/>
      <c r="C301" s="32"/>
      <c r="D301" s="38" t="s">
        <v>372</v>
      </c>
      <c r="E301" s="38" t="s">
        <v>372</v>
      </c>
      <c r="F301" s="73"/>
      <c r="G301" s="34">
        <f t="shared" si="16"/>
        <v>0</v>
      </c>
      <c r="H301" s="104"/>
      <c r="I301" s="73"/>
      <c r="J301" s="34">
        <f t="shared" si="17"/>
        <v>0</v>
      </c>
      <c r="K301" s="2">
        <f>150000+500000</f>
        <v>650000</v>
      </c>
      <c r="L301" s="2"/>
      <c r="M301" s="2">
        <f t="shared" si="14"/>
        <v>650000</v>
      </c>
      <c r="N301" s="3">
        <f t="shared" si="18"/>
        <v>650</v>
      </c>
      <c r="O301" s="13"/>
      <c r="P301" s="13"/>
      <c r="Q301" s="13"/>
      <c r="R301" s="13"/>
      <c r="S301" s="13"/>
      <c r="T301" s="13"/>
      <c r="U301" s="13"/>
      <c r="V301" s="13"/>
      <c r="W301" s="13"/>
      <c r="X301" s="13"/>
      <c r="Y301" s="13"/>
      <c r="Z301" s="13"/>
      <c r="AA301" s="13"/>
      <c r="AB301" s="13"/>
      <c r="AC301" s="13"/>
      <c r="AD301" s="13"/>
      <c r="AE301" s="13"/>
      <c r="AF301" s="13"/>
      <c r="AG301" s="13"/>
      <c r="AH301" s="13"/>
      <c r="AI301" s="13"/>
      <c r="AJ301" s="13"/>
      <c r="AK301" s="13"/>
      <c r="AL301" s="13"/>
      <c r="AM301" s="13"/>
      <c r="AN301" s="13"/>
      <c r="AO301" s="13"/>
      <c r="AP301" s="13"/>
      <c r="AQ301" s="13"/>
      <c r="AR301" s="13"/>
      <c r="AS301" s="13"/>
      <c r="AT301" s="13"/>
      <c r="AU301" s="13"/>
      <c r="AV301" s="13"/>
      <c r="AW301" s="13"/>
      <c r="AX301" s="13"/>
      <c r="AY301" s="13"/>
      <c r="AZ301" s="13"/>
      <c r="BA301" s="13"/>
      <c r="BB301" s="13"/>
      <c r="BC301" s="13"/>
      <c r="BD301" s="13"/>
      <c r="BE301" s="13"/>
      <c r="BF301" s="13"/>
      <c r="BG301" s="13"/>
    </row>
    <row r="302" spans="1:59" s="37" customFormat="1" ht="33" customHeight="1">
      <c r="A302" s="32"/>
      <c r="B302" s="32"/>
      <c r="C302" s="32"/>
      <c r="D302" s="38" t="s">
        <v>286</v>
      </c>
      <c r="E302" s="38" t="s">
        <v>286</v>
      </c>
      <c r="F302" s="73"/>
      <c r="G302" s="34">
        <f t="shared" si="16"/>
        <v>0</v>
      </c>
      <c r="H302" s="104"/>
      <c r="I302" s="73"/>
      <c r="J302" s="34">
        <f t="shared" si="17"/>
        <v>0</v>
      </c>
      <c r="K302" s="2">
        <f>300000+200000</f>
        <v>500000</v>
      </c>
      <c r="L302" s="2"/>
      <c r="M302" s="2">
        <f t="shared" si="14"/>
        <v>500000</v>
      </c>
      <c r="N302" s="3">
        <f t="shared" si="18"/>
        <v>500</v>
      </c>
      <c r="O302" s="13"/>
      <c r="P302" s="13"/>
      <c r="Q302" s="13"/>
      <c r="R302" s="13"/>
      <c r="S302" s="13"/>
      <c r="T302" s="13"/>
      <c r="U302" s="13"/>
      <c r="V302" s="13"/>
      <c r="W302" s="13"/>
      <c r="X302" s="13"/>
      <c r="Y302" s="13"/>
      <c r="Z302" s="13"/>
      <c r="AA302" s="13"/>
      <c r="AB302" s="13"/>
      <c r="AC302" s="13"/>
      <c r="AD302" s="13"/>
      <c r="AE302" s="13"/>
      <c r="AF302" s="13"/>
      <c r="AG302" s="13"/>
      <c r="AH302" s="13"/>
      <c r="AI302" s="13"/>
      <c r="AJ302" s="13"/>
      <c r="AK302" s="13"/>
      <c r="AL302" s="13"/>
      <c r="AM302" s="13"/>
      <c r="AN302" s="13"/>
      <c r="AO302" s="13"/>
      <c r="AP302" s="13"/>
      <c r="AQ302" s="13"/>
      <c r="AR302" s="13"/>
      <c r="AS302" s="13"/>
      <c r="AT302" s="13"/>
      <c r="AU302" s="13"/>
      <c r="AV302" s="13"/>
      <c r="AW302" s="13"/>
      <c r="AX302" s="13"/>
      <c r="AY302" s="13"/>
      <c r="AZ302" s="13"/>
      <c r="BA302" s="13"/>
      <c r="BB302" s="13"/>
      <c r="BC302" s="13"/>
      <c r="BD302" s="13"/>
      <c r="BE302" s="13"/>
      <c r="BF302" s="13"/>
      <c r="BG302" s="13"/>
    </row>
    <row r="303" spans="1:59" s="37" customFormat="1" ht="33" customHeight="1">
      <c r="A303" s="32"/>
      <c r="B303" s="32"/>
      <c r="C303" s="32"/>
      <c r="D303" s="38" t="s">
        <v>396</v>
      </c>
      <c r="E303" s="38" t="s">
        <v>396</v>
      </c>
      <c r="F303" s="73"/>
      <c r="G303" s="34">
        <f t="shared" si="16"/>
        <v>0</v>
      </c>
      <c r="H303" s="104"/>
      <c r="I303" s="73"/>
      <c r="J303" s="34">
        <f t="shared" si="17"/>
        <v>0</v>
      </c>
      <c r="K303" s="2">
        <v>100000</v>
      </c>
      <c r="L303" s="2"/>
      <c r="M303" s="2">
        <f t="shared" si="14"/>
        <v>100000</v>
      </c>
      <c r="N303" s="3">
        <f t="shared" si="18"/>
        <v>100</v>
      </c>
      <c r="O303" s="13"/>
      <c r="P303" s="13"/>
      <c r="Q303" s="13"/>
      <c r="R303" s="13"/>
      <c r="S303" s="13"/>
      <c r="T303" s="13"/>
      <c r="U303" s="13"/>
      <c r="V303" s="13"/>
      <c r="W303" s="13"/>
      <c r="X303" s="13"/>
      <c r="Y303" s="13"/>
      <c r="Z303" s="13"/>
      <c r="AA303" s="13"/>
      <c r="AB303" s="13"/>
      <c r="AC303" s="13"/>
      <c r="AD303" s="13"/>
      <c r="AE303" s="13"/>
      <c r="AF303" s="13"/>
      <c r="AG303" s="13"/>
      <c r="AH303" s="13"/>
      <c r="AI303" s="13"/>
      <c r="AJ303" s="13"/>
      <c r="AK303" s="13"/>
      <c r="AL303" s="13"/>
      <c r="AM303" s="13"/>
      <c r="AN303" s="13"/>
      <c r="AO303" s="13"/>
      <c r="AP303" s="13"/>
      <c r="AQ303" s="13"/>
      <c r="AR303" s="13"/>
      <c r="AS303" s="13"/>
      <c r="AT303" s="13"/>
      <c r="AU303" s="13"/>
      <c r="AV303" s="13"/>
      <c r="AW303" s="13"/>
      <c r="AX303" s="13"/>
      <c r="AY303" s="13"/>
      <c r="AZ303" s="13"/>
      <c r="BA303" s="13"/>
      <c r="BB303" s="13"/>
      <c r="BC303" s="13"/>
      <c r="BD303" s="13"/>
      <c r="BE303" s="13"/>
      <c r="BF303" s="13"/>
      <c r="BG303" s="13"/>
    </row>
    <row r="304" spans="1:59" s="37" customFormat="1" ht="42.75" customHeight="1">
      <c r="A304" s="32"/>
      <c r="B304" s="32"/>
      <c r="C304" s="32"/>
      <c r="D304" s="38" t="s">
        <v>221</v>
      </c>
      <c r="E304" s="74" t="s">
        <v>221</v>
      </c>
      <c r="F304" s="73">
        <v>7995986</v>
      </c>
      <c r="G304" s="34">
        <f t="shared" si="16"/>
        <v>7996</v>
      </c>
      <c r="H304" s="103">
        <v>97.2</v>
      </c>
      <c r="I304" s="73">
        <v>7768864</v>
      </c>
      <c r="J304" s="34">
        <f t="shared" si="17"/>
        <v>7768.9</v>
      </c>
      <c r="K304" s="2">
        <v>500000</v>
      </c>
      <c r="L304" s="2"/>
      <c r="M304" s="2">
        <f t="shared" si="14"/>
        <v>500000</v>
      </c>
      <c r="N304" s="3">
        <f t="shared" si="18"/>
        <v>500</v>
      </c>
      <c r="O304" s="13"/>
      <c r="P304" s="13"/>
      <c r="Q304" s="13"/>
      <c r="R304" s="13"/>
      <c r="S304" s="13"/>
      <c r="T304" s="13"/>
      <c r="U304" s="13"/>
      <c r="V304" s="13"/>
      <c r="W304" s="13"/>
      <c r="X304" s="13"/>
      <c r="Y304" s="13"/>
      <c r="Z304" s="13"/>
      <c r="AA304" s="13"/>
      <c r="AB304" s="13"/>
      <c r="AC304" s="13"/>
      <c r="AD304" s="13"/>
      <c r="AE304" s="13"/>
      <c r="AF304" s="13"/>
      <c r="AG304" s="13"/>
      <c r="AH304" s="13"/>
      <c r="AI304" s="13"/>
      <c r="AJ304" s="13"/>
      <c r="AK304" s="13"/>
      <c r="AL304" s="13"/>
      <c r="AM304" s="13"/>
      <c r="AN304" s="13"/>
      <c r="AO304" s="13"/>
      <c r="AP304" s="13"/>
      <c r="AQ304" s="13"/>
      <c r="AR304" s="13"/>
      <c r="AS304" s="13"/>
      <c r="AT304" s="13"/>
      <c r="AU304" s="13"/>
      <c r="AV304" s="13"/>
      <c r="AW304" s="13"/>
      <c r="AX304" s="13"/>
      <c r="AY304" s="13"/>
      <c r="AZ304" s="13"/>
      <c r="BA304" s="13"/>
      <c r="BB304" s="13"/>
      <c r="BC304" s="13"/>
      <c r="BD304" s="13"/>
      <c r="BE304" s="13"/>
      <c r="BF304" s="13"/>
      <c r="BG304" s="13"/>
    </row>
    <row r="305" spans="1:59" s="37" customFormat="1" ht="49.5" customHeight="1">
      <c r="A305" s="32"/>
      <c r="B305" s="32"/>
      <c r="C305" s="32"/>
      <c r="D305" s="38" t="s">
        <v>222</v>
      </c>
      <c r="E305" s="74" t="s">
        <v>222</v>
      </c>
      <c r="F305" s="73"/>
      <c r="G305" s="34">
        <f t="shared" si="16"/>
        <v>0</v>
      </c>
      <c r="H305" s="104"/>
      <c r="I305" s="73"/>
      <c r="J305" s="34">
        <f t="shared" si="17"/>
        <v>0</v>
      </c>
      <c r="K305" s="2">
        <f>100000+150000</f>
        <v>250000</v>
      </c>
      <c r="L305" s="2"/>
      <c r="M305" s="2">
        <f t="shared" si="14"/>
        <v>250000</v>
      </c>
      <c r="N305" s="3">
        <f t="shared" si="18"/>
        <v>250</v>
      </c>
      <c r="O305" s="13"/>
      <c r="P305" s="13"/>
      <c r="Q305" s="13"/>
      <c r="R305" s="13"/>
      <c r="S305" s="13"/>
      <c r="T305" s="13"/>
      <c r="U305" s="13"/>
      <c r="V305" s="13"/>
      <c r="W305" s="13"/>
      <c r="X305" s="13"/>
      <c r="Y305" s="13"/>
      <c r="Z305" s="13"/>
      <c r="AA305" s="13"/>
      <c r="AB305" s="13"/>
      <c r="AC305" s="13"/>
      <c r="AD305" s="13"/>
      <c r="AE305" s="13"/>
      <c r="AF305" s="13"/>
      <c r="AG305" s="13"/>
      <c r="AH305" s="13"/>
      <c r="AI305" s="13"/>
      <c r="AJ305" s="13"/>
      <c r="AK305" s="13"/>
      <c r="AL305" s="13"/>
      <c r="AM305" s="13"/>
      <c r="AN305" s="13"/>
      <c r="AO305" s="13"/>
      <c r="AP305" s="13"/>
      <c r="AQ305" s="13"/>
      <c r="AR305" s="13"/>
      <c r="AS305" s="13"/>
      <c r="AT305" s="13"/>
      <c r="AU305" s="13"/>
      <c r="AV305" s="13"/>
      <c r="AW305" s="13"/>
      <c r="AX305" s="13"/>
      <c r="AY305" s="13"/>
      <c r="AZ305" s="13"/>
      <c r="BA305" s="13"/>
      <c r="BB305" s="13"/>
      <c r="BC305" s="13"/>
      <c r="BD305" s="13"/>
      <c r="BE305" s="13"/>
      <c r="BF305" s="13"/>
      <c r="BG305" s="13"/>
    </row>
    <row r="306" spans="1:59" s="66" customFormat="1" ht="27" customHeight="1">
      <c r="A306" s="31" t="s">
        <v>91</v>
      </c>
      <c r="B306" s="31" t="s">
        <v>135</v>
      </c>
      <c r="C306" s="31"/>
      <c r="D306" s="61" t="s">
        <v>92</v>
      </c>
      <c r="E306" s="61"/>
      <c r="F306" s="61"/>
      <c r="G306" s="64">
        <f t="shared" si="16"/>
        <v>0</v>
      </c>
      <c r="H306" s="26"/>
      <c r="I306" s="61"/>
      <c r="J306" s="64">
        <f t="shared" si="17"/>
        <v>0</v>
      </c>
      <c r="K306" s="35">
        <f aca="true" t="shared" si="20" ref="K306:N307">K307</f>
        <v>908100</v>
      </c>
      <c r="L306" s="35">
        <f t="shared" si="20"/>
        <v>0</v>
      </c>
      <c r="M306" s="35">
        <f t="shared" si="20"/>
        <v>908100</v>
      </c>
      <c r="N306" s="36">
        <f t="shared" si="20"/>
        <v>908.1</v>
      </c>
      <c r="O306" s="65"/>
      <c r="P306" s="65"/>
      <c r="Q306" s="65"/>
      <c r="R306" s="65"/>
      <c r="S306" s="65"/>
      <c r="T306" s="65"/>
      <c r="U306" s="65"/>
      <c r="V306" s="65"/>
      <c r="W306" s="65"/>
      <c r="X306" s="65"/>
      <c r="Y306" s="65"/>
      <c r="Z306" s="65"/>
      <c r="AA306" s="65"/>
      <c r="AB306" s="65"/>
      <c r="AC306" s="65"/>
      <c r="AD306" s="65"/>
      <c r="AE306" s="65"/>
      <c r="AF306" s="65"/>
      <c r="AG306" s="65"/>
      <c r="AH306" s="65"/>
      <c r="AI306" s="65"/>
      <c r="AJ306" s="65"/>
      <c r="AK306" s="65"/>
      <c r="AL306" s="65"/>
      <c r="AM306" s="65"/>
      <c r="AN306" s="65"/>
      <c r="AO306" s="65"/>
      <c r="AP306" s="65"/>
      <c r="AQ306" s="65"/>
      <c r="AR306" s="65"/>
      <c r="AS306" s="65"/>
      <c r="AT306" s="65"/>
      <c r="AU306" s="65"/>
      <c r="AV306" s="65"/>
      <c r="AW306" s="65"/>
      <c r="AX306" s="65"/>
      <c r="AY306" s="65"/>
      <c r="AZ306" s="65"/>
      <c r="BA306" s="65"/>
      <c r="BB306" s="65"/>
      <c r="BC306" s="65"/>
      <c r="BD306" s="65"/>
      <c r="BE306" s="65"/>
      <c r="BF306" s="65"/>
      <c r="BG306" s="65"/>
    </row>
    <row r="307" spans="1:59" s="37" customFormat="1" ht="39" customHeight="1">
      <c r="A307" s="32" t="s">
        <v>93</v>
      </c>
      <c r="B307" s="32" t="s">
        <v>136</v>
      </c>
      <c r="C307" s="32" t="s">
        <v>130</v>
      </c>
      <c r="D307" s="38" t="s">
        <v>427</v>
      </c>
      <c r="F307" s="38"/>
      <c r="G307" s="34">
        <f t="shared" si="16"/>
        <v>0</v>
      </c>
      <c r="H307" s="30"/>
      <c r="I307" s="38"/>
      <c r="J307" s="34">
        <f t="shared" si="17"/>
        <v>0</v>
      </c>
      <c r="K307" s="2">
        <f t="shared" si="20"/>
        <v>908100</v>
      </c>
      <c r="L307" s="2">
        <f t="shared" si="20"/>
        <v>0</v>
      </c>
      <c r="M307" s="2">
        <f t="shared" si="20"/>
        <v>908100</v>
      </c>
      <c r="N307" s="40">
        <f t="shared" si="20"/>
        <v>908.1</v>
      </c>
      <c r="O307" s="13"/>
      <c r="P307" s="13"/>
      <c r="Q307" s="13"/>
      <c r="R307" s="13"/>
      <c r="S307" s="13"/>
      <c r="T307" s="13"/>
      <c r="U307" s="13"/>
      <c r="V307" s="13"/>
      <c r="W307" s="13"/>
      <c r="X307" s="13"/>
      <c r="Y307" s="13"/>
      <c r="Z307" s="13"/>
      <c r="AA307" s="13"/>
      <c r="AB307" s="13"/>
      <c r="AC307" s="13"/>
      <c r="AD307" s="13"/>
      <c r="AE307" s="13"/>
      <c r="AF307" s="13"/>
      <c r="AG307" s="13"/>
      <c r="AH307" s="13"/>
      <c r="AI307" s="13"/>
      <c r="AJ307" s="13"/>
      <c r="AK307" s="13"/>
      <c r="AL307" s="13"/>
      <c r="AM307" s="13"/>
      <c r="AN307" s="13"/>
      <c r="AO307" s="13"/>
      <c r="AP307" s="13"/>
      <c r="AQ307" s="13"/>
      <c r="AR307" s="13"/>
      <c r="AS307" s="13"/>
      <c r="AT307" s="13"/>
      <c r="AU307" s="13"/>
      <c r="AV307" s="13"/>
      <c r="AW307" s="13"/>
      <c r="AX307" s="13"/>
      <c r="AY307" s="13"/>
      <c r="AZ307" s="13"/>
      <c r="BA307" s="13"/>
      <c r="BB307" s="13"/>
      <c r="BC307" s="13"/>
      <c r="BD307" s="13"/>
      <c r="BE307" s="13"/>
      <c r="BF307" s="13"/>
      <c r="BG307" s="13"/>
    </row>
    <row r="308" spans="1:59" s="47" customFormat="1" ht="27" customHeight="1">
      <c r="A308" s="41"/>
      <c r="B308" s="41"/>
      <c r="C308" s="41"/>
      <c r="D308" s="76" t="s">
        <v>224</v>
      </c>
      <c r="E308" s="76" t="s">
        <v>224</v>
      </c>
      <c r="F308" s="42"/>
      <c r="G308" s="43">
        <f t="shared" si="16"/>
        <v>0</v>
      </c>
      <c r="H308" s="100"/>
      <c r="I308" s="42"/>
      <c r="J308" s="43">
        <f t="shared" si="17"/>
        <v>0</v>
      </c>
      <c r="K308" s="1">
        <f>108100+500000+300000</f>
        <v>908100</v>
      </c>
      <c r="L308" s="1"/>
      <c r="M308" s="1">
        <f t="shared" si="14"/>
        <v>908100</v>
      </c>
      <c r="N308" s="45">
        <f t="shared" si="18"/>
        <v>908.1</v>
      </c>
      <c r="O308" s="46"/>
      <c r="P308" s="46"/>
      <c r="Q308" s="46"/>
      <c r="R308" s="46"/>
      <c r="S308" s="46"/>
      <c r="T308" s="46"/>
      <c r="U308" s="46"/>
      <c r="V308" s="46"/>
      <c r="W308" s="46"/>
      <c r="X308" s="46"/>
      <c r="Y308" s="46"/>
      <c r="Z308" s="46"/>
      <c r="AA308" s="46"/>
      <c r="AB308" s="46"/>
      <c r="AC308" s="46"/>
      <c r="AD308" s="46"/>
      <c r="AE308" s="46"/>
      <c r="AF308" s="46"/>
      <c r="AG308" s="46"/>
      <c r="AH308" s="46"/>
      <c r="AI308" s="46"/>
      <c r="AJ308" s="46"/>
      <c r="AK308" s="46"/>
      <c r="AL308" s="46"/>
      <c r="AM308" s="46"/>
      <c r="AN308" s="46"/>
      <c r="AO308" s="46"/>
      <c r="AP308" s="46"/>
      <c r="AQ308" s="46"/>
      <c r="AR308" s="46"/>
      <c r="AS308" s="46"/>
      <c r="AT308" s="46"/>
      <c r="AU308" s="46"/>
      <c r="AV308" s="46"/>
      <c r="AW308" s="46"/>
      <c r="AX308" s="46"/>
      <c r="AY308" s="46"/>
      <c r="AZ308" s="46"/>
      <c r="BA308" s="46"/>
      <c r="BB308" s="46"/>
      <c r="BC308" s="46"/>
      <c r="BD308" s="46"/>
      <c r="BE308" s="46"/>
      <c r="BF308" s="46"/>
      <c r="BG308" s="46"/>
    </row>
    <row r="309" spans="1:59" s="37" customFormat="1" ht="27" customHeight="1">
      <c r="A309" s="32" t="s">
        <v>245</v>
      </c>
      <c r="B309" s="32" t="s">
        <v>140</v>
      </c>
      <c r="C309" s="32" t="s">
        <v>141</v>
      </c>
      <c r="D309" s="38" t="s">
        <v>66</v>
      </c>
      <c r="E309" s="38"/>
      <c r="F309" s="38"/>
      <c r="G309" s="34">
        <f t="shared" si="16"/>
        <v>0</v>
      </c>
      <c r="H309" s="30"/>
      <c r="I309" s="38"/>
      <c r="J309" s="34">
        <f t="shared" si="17"/>
        <v>0</v>
      </c>
      <c r="K309" s="2">
        <v>16524000</v>
      </c>
      <c r="L309" s="54"/>
      <c r="M309" s="2">
        <f t="shared" si="14"/>
        <v>16524000</v>
      </c>
      <c r="N309" s="3">
        <f t="shared" si="18"/>
        <v>16524</v>
      </c>
      <c r="O309" s="13"/>
      <c r="P309" s="13"/>
      <c r="Q309" s="13"/>
      <c r="R309" s="13"/>
      <c r="S309" s="13"/>
      <c r="T309" s="13"/>
      <c r="U309" s="13"/>
      <c r="V309" s="13"/>
      <c r="W309" s="13"/>
      <c r="X309" s="13"/>
      <c r="Y309" s="13"/>
      <c r="Z309" s="13"/>
      <c r="AA309" s="13"/>
      <c r="AB309" s="13"/>
      <c r="AC309" s="13"/>
      <c r="AD309" s="13"/>
      <c r="AE309" s="13"/>
      <c r="AF309" s="13"/>
      <c r="AG309" s="13"/>
      <c r="AH309" s="13"/>
      <c r="AI309" s="13"/>
      <c r="AJ309" s="13"/>
      <c r="AK309" s="13"/>
      <c r="AL309" s="13"/>
      <c r="AM309" s="13"/>
      <c r="AN309" s="13"/>
      <c r="AO309" s="13"/>
      <c r="AP309" s="13"/>
      <c r="AQ309" s="13"/>
      <c r="AR309" s="13"/>
      <c r="AS309" s="13"/>
      <c r="AT309" s="13"/>
      <c r="AU309" s="13"/>
      <c r="AV309" s="13"/>
      <c r="AW309" s="13"/>
      <c r="AX309" s="13"/>
      <c r="AY309" s="13"/>
      <c r="AZ309" s="13"/>
      <c r="BA309" s="13"/>
      <c r="BB309" s="13"/>
      <c r="BC309" s="13"/>
      <c r="BD309" s="13"/>
      <c r="BE309" s="13"/>
      <c r="BF309" s="13"/>
      <c r="BG309" s="13"/>
    </row>
    <row r="310" spans="1:59" s="37" customFormat="1" ht="39" customHeight="1">
      <c r="A310" s="52" t="s">
        <v>84</v>
      </c>
      <c r="B310" s="52" t="s">
        <v>144</v>
      </c>
      <c r="C310" s="52" t="s">
        <v>134</v>
      </c>
      <c r="D310" s="38" t="s">
        <v>420</v>
      </c>
      <c r="E310" s="74" t="s">
        <v>171</v>
      </c>
      <c r="F310" s="38"/>
      <c r="G310" s="34">
        <f t="shared" si="16"/>
        <v>0</v>
      </c>
      <c r="H310" s="30"/>
      <c r="I310" s="38"/>
      <c r="J310" s="34">
        <f t="shared" si="17"/>
        <v>0</v>
      </c>
      <c r="K310" s="2">
        <f>13700000+2000000+13150000</f>
        <v>28850000</v>
      </c>
      <c r="L310" s="2"/>
      <c r="M310" s="2">
        <f t="shared" si="14"/>
        <v>28850000</v>
      </c>
      <c r="N310" s="3">
        <f t="shared" si="18"/>
        <v>28850</v>
      </c>
      <c r="O310" s="13"/>
      <c r="P310" s="13"/>
      <c r="Q310" s="13"/>
      <c r="R310" s="13"/>
      <c r="S310" s="13"/>
      <c r="T310" s="13"/>
      <c r="U310" s="13"/>
      <c r="V310" s="13"/>
      <c r="W310" s="13"/>
      <c r="X310" s="13"/>
      <c r="Y310" s="13"/>
      <c r="Z310" s="13"/>
      <c r="AA310" s="13"/>
      <c r="AB310" s="13"/>
      <c r="AC310" s="13"/>
      <c r="AD310" s="13"/>
      <c r="AE310" s="13"/>
      <c r="AF310" s="13"/>
      <c r="AG310" s="13"/>
      <c r="AH310" s="13"/>
      <c r="AI310" s="13"/>
      <c r="AJ310" s="13"/>
      <c r="AK310" s="13"/>
      <c r="AL310" s="13"/>
      <c r="AM310" s="13"/>
      <c r="AN310" s="13"/>
      <c r="AO310" s="13"/>
      <c r="AP310" s="13"/>
      <c r="AQ310" s="13"/>
      <c r="AR310" s="13"/>
      <c r="AS310" s="13"/>
      <c r="AT310" s="13"/>
      <c r="AU310" s="13"/>
      <c r="AV310" s="13"/>
      <c r="AW310" s="13"/>
      <c r="AX310" s="13"/>
      <c r="AY310" s="13"/>
      <c r="AZ310" s="13"/>
      <c r="BA310" s="13"/>
      <c r="BB310" s="13"/>
      <c r="BC310" s="13"/>
      <c r="BD310" s="13"/>
      <c r="BE310" s="13"/>
      <c r="BF310" s="13"/>
      <c r="BG310" s="13"/>
    </row>
    <row r="311" spans="1:59" s="47" customFormat="1" ht="39" customHeight="1">
      <c r="A311" s="48"/>
      <c r="B311" s="48"/>
      <c r="C311" s="48"/>
      <c r="D311" s="76" t="s">
        <v>171</v>
      </c>
      <c r="E311" s="76"/>
      <c r="F311" s="42"/>
      <c r="G311" s="43">
        <f t="shared" si="16"/>
        <v>0</v>
      </c>
      <c r="H311" s="100"/>
      <c r="I311" s="42"/>
      <c r="J311" s="43">
        <f t="shared" si="17"/>
        <v>0</v>
      </c>
      <c r="K311" s="1">
        <f>K310</f>
        <v>28850000</v>
      </c>
      <c r="L311" s="1"/>
      <c r="M311" s="1">
        <f>M310</f>
        <v>28850000</v>
      </c>
      <c r="N311" s="45">
        <f t="shared" si="18"/>
        <v>28850</v>
      </c>
      <c r="O311" s="46"/>
      <c r="P311" s="46"/>
      <c r="Q311" s="46"/>
      <c r="R311" s="46"/>
      <c r="S311" s="46"/>
      <c r="T311" s="46"/>
      <c r="U311" s="46"/>
      <c r="V311" s="46"/>
      <c r="W311" s="46"/>
      <c r="X311" s="46"/>
      <c r="Y311" s="46"/>
      <c r="Z311" s="46"/>
      <c r="AA311" s="46"/>
      <c r="AB311" s="46"/>
      <c r="AC311" s="46"/>
      <c r="AD311" s="46"/>
      <c r="AE311" s="46"/>
      <c r="AF311" s="46"/>
      <c r="AG311" s="46"/>
      <c r="AH311" s="46"/>
      <c r="AI311" s="46"/>
      <c r="AJ311" s="46"/>
      <c r="AK311" s="46"/>
      <c r="AL311" s="46"/>
      <c r="AM311" s="46"/>
      <c r="AN311" s="46"/>
      <c r="AO311" s="46"/>
      <c r="AP311" s="46"/>
      <c r="AQ311" s="46"/>
      <c r="AR311" s="46"/>
      <c r="AS311" s="46"/>
      <c r="AT311" s="46"/>
      <c r="AU311" s="46"/>
      <c r="AV311" s="46"/>
      <c r="AW311" s="46"/>
      <c r="AX311" s="46"/>
      <c r="AY311" s="46"/>
      <c r="AZ311" s="46"/>
      <c r="BA311" s="46"/>
      <c r="BB311" s="46"/>
      <c r="BC311" s="46"/>
      <c r="BD311" s="46"/>
      <c r="BE311" s="46"/>
      <c r="BF311" s="46"/>
      <c r="BG311" s="46"/>
    </row>
    <row r="312" spans="1:59" s="37" customFormat="1" ht="40.5" customHeight="1">
      <c r="A312" s="69">
        <v>4810000</v>
      </c>
      <c r="B312" s="56"/>
      <c r="C312" s="56"/>
      <c r="D312" s="61" t="s">
        <v>88</v>
      </c>
      <c r="E312" s="38"/>
      <c r="F312" s="38"/>
      <c r="G312" s="34">
        <f t="shared" si="16"/>
        <v>0</v>
      </c>
      <c r="H312" s="30"/>
      <c r="I312" s="38"/>
      <c r="J312" s="34">
        <f t="shared" si="17"/>
        <v>0</v>
      </c>
      <c r="K312" s="35">
        <f>K313+K314+K316</f>
        <v>112173</v>
      </c>
      <c r="L312" s="35">
        <f>L313+L314+L316</f>
        <v>35510</v>
      </c>
      <c r="M312" s="35">
        <f>M313+M314+M316</f>
        <v>147683</v>
      </c>
      <c r="N312" s="36">
        <f>N313+N314+N316</f>
        <v>147.7</v>
      </c>
      <c r="O312" s="13"/>
      <c r="P312" s="13"/>
      <c r="Q312" s="13"/>
      <c r="R312" s="13"/>
      <c r="S312" s="13"/>
      <c r="T312" s="13"/>
      <c r="U312" s="13"/>
      <c r="V312" s="13"/>
      <c r="W312" s="13"/>
      <c r="X312" s="13"/>
      <c r="Y312" s="13"/>
      <c r="Z312" s="13"/>
      <c r="AA312" s="13"/>
      <c r="AB312" s="13"/>
      <c r="AC312" s="13"/>
      <c r="AD312" s="13"/>
      <c r="AE312" s="13"/>
      <c r="AF312" s="13"/>
      <c r="AG312" s="13"/>
      <c r="AH312" s="13"/>
      <c r="AI312" s="13"/>
      <c r="AJ312" s="13"/>
      <c r="AK312" s="13"/>
      <c r="AL312" s="13"/>
      <c r="AM312" s="13"/>
      <c r="AN312" s="13"/>
      <c r="AO312" s="13"/>
      <c r="AP312" s="13"/>
      <c r="AQ312" s="13"/>
      <c r="AR312" s="13"/>
      <c r="AS312" s="13"/>
      <c r="AT312" s="13"/>
      <c r="AU312" s="13"/>
      <c r="AV312" s="13"/>
      <c r="AW312" s="13"/>
      <c r="AX312" s="13"/>
      <c r="AY312" s="13"/>
      <c r="AZ312" s="13"/>
      <c r="BA312" s="13"/>
      <c r="BB312" s="13"/>
      <c r="BC312" s="13"/>
      <c r="BD312" s="13"/>
      <c r="BE312" s="13"/>
      <c r="BF312" s="13"/>
      <c r="BG312" s="13"/>
    </row>
    <row r="313" spans="1:59" s="37" customFormat="1" ht="43.5" customHeight="1">
      <c r="A313" s="32" t="s">
        <v>76</v>
      </c>
      <c r="B313" s="32" t="s">
        <v>96</v>
      </c>
      <c r="C313" s="32" t="s">
        <v>97</v>
      </c>
      <c r="D313" s="38" t="s">
        <v>248</v>
      </c>
      <c r="E313" s="38"/>
      <c r="F313" s="38"/>
      <c r="G313" s="34">
        <f t="shared" si="16"/>
        <v>0</v>
      </c>
      <c r="H313" s="30"/>
      <c r="I313" s="38"/>
      <c r="J313" s="34">
        <f t="shared" si="17"/>
        <v>0</v>
      </c>
      <c r="K313" s="2">
        <f>45000+50000</f>
        <v>95000</v>
      </c>
      <c r="L313" s="2"/>
      <c r="M313" s="2">
        <f t="shared" si="14"/>
        <v>95000</v>
      </c>
      <c r="N313" s="3">
        <f t="shared" si="18"/>
        <v>95</v>
      </c>
      <c r="O313" s="13"/>
      <c r="P313" s="13"/>
      <c r="Q313" s="13"/>
      <c r="R313" s="13"/>
      <c r="S313" s="13"/>
      <c r="T313" s="13"/>
      <c r="U313" s="13"/>
      <c r="V313" s="13"/>
      <c r="W313" s="13"/>
      <c r="X313" s="13"/>
      <c r="Y313" s="13"/>
      <c r="Z313" s="13"/>
      <c r="AA313" s="13"/>
      <c r="AB313" s="13"/>
      <c r="AC313" s="13"/>
      <c r="AD313" s="13"/>
      <c r="AE313" s="13"/>
      <c r="AF313" s="13"/>
      <c r="AG313" s="13"/>
      <c r="AH313" s="13"/>
      <c r="AI313" s="13"/>
      <c r="AJ313" s="13"/>
      <c r="AK313" s="13"/>
      <c r="AL313" s="13"/>
      <c r="AM313" s="13"/>
      <c r="AN313" s="13"/>
      <c r="AO313" s="13"/>
      <c r="AP313" s="13"/>
      <c r="AQ313" s="13"/>
      <c r="AR313" s="13"/>
      <c r="AS313" s="13"/>
      <c r="AT313" s="13"/>
      <c r="AU313" s="13"/>
      <c r="AV313" s="13"/>
      <c r="AW313" s="13"/>
      <c r="AX313" s="13"/>
      <c r="AY313" s="13"/>
      <c r="AZ313" s="13"/>
      <c r="BA313" s="13"/>
      <c r="BB313" s="13"/>
      <c r="BC313" s="13"/>
      <c r="BD313" s="13"/>
      <c r="BE313" s="13"/>
      <c r="BF313" s="13"/>
      <c r="BG313" s="13"/>
    </row>
    <row r="314" spans="1:59" s="37" customFormat="1" ht="42.75" customHeight="1">
      <c r="A314" s="52" t="s">
        <v>258</v>
      </c>
      <c r="B314" s="52" t="s">
        <v>144</v>
      </c>
      <c r="C314" s="52" t="s">
        <v>134</v>
      </c>
      <c r="D314" s="38" t="s">
        <v>420</v>
      </c>
      <c r="E314" s="38" t="s">
        <v>259</v>
      </c>
      <c r="F314" s="38"/>
      <c r="G314" s="34">
        <f t="shared" si="16"/>
        <v>0</v>
      </c>
      <c r="H314" s="30"/>
      <c r="I314" s="38"/>
      <c r="J314" s="34">
        <f t="shared" si="17"/>
        <v>0</v>
      </c>
      <c r="K314" s="2">
        <v>17173</v>
      </c>
      <c r="L314" s="2"/>
      <c r="M314" s="2">
        <f>K314+L314</f>
        <v>17173</v>
      </c>
      <c r="N314" s="3">
        <f>N315</f>
        <v>17.2</v>
      </c>
      <c r="O314" s="13"/>
      <c r="P314" s="13"/>
      <c r="Q314" s="13"/>
      <c r="R314" s="13"/>
      <c r="S314" s="13"/>
      <c r="T314" s="13"/>
      <c r="U314" s="13"/>
      <c r="V314" s="13"/>
      <c r="W314" s="13"/>
      <c r="X314" s="13"/>
      <c r="Y314" s="13"/>
      <c r="Z314" s="13"/>
      <c r="AA314" s="13"/>
      <c r="AB314" s="13"/>
      <c r="AC314" s="13"/>
      <c r="AD314" s="13"/>
      <c r="AE314" s="13"/>
      <c r="AF314" s="13"/>
      <c r="AG314" s="13"/>
      <c r="AH314" s="13"/>
      <c r="AI314" s="13"/>
      <c r="AJ314" s="13"/>
      <c r="AK314" s="13"/>
      <c r="AL314" s="13"/>
      <c r="AM314" s="13"/>
      <c r="AN314" s="13"/>
      <c r="AO314" s="13"/>
      <c r="AP314" s="13"/>
      <c r="AQ314" s="13"/>
      <c r="AR314" s="13"/>
      <c r="AS314" s="13"/>
      <c r="AT314" s="13"/>
      <c r="AU314" s="13"/>
      <c r="AV314" s="13"/>
      <c r="AW314" s="13"/>
      <c r="AX314" s="13"/>
      <c r="AY314" s="13"/>
      <c r="AZ314" s="13"/>
      <c r="BA314" s="13"/>
      <c r="BB314" s="13"/>
      <c r="BC314" s="13"/>
      <c r="BD314" s="13"/>
      <c r="BE314" s="13"/>
      <c r="BF314" s="13"/>
      <c r="BG314" s="13"/>
    </row>
    <row r="315" spans="1:59" s="47" customFormat="1" ht="42.75" customHeight="1">
      <c r="A315" s="48"/>
      <c r="B315" s="48"/>
      <c r="C315" s="48"/>
      <c r="D315" s="42" t="s">
        <v>259</v>
      </c>
      <c r="E315" s="42"/>
      <c r="F315" s="42"/>
      <c r="G315" s="43">
        <f t="shared" si="16"/>
        <v>0</v>
      </c>
      <c r="H315" s="100"/>
      <c r="I315" s="42"/>
      <c r="J315" s="43">
        <f t="shared" si="17"/>
        <v>0</v>
      </c>
      <c r="K315" s="1">
        <f>K314</f>
        <v>17173</v>
      </c>
      <c r="L315" s="1"/>
      <c r="M315" s="1">
        <f>M314</f>
        <v>17173</v>
      </c>
      <c r="N315" s="45">
        <f t="shared" si="18"/>
        <v>17.2</v>
      </c>
      <c r="O315" s="46"/>
      <c r="P315" s="46"/>
      <c r="Q315" s="46"/>
      <c r="R315" s="46"/>
      <c r="S315" s="46"/>
      <c r="T315" s="46"/>
      <c r="U315" s="46"/>
      <c r="V315" s="46"/>
      <c r="W315" s="46"/>
      <c r="X315" s="46"/>
      <c r="Y315" s="46"/>
      <c r="Z315" s="46"/>
      <c r="AA315" s="46"/>
      <c r="AB315" s="46"/>
      <c r="AC315" s="46"/>
      <c r="AD315" s="46"/>
      <c r="AE315" s="46"/>
      <c r="AF315" s="46"/>
      <c r="AG315" s="46"/>
      <c r="AH315" s="46"/>
      <c r="AI315" s="46"/>
      <c r="AJ315" s="46"/>
      <c r="AK315" s="46"/>
      <c r="AL315" s="46"/>
      <c r="AM315" s="46"/>
      <c r="AN315" s="46"/>
      <c r="AO315" s="46"/>
      <c r="AP315" s="46"/>
      <c r="AQ315" s="46"/>
      <c r="AR315" s="46"/>
      <c r="AS315" s="46"/>
      <c r="AT315" s="46"/>
      <c r="AU315" s="46"/>
      <c r="AV315" s="46"/>
      <c r="AW315" s="46"/>
      <c r="AX315" s="46"/>
      <c r="AY315" s="46"/>
      <c r="AZ315" s="46"/>
      <c r="BA315" s="46"/>
      <c r="BB315" s="46"/>
      <c r="BC315" s="46"/>
      <c r="BD315" s="46"/>
      <c r="BE315" s="46"/>
      <c r="BF315" s="46"/>
      <c r="BG315" s="46"/>
    </row>
    <row r="316" spans="1:59" s="37" customFormat="1" ht="24" customHeight="1">
      <c r="A316" s="56">
        <v>4818800</v>
      </c>
      <c r="B316" s="56">
        <v>8800</v>
      </c>
      <c r="C316" s="32" t="s">
        <v>96</v>
      </c>
      <c r="D316" s="57" t="s">
        <v>421</v>
      </c>
      <c r="E316" s="57"/>
      <c r="F316" s="57"/>
      <c r="G316" s="34">
        <f t="shared" si="16"/>
        <v>0</v>
      </c>
      <c r="H316" s="30"/>
      <c r="I316" s="57"/>
      <c r="J316" s="34">
        <f t="shared" si="17"/>
        <v>0</v>
      </c>
      <c r="K316" s="2">
        <f>K317</f>
        <v>0</v>
      </c>
      <c r="L316" s="2">
        <f>L317</f>
        <v>35510</v>
      </c>
      <c r="M316" s="2">
        <f>K316+L316</f>
        <v>35510</v>
      </c>
      <c r="N316" s="40">
        <f>N317</f>
        <v>35.5</v>
      </c>
      <c r="O316" s="13"/>
      <c r="P316" s="13"/>
      <c r="Q316" s="13"/>
      <c r="R316" s="13"/>
      <c r="S316" s="13"/>
      <c r="T316" s="13"/>
      <c r="U316" s="13"/>
      <c r="V316" s="13"/>
      <c r="W316" s="13"/>
      <c r="X316" s="13"/>
      <c r="Y316" s="13"/>
      <c r="Z316" s="13"/>
      <c r="AA316" s="13"/>
      <c r="AB316" s="13"/>
      <c r="AC316" s="13"/>
      <c r="AD316" s="13"/>
      <c r="AE316" s="13"/>
      <c r="AF316" s="13"/>
      <c r="AG316" s="13"/>
      <c r="AH316" s="13"/>
      <c r="AI316" s="13"/>
      <c r="AJ316" s="13"/>
      <c r="AK316" s="13"/>
      <c r="AL316" s="13"/>
      <c r="AM316" s="13"/>
      <c r="AN316" s="13"/>
      <c r="AO316" s="13"/>
      <c r="AP316" s="13"/>
      <c r="AQ316" s="13"/>
      <c r="AR316" s="13"/>
      <c r="AS316" s="13"/>
      <c r="AT316" s="13"/>
      <c r="AU316" s="13"/>
      <c r="AV316" s="13"/>
      <c r="AW316" s="13"/>
      <c r="AX316" s="13"/>
      <c r="AY316" s="13"/>
      <c r="AZ316" s="13"/>
      <c r="BA316" s="13"/>
      <c r="BB316" s="13"/>
      <c r="BC316" s="13"/>
      <c r="BD316" s="13"/>
      <c r="BE316" s="13"/>
      <c r="BF316" s="13"/>
      <c r="BG316" s="13"/>
    </row>
    <row r="317" spans="1:59" s="47" customFormat="1" ht="38.25" customHeight="1">
      <c r="A317" s="58">
        <v>4818800</v>
      </c>
      <c r="B317" s="58">
        <v>8800</v>
      </c>
      <c r="C317" s="48" t="s">
        <v>96</v>
      </c>
      <c r="D317" s="59" t="s">
        <v>414</v>
      </c>
      <c r="E317" s="59"/>
      <c r="F317" s="59"/>
      <c r="G317" s="43">
        <f t="shared" si="16"/>
        <v>0</v>
      </c>
      <c r="H317" s="101"/>
      <c r="I317" s="59"/>
      <c r="J317" s="43">
        <f t="shared" si="17"/>
        <v>0</v>
      </c>
      <c r="K317" s="1"/>
      <c r="L317" s="1">
        <v>35510</v>
      </c>
      <c r="M317" s="1">
        <f>K317+L317</f>
        <v>35510</v>
      </c>
      <c r="N317" s="45">
        <f t="shared" si="18"/>
        <v>35.5</v>
      </c>
      <c r="O317" s="46"/>
      <c r="P317" s="46"/>
      <c r="Q317" s="46"/>
      <c r="R317" s="46"/>
      <c r="S317" s="46"/>
      <c r="T317" s="46"/>
      <c r="U317" s="46"/>
      <c r="V317" s="46"/>
      <c r="W317" s="46"/>
      <c r="X317" s="46"/>
      <c r="Y317" s="46"/>
      <c r="Z317" s="46"/>
      <c r="AA317" s="46"/>
      <c r="AB317" s="46"/>
      <c r="AC317" s="46"/>
      <c r="AD317" s="46"/>
      <c r="AE317" s="46"/>
      <c r="AF317" s="46"/>
      <c r="AG317" s="46"/>
      <c r="AH317" s="46"/>
      <c r="AI317" s="46"/>
      <c r="AJ317" s="46"/>
      <c r="AK317" s="46"/>
      <c r="AL317" s="46"/>
      <c r="AM317" s="46"/>
      <c r="AN317" s="46"/>
      <c r="AO317" s="46"/>
      <c r="AP317" s="46"/>
      <c r="AQ317" s="46"/>
      <c r="AR317" s="46"/>
      <c r="AS317" s="46"/>
      <c r="AT317" s="46"/>
      <c r="AU317" s="46"/>
      <c r="AV317" s="46"/>
      <c r="AW317" s="46"/>
      <c r="AX317" s="46"/>
      <c r="AY317" s="46"/>
      <c r="AZ317" s="46"/>
      <c r="BA317" s="46"/>
      <c r="BB317" s="46"/>
      <c r="BC317" s="46"/>
      <c r="BD317" s="46"/>
      <c r="BE317" s="46"/>
      <c r="BF317" s="46"/>
      <c r="BG317" s="46"/>
    </row>
    <row r="318" spans="1:59" s="78" customFormat="1" ht="42" customHeight="1">
      <c r="A318" s="69">
        <v>5010000</v>
      </c>
      <c r="B318" s="56"/>
      <c r="C318" s="56"/>
      <c r="D318" s="61" t="s">
        <v>77</v>
      </c>
      <c r="E318" s="61"/>
      <c r="F318" s="61"/>
      <c r="G318" s="34">
        <f t="shared" si="16"/>
        <v>0</v>
      </c>
      <c r="H318" s="26"/>
      <c r="I318" s="61"/>
      <c r="J318" s="34">
        <f t="shared" si="17"/>
        <v>0</v>
      </c>
      <c r="K318" s="35">
        <f>K319</f>
        <v>21000</v>
      </c>
      <c r="L318" s="35">
        <f>L319</f>
        <v>0</v>
      </c>
      <c r="M318" s="35">
        <f>M319</f>
        <v>21000</v>
      </c>
      <c r="N318" s="36">
        <f>N319</f>
        <v>21</v>
      </c>
      <c r="O318" s="77"/>
      <c r="P318" s="77"/>
      <c r="Q318" s="77"/>
      <c r="R318" s="77"/>
      <c r="S318" s="77"/>
      <c r="T318" s="77"/>
      <c r="U318" s="77"/>
      <c r="V318" s="77"/>
      <c r="W318" s="77"/>
      <c r="X318" s="77"/>
      <c r="Y318" s="77"/>
      <c r="Z318" s="77"/>
      <c r="AA318" s="77"/>
      <c r="AB318" s="77"/>
      <c r="AC318" s="77"/>
      <c r="AD318" s="77"/>
      <c r="AE318" s="77"/>
      <c r="AF318" s="77"/>
      <c r="AG318" s="77"/>
      <c r="AH318" s="77"/>
      <c r="AI318" s="77"/>
      <c r="AJ318" s="77"/>
      <c r="AK318" s="77"/>
      <c r="AL318" s="77"/>
      <c r="AM318" s="77"/>
      <c r="AN318" s="77"/>
      <c r="AO318" s="77"/>
      <c r="AP318" s="77"/>
      <c r="AQ318" s="77"/>
      <c r="AR318" s="77"/>
      <c r="AS318" s="77"/>
      <c r="AT318" s="77"/>
      <c r="AU318" s="77"/>
      <c r="AV318" s="77"/>
      <c r="AW318" s="77"/>
      <c r="AX318" s="77"/>
      <c r="AY318" s="77"/>
      <c r="AZ318" s="77"/>
      <c r="BA318" s="77"/>
      <c r="BB318" s="77"/>
      <c r="BC318" s="77"/>
      <c r="BD318" s="77"/>
      <c r="BE318" s="77"/>
      <c r="BF318" s="77"/>
      <c r="BG318" s="77"/>
    </row>
    <row r="319" spans="1:59" s="37" customFormat="1" ht="40.5" customHeight="1">
      <c r="A319" s="32" t="s">
        <v>78</v>
      </c>
      <c r="B319" s="32" t="s">
        <v>96</v>
      </c>
      <c r="C319" s="32" t="s">
        <v>97</v>
      </c>
      <c r="D319" s="38" t="s">
        <v>248</v>
      </c>
      <c r="E319" s="38"/>
      <c r="F319" s="38"/>
      <c r="G319" s="34">
        <f t="shared" si="16"/>
        <v>0</v>
      </c>
      <c r="H319" s="30"/>
      <c r="I319" s="38"/>
      <c r="J319" s="34">
        <f t="shared" si="17"/>
        <v>0</v>
      </c>
      <c r="K319" s="2">
        <v>21000</v>
      </c>
      <c r="L319" s="54"/>
      <c r="M319" s="2">
        <f t="shared" si="14"/>
        <v>21000</v>
      </c>
      <c r="N319" s="3">
        <f t="shared" si="18"/>
        <v>21</v>
      </c>
      <c r="O319" s="13"/>
      <c r="P319" s="13"/>
      <c r="Q319" s="13"/>
      <c r="R319" s="13"/>
      <c r="S319" s="13"/>
      <c r="T319" s="13"/>
      <c r="U319" s="13"/>
      <c r="V319" s="13"/>
      <c r="W319" s="13"/>
      <c r="X319" s="13"/>
      <c r="Y319" s="13"/>
      <c r="Z319" s="13"/>
      <c r="AA319" s="13"/>
      <c r="AB319" s="13"/>
      <c r="AC319" s="13"/>
      <c r="AD319" s="13"/>
      <c r="AE319" s="13"/>
      <c r="AF319" s="13"/>
      <c r="AG319" s="13"/>
      <c r="AH319" s="13"/>
      <c r="AI319" s="13"/>
      <c r="AJ319" s="13"/>
      <c r="AK319" s="13"/>
      <c r="AL319" s="13"/>
      <c r="AM319" s="13"/>
      <c r="AN319" s="13"/>
      <c r="AO319" s="13"/>
      <c r="AP319" s="13"/>
      <c r="AQ319" s="13"/>
      <c r="AR319" s="13"/>
      <c r="AS319" s="13"/>
      <c r="AT319" s="13"/>
      <c r="AU319" s="13"/>
      <c r="AV319" s="13"/>
      <c r="AW319" s="13"/>
      <c r="AX319" s="13"/>
      <c r="AY319" s="13"/>
      <c r="AZ319" s="13"/>
      <c r="BA319" s="13"/>
      <c r="BB319" s="13"/>
      <c r="BC319" s="13"/>
      <c r="BD319" s="13"/>
      <c r="BE319" s="13"/>
      <c r="BF319" s="13"/>
      <c r="BG319" s="13"/>
    </row>
    <row r="320" spans="1:59" s="37" customFormat="1" ht="42" customHeight="1">
      <c r="A320" s="31" t="s">
        <v>79</v>
      </c>
      <c r="B320" s="32"/>
      <c r="C320" s="32"/>
      <c r="D320" s="61" t="s">
        <v>89</v>
      </c>
      <c r="E320" s="61"/>
      <c r="F320" s="61"/>
      <c r="G320" s="34">
        <f t="shared" si="16"/>
        <v>0</v>
      </c>
      <c r="H320" s="26"/>
      <c r="I320" s="61"/>
      <c r="J320" s="34">
        <f t="shared" si="17"/>
        <v>0</v>
      </c>
      <c r="K320" s="35">
        <f>K321</f>
        <v>186000</v>
      </c>
      <c r="L320" s="35">
        <f>L321</f>
        <v>0</v>
      </c>
      <c r="M320" s="35">
        <f>M321</f>
        <v>186000</v>
      </c>
      <c r="N320" s="36">
        <f>N321</f>
        <v>186</v>
      </c>
      <c r="O320" s="13"/>
      <c r="P320" s="13"/>
      <c r="Q320" s="13"/>
      <c r="R320" s="13"/>
      <c r="S320" s="13"/>
      <c r="T320" s="13"/>
      <c r="U320" s="13"/>
      <c r="V320" s="13"/>
      <c r="W320" s="13"/>
      <c r="X320" s="13"/>
      <c r="Y320" s="13"/>
      <c r="Z320" s="13"/>
      <c r="AA320" s="13"/>
      <c r="AB320" s="13"/>
      <c r="AC320" s="13"/>
      <c r="AD320" s="13"/>
      <c r="AE320" s="13"/>
      <c r="AF320" s="13"/>
      <c r="AG320" s="13"/>
      <c r="AH320" s="13"/>
      <c r="AI320" s="13"/>
      <c r="AJ320" s="13"/>
      <c r="AK320" s="13"/>
      <c r="AL320" s="13"/>
      <c r="AM320" s="13"/>
      <c r="AN320" s="13"/>
      <c r="AO320" s="13"/>
      <c r="AP320" s="13"/>
      <c r="AQ320" s="13"/>
      <c r="AR320" s="13"/>
      <c r="AS320" s="13"/>
      <c r="AT320" s="13"/>
      <c r="AU320" s="13"/>
      <c r="AV320" s="13"/>
      <c r="AW320" s="13"/>
      <c r="AX320" s="13"/>
      <c r="AY320" s="13"/>
      <c r="AZ320" s="13"/>
      <c r="BA320" s="13"/>
      <c r="BB320" s="13"/>
      <c r="BC320" s="13"/>
      <c r="BD320" s="13"/>
      <c r="BE320" s="13"/>
      <c r="BF320" s="13"/>
      <c r="BG320" s="13"/>
    </row>
    <row r="321" spans="1:59" s="37" customFormat="1" ht="37.5" customHeight="1">
      <c r="A321" s="32" t="s">
        <v>80</v>
      </c>
      <c r="B321" s="32" t="s">
        <v>96</v>
      </c>
      <c r="C321" s="32" t="s">
        <v>97</v>
      </c>
      <c r="D321" s="38" t="s">
        <v>248</v>
      </c>
      <c r="E321" s="38"/>
      <c r="F321" s="38"/>
      <c r="G321" s="34">
        <f t="shared" si="16"/>
        <v>0</v>
      </c>
      <c r="H321" s="30"/>
      <c r="I321" s="38"/>
      <c r="J321" s="34">
        <f t="shared" si="17"/>
        <v>0</v>
      </c>
      <c r="K321" s="2">
        <f>50000+81000+55000</f>
        <v>186000</v>
      </c>
      <c r="L321" s="2"/>
      <c r="M321" s="2">
        <f t="shared" si="14"/>
        <v>186000</v>
      </c>
      <c r="N321" s="3">
        <f t="shared" si="18"/>
        <v>186</v>
      </c>
      <c r="O321" s="13"/>
      <c r="P321" s="13"/>
      <c r="Q321" s="13"/>
      <c r="R321" s="13"/>
      <c r="S321" s="13"/>
      <c r="T321" s="13"/>
      <c r="U321" s="13"/>
      <c r="V321" s="13"/>
      <c r="W321" s="13"/>
      <c r="X321" s="13"/>
      <c r="Y321" s="13"/>
      <c r="Z321" s="13"/>
      <c r="AA321" s="13"/>
      <c r="AB321" s="13"/>
      <c r="AC321" s="13"/>
      <c r="AD321" s="13"/>
      <c r="AE321" s="13"/>
      <c r="AF321" s="13"/>
      <c r="AG321" s="13"/>
      <c r="AH321" s="13"/>
      <c r="AI321" s="13"/>
      <c r="AJ321" s="13"/>
      <c r="AK321" s="13"/>
      <c r="AL321" s="13"/>
      <c r="AM321" s="13"/>
      <c r="AN321" s="13"/>
      <c r="AO321" s="13"/>
      <c r="AP321" s="13"/>
      <c r="AQ321" s="13"/>
      <c r="AR321" s="13"/>
      <c r="AS321" s="13"/>
      <c r="AT321" s="13"/>
      <c r="AU321" s="13"/>
      <c r="AV321" s="13"/>
      <c r="AW321" s="13"/>
      <c r="AX321" s="13"/>
      <c r="AY321" s="13"/>
      <c r="AZ321" s="13"/>
      <c r="BA321" s="13"/>
      <c r="BB321" s="13"/>
      <c r="BC321" s="13"/>
      <c r="BD321" s="13"/>
      <c r="BE321" s="13"/>
      <c r="BF321" s="13"/>
      <c r="BG321" s="13"/>
    </row>
    <row r="322" spans="1:59" s="37" customFormat="1" ht="52.5" customHeight="1">
      <c r="A322" s="69">
        <v>7610000</v>
      </c>
      <c r="B322" s="56"/>
      <c r="C322" s="56"/>
      <c r="D322" s="61" t="s">
        <v>90</v>
      </c>
      <c r="E322" s="61"/>
      <c r="F322" s="61"/>
      <c r="G322" s="34">
        <f t="shared" si="16"/>
        <v>0</v>
      </c>
      <c r="H322" s="26"/>
      <c r="I322" s="61"/>
      <c r="J322" s="34">
        <f t="shared" si="17"/>
        <v>0</v>
      </c>
      <c r="K322" s="35">
        <f>K323</f>
        <v>1500000</v>
      </c>
      <c r="L322" s="35">
        <f>L323</f>
        <v>0</v>
      </c>
      <c r="M322" s="35">
        <f>M323</f>
        <v>1500000</v>
      </c>
      <c r="N322" s="36">
        <f>N323</f>
        <v>1500</v>
      </c>
      <c r="O322" s="13"/>
      <c r="P322" s="13"/>
      <c r="Q322" s="13"/>
      <c r="R322" s="13"/>
      <c r="S322" s="13"/>
      <c r="T322" s="13"/>
      <c r="U322" s="13"/>
      <c r="V322" s="13"/>
      <c r="W322" s="13"/>
      <c r="X322" s="13"/>
      <c r="Y322" s="13"/>
      <c r="Z322" s="13"/>
      <c r="AA322" s="13"/>
      <c r="AB322" s="13"/>
      <c r="AC322" s="13"/>
      <c r="AD322" s="13"/>
      <c r="AE322" s="13"/>
      <c r="AF322" s="13"/>
      <c r="AG322" s="13"/>
      <c r="AH322" s="13"/>
      <c r="AI322" s="13"/>
      <c r="AJ322" s="13"/>
      <c r="AK322" s="13"/>
      <c r="AL322" s="13"/>
      <c r="AM322" s="13"/>
      <c r="AN322" s="13"/>
      <c r="AO322" s="13"/>
      <c r="AP322" s="13"/>
      <c r="AQ322" s="13"/>
      <c r="AR322" s="13"/>
      <c r="AS322" s="13"/>
      <c r="AT322" s="13"/>
      <c r="AU322" s="13"/>
      <c r="AV322" s="13"/>
      <c r="AW322" s="13"/>
      <c r="AX322" s="13"/>
      <c r="AY322" s="13"/>
      <c r="AZ322" s="13"/>
      <c r="BA322" s="13"/>
      <c r="BB322" s="13"/>
      <c r="BC322" s="13"/>
      <c r="BD322" s="13"/>
      <c r="BE322" s="13"/>
      <c r="BF322" s="13"/>
      <c r="BG322" s="13"/>
    </row>
    <row r="323" spans="1:59" s="37" customFormat="1" ht="30" customHeight="1">
      <c r="A323" s="56">
        <v>7618800</v>
      </c>
      <c r="B323" s="56">
        <v>8800</v>
      </c>
      <c r="C323" s="32" t="s">
        <v>96</v>
      </c>
      <c r="D323" s="57" t="s">
        <v>421</v>
      </c>
      <c r="E323" s="57"/>
      <c r="F323" s="57"/>
      <c r="G323" s="34">
        <f>ROUND(F323/1000,1)</f>
        <v>0</v>
      </c>
      <c r="H323" s="30"/>
      <c r="I323" s="57"/>
      <c r="J323" s="34">
        <f>ROUND(I323/1000,1)</f>
        <v>0</v>
      </c>
      <c r="K323" s="2">
        <f>K324</f>
        <v>1500000</v>
      </c>
      <c r="L323" s="2">
        <f>L324</f>
        <v>0</v>
      </c>
      <c r="M323" s="2">
        <f t="shared" si="14"/>
        <v>1500000</v>
      </c>
      <c r="N323" s="3">
        <f>N324</f>
        <v>1500</v>
      </c>
      <c r="O323" s="13"/>
      <c r="P323" s="13"/>
      <c r="Q323" s="13"/>
      <c r="R323" s="13"/>
      <c r="S323" s="13"/>
      <c r="T323" s="13"/>
      <c r="U323" s="13"/>
      <c r="V323" s="13"/>
      <c r="W323" s="13"/>
      <c r="X323" s="13"/>
      <c r="Y323" s="13"/>
      <c r="Z323" s="13"/>
      <c r="AA323" s="13"/>
      <c r="AB323" s="13"/>
      <c r="AC323" s="13"/>
      <c r="AD323" s="13"/>
      <c r="AE323" s="13"/>
      <c r="AF323" s="13"/>
      <c r="AG323" s="13"/>
      <c r="AH323" s="13"/>
      <c r="AI323" s="13"/>
      <c r="AJ323" s="13"/>
      <c r="AK323" s="13"/>
      <c r="AL323" s="13"/>
      <c r="AM323" s="13"/>
      <c r="AN323" s="13"/>
      <c r="AO323" s="13"/>
      <c r="AP323" s="13"/>
      <c r="AQ323" s="13"/>
      <c r="AR323" s="13"/>
      <c r="AS323" s="13"/>
      <c r="AT323" s="13"/>
      <c r="AU323" s="13"/>
      <c r="AV323" s="13"/>
      <c r="AW323" s="13"/>
      <c r="AX323" s="13"/>
      <c r="AY323" s="13"/>
      <c r="AZ323" s="13"/>
      <c r="BA323" s="13"/>
      <c r="BB323" s="13"/>
      <c r="BC323" s="13"/>
      <c r="BD323" s="13"/>
      <c r="BE323" s="13"/>
      <c r="BF323" s="13"/>
      <c r="BG323" s="13"/>
    </row>
    <row r="324" spans="1:59" s="47" customFormat="1" ht="30" customHeight="1">
      <c r="A324" s="58">
        <v>7618800</v>
      </c>
      <c r="B324" s="58">
        <v>8800</v>
      </c>
      <c r="C324" s="48" t="s">
        <v>96</v>
      </c>
      <c r="D324" s="59" t="s">
        <v>81</v>
      </c>
      <c r="E324" s="59"/>
      <c r="F324" s="59"/>
      <c r="G324" s="43">
        <f>ROUND(F324/1000,1)</f>
        <v>0</v>
      </c>
      <c r="H324" s="101"/>
      <c r="I324" s="59"/>
      <c r="J324" s="43">
        <f>ROUND(I324/1000,1)</f>
        <v>0</v>
      </c>
      <c r="K324" s="1">
        <f>500000+500000+500000</f>
        <v>1500000</v>
      </c>
      <c r="L324" s="1"/>
      <c r="M324" s="1">
        <f t="shared" si="14"/>
        <v>1500000</v>
      </c>
      <c r="N324" s="45">
        <f>ROUND(M324/1000,1)</f>
        <v>1500</v>
      </c>
      <c r="O324" s="46"/>
      <c r="P324" s="46"/>
      <c r="Q324" s="46"/>
      <c r="R324" s="46"/>
      <c r="S324" s="46"/>
      <c r="T324" s="46"/>
      <c r="U324" s="46"/>
      <c r="V324" s="46"/>
      <c r="W324" s="46"/>
      <c r="X324" s="46"/>
      <c r="Y324" s="46"/>
      <c r="Z324" s="46"/>
      <c r="AA324" s="46"/>
      <c r="AB324" s="46"/>
      <c r="AC324" s="46"/>
      <c r="AD324" s="46"/>
      <c r="AE324" s="46"/>
      <c r="AF324" s="46"/>
      <c r="AG324" s="46"/>
      <c r="AH324" s="46"/>
      <c r="AI324" s="46"/>
      <c r="AJ324" s="46"/>
      <c r="AK324" s="46"/>
      <c r="AL324" s="46"/>
      <c r="AM324" s="46"/>
      <c r="AN324" s="46"/>
      <c r="AO324" s="46"/>
      <c r="AP324" s="46"/>
      <c r="AQ324" s="46"/>
      <c r="AR324" s="46"/>
      <c r="AS324" s="46"/>
      <c r="AT324" s="46"/>
      <c r="AU324" s="46"/>
      <c r="AV324" s="46"/>
      <c r="AW324" s="46"/>
      <c r="AX324" s="46"/>
      <c r="AY324" s="46"/>
      <c r="AZ324" s="46"/>
      <c r="BA324" s="46"/>
      <c r="BB324" s="46"/>
      <c r="BC324" s="46"/>
      <c r="BD324" s="46"/>
      <c r="BE324" s="46"/>
      <c r="BF324" s="46"/>
      <c r="BG324" s="46"/>
    </row>
    <row r="325" spans="1:59" s="37" customFormat="1" ht="23.25" customHeight="1">
      <c r="A325" s="56"/>
      <c r="B325" s="56"/>
      <c r="C325" s="56"/>
      <c r="D325" s="61" t="s">
        <v>433</v>
      </c>
      <c r="E325" s="61"/>
      <c r="F325" s="61"/>
      <c r="G325" s="34">
        <f>ROUND(F325/1000,1)</f>
        <v>0</v>
      </c>
      <c r="H325" s="61"/>
      <c r="I325" s="61"/>
      <c r="J325" s="34">
        <f>ROUND(I325/1000,1)</f>
        <v>0</v>
      </c>
      <c r="K325" s="35">
        <f>K17+K41+K52+K61+K71+K73+K80+K116+K119+K121+K312+K318+K320+K322</f>
        <v>625796041</v>
      </c>
      <c r="L325" s="35">
        <f>L17+L41+L52+L61+L71+L73+L80+L116+L119+L121+L312+L318+L320+L322</f>
        <v>75910.04999999999</v>
      </c>
      <c r="M325" s="35">
        <f>M17+M41+M52+M61+M71+M73+M80+M116+M119+M121+M312+M318+M320+M322</f>
        <v>625871951.05</v>
      </c>
      <c r="N325" s="36">
        <f>N17+N41+N52+N61+N71+N73+N80+N116+N119+N121+N312+N318+N320+N322</f>
        <v>625871.8999999999</v>
      </c>
      <c r="O325" s="13"/>
      <c r="P325" s="13"/>
      <c r="Q325" s="13"/>
      <c r="R325" s="13"/>
      <c r="S325" s="13"/>
      <c r="T325" s="13"/>
      <c r="U325" s="13"/>
      <c r="V325" s="13"/>
      <c r="W325" s="13"/>
      <c r="X325" s="13"/>
      <c r="Y325" s="13"/>
      <c r="Z325" s="13"/>
      <c r="AA325" s="13"/>
      <c r="AB325" s="13"/>
      <c r="AC325" s="13"/>
      <c r="AD325" s="13"/>
      <c r="AE325" s="13"/>
      <c r="AF325" s="13"/>
      <c r="AG325" s="13"/>
      <c r="AH325" s="13"/>
      <c r="AI325" s="13"/>
      <c r="AJ325" s="13"/>
      <c r="AK325" s="13"/>
      <c r="AL325" s="13"/>
      <c r="AM325" s="13"/>
      <c r="AN325" s="13"/>
      <c r="AO325" s="13"/>
      <c r="AP325" s="13"/>
      <c r="AQ325" s="13"/>
      <c r="AR325" s="13"/>
      <c r="AS325" s="13"/>
      <c r="AT325" s="13"/>
      <c r="AU325" s="13"/>
      <c r="AV325" s="13"/>
      <c r="AW325" s="13"/>
      <c r="AX325" s="13"/>
      <c r="AY325" s="13"/>
      <c r="AZ325" s="13"/>
      <c r="BA325" s="13"/>
      <c r="BB325" s="13"/>
      <c r="BC325" s="13"/>
      <c r="BD325" s="13"/>
      <c r="BE325" s="13"/>
      <c r="BF325" s="13"/>
      <c r="BG325" s="13"/>
    </row>
    <row r="326" spans="1:59" s="37" customFormat="1" ht="20.25">
      <c r="A326" s="56"/>
      <c r="B326" s="56"/>
      <c r="C326" s="56"/>
      <c r="D326" s="61" t="s">
        <v>434</v>
      </c>
      <c r="E326" s="61"/>
      <c r="F326" s="61"/>
      <c r="G326" s="61"/>
      <c r="H326" s="61"/>
      <c r="I326" s="61"/>
      <c r="J326" s="61"/>
      <c r="K326" s="35"/>
      <c r="L326" s="54"/>
      <c r="M326" s="54"/>
      <c r="N326" s="79">
        <v>10433.9</v>
      </c>
      <c r="O326" s="13"/>
      <c r="P326" s="13"/>
      <c r="Q326" s="13"/>
      <c r="R326" s="13"/>
      <c r="S326" s="13"/>
      <c r="T326" s="13"/>
      <c r="U326" s="13"/>
      <c r="V326" s="13"/>
      <c r="W326" s="13"/>
      <c r="X326" s="13"/>
      <c r="Y326" s="13"/>
      <c r="Z326" s="13"/>
      <c r="AA326" s="13"/>
      <c r="AB326" s="13"/>
      <c r="AC326" s="13"/>
      <c r="AD326" s="13"/>
      <c r="AE326" s="13"/>
      <c r="AF326" s="13"/>
      <c r="AG326" s="13"/>
      <c r="AH326" s="13"/>
      <c r="AI326" s="13"/>
      <c r="AJ326" s="13"/>
      <c r="AK326" s="13"/>
      <c r="AL326" s="13"/>
      <c r="AM326" s="13"/>
      <c r="AN326" s="13"/>
      <c r="AO326" s="13"/>
      <c r="AP326" s="13"/>
      <c r="AQ326" s="13"/>
      <c r="AR326" s="13"/>
      <c r="AS326" s="13"/>
      <c r="AT326" s="13"/>
      <c r="AU326" s="13"/>
      <c r="AV326" s="13"/>
      <c r="AW326" s="13"/>
      <c r="AX326" s="13"/>
      <c r="AY326" s="13"/>
      <c r="AZ326" s="13"/>
      <c r="BA326" s="13"/>
      <c r="BB326" s="13"/>
      <c r="BC326" s="13"/>
      <c r="BD326" s="13"/>
      <c r="BE326" s="13"/>
      <c r="BF326" s="13"/>
      <c r="BG326" s="13"/>
    </row>
    <row r="327" spans="1:59" s="37" customFormat="1" ht="49.5" customHeight="1">
      <c r="A327" s="56"/>
      <c r="B327" s="56"/>
      <c r="C327" s="56"/>
      <c r="D327" s="61" t="s">
        <v>435</v>
      </c>
      <c r="E327" s="61"/>
      <c r="F327" s="61"/>
      <c r="G327" s="61"/>
      <c r="H327" s="61"/>
      <c r="I327" s="61"/>
      <c r="J327" s="61"/>
      <c r="K327" s="35"/>
      <c r="L327" s="54"/>
      <c r="M327" s="54"/>
      <c r="N327" s="79">
        <v>69.8</v>
      </c>
      <c r="O327" s="13"/>
      <c r="P327" s="13"/>
      <c r="Q327" s="13"/>
      <c r="R327" s="13"/>
      <c r="S327" s="13"/>
      <c r="T327" s="13"/>
      <c r="U327" s="13"/>
      <c r="V327" s="13"/>
      <c r="W327" s="13"/>
      <c r="X327" s="13"/>
      <c r="Y327" s="13"/>
      <c r="Z327" s="13"/>
      <c r="AA327" s="13"/>
      <c r="AB327" s="13"/>
      <c r="AC327" s="13"/>
      <c r="AD327" s="13"/>
      <c r="AE327" s="13"/>
      <c r="AF327" s="13"/>
      <c r="AG327" s="13"/>
      <c r="AH327" s="13"/>
      <c r="AI327" s="13"/>
      <c r="AJ327" s="13"/>
      <c r="AK327" s="13"/>
      <c r="AL327" s="13"/>
      <c r="AM327" s="13"/>
      <c r="AN327" s="13"/>
      <c r="AO327" s="13"/>
      <c r="AP327" s="13"/>
      <c r="AQ327" s="13"/>
      <c r="AR327" s="13"/>
      <c r="AS327" s="13"/>
      <c r="AT327" s="13"/>
      <c r="AU327" s="13"/>
      <c r="AV327" s="13"/>
      <c r="AW327" s="13"/>
      <c r="AX327" s="13"/>
      <c r="AY327" s="13"/>
      <c r="AZ327" s="13"/>
      <c r="BA327" s="13"/>
      <c r="BB327" s="13"/>
      <c r="BC327" s="13"/>
      <c r="BD327" s="13"/>
      <c r="BE327" s="13"/>
      <c r="BF327" s="13"/>
      <c r="BG327" s="13"/>
    </row>
    <row r="328" spans="1:59" s="37" customFormat="1" ht="29.25" customHeight="1">
      <c r="A328" s="56"/>
      <c r="B328" s="56"/>
      <c r="C328" s="56"/>
      <c r="D328" s="42" t="s">
        <v>181</v>
      </c>
      <c r="E328" s="61"/>
      <c r="F328" s="61"/>
      <c r="G328" s="61"/>
      <c r="H328" s="61"/>
      <c r="I328" s="61"/>
      <c r="J328" s="61"/>
      <c r="K328" s="35"/>
      <c r="L328" s="54"/>
      <c r="M328" s="54"/>
      <c r="N328" s="51">
        <v>69.8</v>
      </c>
      <c r="O328" s="13"/>
      <c r="P328" s="13"/>
      <c r="Q328" s="13"/>
      <c r="R328" s="13"/>
      <c r="S328" s="13"/>
      <c r="T328" s="13"/>
      <c r="U328" s="13"/>
      <c r="V328" s="13"/>
      <c r="W328" s="13"/>
      <c r="X328" s="13"/>
      <c r="Y328" s="13"/>
      <c r="Z328" s="13"/>
      <c r="AA328" s="13"/>
      <c r="AB328" s="13"/>
      <c r="AC328" s="13"/>
      <c r="AD328" s="13"/>
      <c r="AE328" s="13"/>
      <c r="AF328" s="13"/>
      <c r="AG328" s="13"/>
      <c r="AH328" s="13"/>
      <c r="AI328" s="13"/>
      <c r="AJ328" s="13"/>
      <c r="AK328" s="13"/>
      <c r="AL328" s="13"/>
      <c r="AM328" s="13"/>
      <c r="AN328" s="13"/>
      <c r="AO328" s="13"/>
      <c r="AP328" s="13"/>
      <c r="AQ328" s="13"/>
      <c r="AR328" s="13"/>
      <c r="AS328" s="13"/>
      <c r="AT328" s="13"/>
      <c r="AU328" s="13"/>
      <c r="AV328" s="13"/>
      <c r="AW328" s="13"/>
      <c r="AX328" s="13"/>
      <c r="AY328" s="13"/>
      <c r="AZ328" s="13"/>
      <c r="BA328" s="13"/>
      <c r="BB328" s="13"/>
      <c r="BC328" s="13"/>
      <c r="BD328" s="13"/>
      <c r="BE328" s="13"/>
      <c r="BF328" s="13"/>
      <c r="BG328" s="13"/>
    </row>
    <row r="329" spans="11:14" ht="15" customHeight="1" hidden="1">
      <c r="K329" s="80"/>
      <c r="L329" s="13"/>
      <c r="N329" s="11"/>
    </row>
    <row r="330" spans="11:14" ht="20.25">
      <c r="K330" s="80"/>
      <c r="L330" s="13"/>
      <c r="N330" s="11"/>
    </row>
    <row r="331" spans="11:14" ht="43.5" customHeight="1">
      <c r="K331" s="80"/>
      <c r="L331" s="13"/>
      <c r="N331" s="11"/>
    </row>
    <row r="332" spans="1:59" s="81" customFormat="1" ht="38.25" customHeight="1">
      <c r="A332" s="112" t="s">
        <v>441</v>
      </c>
      <c r="B332" s="112"/>
      <c r="C332" s="112"/>
      <c r="D332" s="112"/>
      <c r="E332" s="112"/>
      <c r="I332" s="110"/>
      <c r="J332" s="110"/>
      <c r="K332" s="110"/>
      <c r="L332" s="110"/>
      <c r="M332" s="110"/>
      <c r="N332" s="110"/>
      <c r="O332" s="82"/>
      <c r="P332" s="82"/>
      <c r="Q332" s="82"/>
      <c r="R332" s="82"/>
      <c r="S332" s="82"/>
      <c r="T332" s="82"/>
      <c r="U332" s="82"/>
      <c r="V332" s="82"/>
      <c r="W332" s="82"/>
      <c r="X332" s="82"/>
      <c r="Y332" s="82"/>
      <c r="Z332" s="82"/>
      <c r="AA332" s="82"/>
      <c r="AB332" s="82"/>
      <c r="AC332" s="82"/>
      <c r="AD332" s="82"/>
      <c r="AE332" s="82"/>
      <c r="AF332" s="82"/>
      <c r="AG332" s="82"/>
      <c r="AH332" s="82"/>
      <c r="AI332" s="82"/>
      <c r="AJ332" s="82"/>
      <c r="AK332" s="82"/>
      <c r="AL332" s="82"/>
      <c r="AM332" s="82"/>
      <c r="AN332" s="82"/>
      <c r="AO332" s="82"/>
      <c r="AP332" s="82"/>
      <c r="AQ332" s="82"/>
      <c r="AR332" s="82"/>
      <c r="AS332" s="82"/>
      <c r="AT332" s="82"/>
      <c r="AU332" s="82"/>
      <c r="AV332" s="82"/>
      <c r="AW332" s="82"/>
      <c r="AX332" s="82"/>
      <c r="AY332" s="82"/>
      <c r="AZ332" s="82"/>
      <c r="BA332" s="82"/>
      <c r="BB332" s="82"/>
      <c r="BC332" s="82"/>
      <c r="BD332" s="82"/>
      <c r="BE332" s="82"/>
      <c r="BF332" s="82"/>
      <c r="BG332" s="82"/>
    </row>
    <row r="333" spans="1:59" s="81" customFormat="1" ht="27">
      <c r="A333" s="106"/>
      <c r="B333" s="106"/>
      <c r="C333" s="106"/>
      <c r="D333" s="107" t="s">
        <v>444</v>
      </c>
      <c r="E333" s="107"/>
      <c r="F333" s="107"/>
      <c r="G333" s="107"/>
      <c r="H333" s="107"/>
      <c r="I333" s="110" t="s">
        <v>442</v>
      </c>
      <c r="J333" s="110"/>
      <c r="K333" s="110"/>
      <c r="L333" s="110"/>
      <c r="M333" s="110"/>
      <c r="N333" s="110"/>
      <c r="O333" s="82"/>
      <c r="P333" s="82"/>
      <c r="Q333" s="82"/>
      <c r="R333" s="82"/>
      <c r="S333" s="82"/>
      <c r="T333" s="82"/>
      <c r="U333" s="82"/>
      <c r="V333" s="82"/>
      <c r="W333" s="82"/>
      <c r="X333" s="82"/>
      <c r="Y333" s="82"/>
      <c r="Z333" s="82"/>
      <c r="AA333" s="82"/>
      <c r="AB333" s="82"/>
      <c r="AC333" s="82"/>
      <c r="AD333" s="82"/>
      <c r="AE333" s="82"/>
      <c r="AF333" s="82"/>
      <c r="AG333" s="82"/>
      <c r="AH333" s="82"/>
      <c r="AI333" s="82"/>
      <c r="AJ333" s="82"/>
      <c r="AK333" s="82"/>
      <c r="AL333" s="82"/>
      <c r="AM333" s="82"/>
      <c r="AN333" s="82"/>
      <c r="AO333" s="82"/>
      <c r="AP333" s="82"/>
      <c r="AQ333" s="82"/>
      <c r="AR333" s="82"/>
      <c r="AS333" s="82"/>
      <c r="AT333" s="82"/>
      <c r="AU333" s="82"/>
      <c r="AV333" s="82"/>
      <c r="AW333" s="82"/>
      <c r="AX333" s="82"/>
      <c r="AY333" s="82"/>
      <c r="AZ333" s="82"/>
      <c r="BA333" s="82"/>
      <c r="BB333" s="82"/>
      <c r="BC333" s="82"/>
      <c r="BD333" s="82"/>
      <c r="BE333" s="82"/>
      <c r="BF333" s="82"/>
      <c r="BG333" s="82"/>
    </row>
    <row r="334" spans="1:59" s="89" customFormat="1" ht="6" customHeight="1">
      <c r="A334" s="83"/>
      <c r="B334" s="83"/>
      <c r="C334" s="83"/>
      <c r="D334" s="84"/>
      <c r="E334" s="84"/>
      <c r="F334" s="84"/>
      <c r="G334" s="84"/>
      <c r="H334" s="84"/>
      <c r="I334" s="84"/>
      <c r="J334" s="84"/>
      <c r="K334" s="85"/>
      <c r="L334" s="86"/>
      <c r="M334" s="87"/>
      <c r="N334" s="88"/>
      <c r="O334" s="88"/>
      <c r="P334" s="88"/>
      <c r="Q334" s="88"/>
      <c r="R334" s="88"/>
      <c r="S334" s="88"/>
      <c r="T334" s="88"/>
      <c r="U334" s="88"/>
      <c r="V334" s="88"/>
      <c r="W334" s="88"/>
      <c r="X334" s="88"/>
      <c r="Y334" s="88"/>
      <c r="Z334" s="88"/>
      <c r="AA334" s="88"/>
      <c r="AB334" s="88"/>
      <c r="AC334" s="88"/>
      <c r="AD334" s="88"/>
      <c r="AE334" s="88"/>
      <c r="AF334" s="88"/>
      <c r="AG334" s="88"/>
      <c r="AH334" s="88"/>
      <c r="AI334" s="88"/>
      <c r="AJ334" s="88"/>
      <c r="AK334" s="88"/>
      <c r="AL334" s="88"/>
      <c r="AM334" s="88"/>
      <c r="AN334" s="88"/>
      <c r="AO334" s="88"/>
      <c r="AP334" s="88"/>
      <c r="AQ334" s="88"/>
      <c r="AR334" s="88"/>
      <c r="AS334" s="88"/>
      <c r="AT334" s="88"/>
      <c r="AU334" s="88"/>
      <c r="AV334" s="88"/>
      <c r="AW334" s="88"/>
      <c r="AX334" s="88"/>
      <c r="AY334" s="88"/>
      <c r="AZ334" s="88"/>
      <c r="BA334" s="88"/>
      <c r="BB334" s="88"/>
      <c r="BC334" s="88"/>
      <c r="BD334" s="88"/>
      <c r="BE334" s="88"/>
      <c r="BF334" s="88"/>
      <c r="BG334" s="88"/>
    </row>
    <row r="335" spans="1:59" s="89" customFormat="1" ht="20.25">
      <c r="A335" s="90"/>
      <c r="B335" s="88"/>
      <c r="C335" s="86"/>
      <c r="D335" s="91"/>
      <c r="I335" s="92"/>
      <c r="J335" s="92"/>
      <c r="K335" s="93"/>
      <c r="L335" s="86"/>
      <c r="M335" s="87"/>
      <c r="N335" s="88"/>
      <c r="O335" s="88"/>
      <c r="P335" s="88"/>
      <c r="Q335" s="88"/>
      <c r="R335" s="88"/>
      <c r="S335" s="88"/>
      <c r="T335" s="88"/>
      <c r="U335" s="88"/>
      <c r="V335" s="88"/>
      <c r="W335" s="88"/>
      <c r="X335" s="88"/>
      <c r="Y335" s="88"/>
      <c r="Z335" s="88"/>
      <c r="AA335" s="88"/>
      <c r="AB335" s="88"/>
      <c r="AC335" s="88"/>
      <c r="AD335" s="88"/>
      <c r="AE335" s="88"/>
      <c r="AF335" s="88"/>
      <c r="AG335" s="88"/>
      <c r="AH335" s="88"/>
      <c r="AI335" s="88"/>
      <c r="AJ335" s="88"/>
      <c r="AK335" s="88"/>
      <c r="AL335" s="88"/>
      <c r="AM335" s="88"/>
      <c r="AN335" s="88"/>
      <c r="AO335" s="88"/>
      <c r="AP335" s="88"/>
      <c r="AQ335" s="88"/>
      <c r="AR335" s="88"/>
      <c r="AS335" s="88"/>
      <c r="AT335" s="88"/>
      <c r="AU335" s="88"/>
      <c r="AV335" s="88"/>
      <c r="AW335" s="88"/>
      <c r="AX335" s="88"/>
      <c r="AY335" s="88"/>
      <c r="AZ335" s="88"/>
      <c r="BA335" s="88"/>
      <c r="BB335" s="88"/>
      <c r="BC335" s="88"/>
      <c r="BD335" s="88"/>
      <c r="BE335" s="88"/>
      <c r="BF335" s="88"/>
      <c r="BG335" s="88"/>
    </row>
    <row r="336" spans="1:59" s="89" customFormat="1" ht="20.25">
      <c r="A336" s="111"/>
      <c r="B336" s="111"/>
      <c r="D336" s="93"/>
      <c r="H336" s="94"/>
      <c r="I336" s="92"/>
      <c r="J336" s="92"/>
      <c r="K336" s="93"/>
      <c r="L336" s="86"/>
      <c r="M336" s="87"/>
      <c r="N336" s="92"/>
      <c r="O336" s="88"/>
      <c r="P336" s="88"/>
      <c r="Q336" s="88"/>
      <c r="R336" s="88"/>
      <c r="S336" s="88"/>
      <c r="T336" s="88"/>
      <c r="U336" s="88"/>
      <c r="V336" s="88"/>
      <c r="W336" s="88"/>
      <c r="X336" s="88"/>
      <c r="Y336" s="88"/>
      <c r="Z336" s="88"/>
      <c r="AA336" s="88"/>
      <c r="AB336" s="88"/>
      <c r="AC336" s="88"/>
      <c r="AD336" s="88"/>
      <c r="AE336" s="88"/>
      <c r="AF336" s="88"/>
      <c r="AG336" s="88"/>
      <c r="AH336" s="88"/>
      <c r="AI336" s="88"/>
      <c r="AJ336" s="88"/>
      <c r="AK336" s="88"/>
      <c r="AL336" s="88"/>
      <c r="AM336" s="88"/>
      <c r="AN336" s="88"/>
      <c r="AO336" s="88"/>
      <c r="AP336" s="88"/>
      <c r="AQ336" s="88"/>
      <c r="AR336" s="88"/>
      <c r="AS336" s="88"/>
      <c r="AT336" s="88"/>
      <c r="AU336" s="88"/>
      <c r="AV336" s="88"/>
      <c r="AW336" s="88"/>
      <c r="AX336" s="88"/>
      <c r="AY336" s="88"/>
      <c r="AZ336" s="88"/>
      <c r="BA336" s="88"/>
      <c r="BB336" s="88"/>
      <c r="BC336" s="88"/>
      <c r="BD336" s="88"/>
      <c r="BE336" s="88"/>
      <c r="BF336" s="88"/>
      <c r="BG336" s="88"/>
    </row>
    <row r="337" spans="1:14" s="7" customFormat="1" ht="24" customHeight="1">
      <c r="A337" s="77"/>
      <c r="B337" s="77"/>
      <c r="C337" s="77"/>
      <c r="D337" s="95"/>
      <c r="E337" s="95"/>
      <c r="F337" s="95"/>
      <c r="G337" s="95"/>
      <c r="H337" s="95"/>
      <c r="I337" s="95"/>
      <c r="J337" s="95"/>
      <c r="K337" s="96"/>
      <c r="L337" s="13"/>
      <c r="M337" s="97"/>
      <c r="N337" s="11"/>
    </row>
    <row r="338" spans="1:14" s="7" customFormat="1" ht="20.25">
      <c r="A338" s="96"/>
      <c r="B338" s="96"/>
      <c r="C338" s="96"/>
      <c r="D338" s="98"/>
      <c r="E338" s="98"/>
      <c r="F338" s="98"/>
      <c r="G338" s="98"/>
      <c r="H338" s="98"/>
      <c r="I338" s="98"/>
      <c r="J338" s="98"/>
      <c r="K338" s="98"/>
      <c r="L338" s="13"/>
      <c r="M338" s="97"/>
      <c r="N338" s="11"/>
    </row>
    <row r="339" spans="12:14" ht="20.25">
      <c r="L339" s="13"/>
      <c r="N339" s="11"/>
    </row>
    <row r="340" spans="12:14" ht="20.25">
      <c r="L340" s="13"/>
      <c r="N340" s="11"/>
    </row>
    <row r="341" spans="12:14" ht="20.25">
      <c r="L341" s="13"/>
      <c r="N341" s="11"/>
    </row>
    <row r="342" ht="20.25">
      <c r="N342" s="11"/>
    </row>
    <row r="343" ht="20.25">
      <c r="N343" s="11"/>
    </row>
    <row r="344" ht="20.25">
      <c r="N344" s="11"/>
    </row>
    <row r="345" ht="20.25">
      <c r="N345" s="11"/>
    </row>
    <row r="346" ht="20.25">
      <c r="N346" s="11"/>
    </row>
    <row r="347" ht="20.25">
      <c r="N347" s="11"/>
    </row>
    <row r="348" ht="20.25">
      <c r="N348" s="11"/>
    </row>
    <row r="349" ht="20.25">
      <c r="N349" s="11"/>
    </row>
    <row r="350" ht="20.25">
      <c r="N350" s="11"/>
    </row>
    <row r="351" ht="20.25">
      <c r="N351" s="11"/>
    </row>
    <row r="352" ht="20.25">
      <c r="N352" s="11"/>
    </row>
    <row r="353" ht="20.25">
      <c r="N353" s="11"/>
    </row>
    <row r="354" ht="20.25">
      <c r="N354" s="11"/>
    </row>
    <row r="355" ht="20.25">
      <c r="N355" s="11"/>
    </row>
    <row r="356" ht="20.25">
      <c r="N356" s="11"/>
    </row>
    <row r="357" ht="20.25">
      <c r="N357" s="11"/>
    </row>
    <row r="358" ht="20.25">
      <c r="N358" s="11"/>
    </row>
    <row r="359" ht="20.25">
      <c r="N359" s="11"/>
    </row>
    <row r="360" ht="20.25">
      <c r="N360" s="11"/>
    </row>
    <row r="361" ht="20.25">
      <c r="N361" s="11"/>
    </row>
    <row r="362" ht="20.25">
      <c r="N362" s="11"/>
    </row>
    <row r="363" ht="20.25">
      <c r="N363" s="11"/>
    </row>
    <row r="364" ht="20.25">
      <c r="N364" s="11"/>
    </row>
    <row r="365" ht="20.25">
      <c r="N365" s="11"/>
    </row>
    <row r="366" ht="20.25">
      <c r="N366" s="11"/>
    </row>
    <row r="367" ht="20.25">
      <c r="N367" s="11"/>
    </row>
    <row r="368" ht="20.25">
      <c r="N368" s="11"/>
    </row>
  </sheetData>
  <sheetProtection/>
  <mergeCells count="24">
    <mergeCell ref="D11:N11"/>
    <mergeCell ref="H1:N1"/>
    <mergeCell ref="H2:N2"/>
    <mergeCell ref="I332:N332"/>
    <mergeCell ref="I14:I15"/>
    <mergeCell ref="I4:M4"/>
    <mergeCell ref="A10:M10"/>
    <mergeCell ref="I5:M5"/>
    <mergeCell ref="K14:K15"/>
    <mergeCell ref="A336:B336"/>
    <mergeCell ref="H14:H15"/>
    <mergeCell ref="M14:M15"/>
    <mergeCell ref="A332:E332"/>
    <mergeCell ref="A14:A15"/>
    <mergeCell ref="B14:B15"/>
    <mergeCell ref="C14:C15"/>
    <mergeCell ref="D14:D15"/>
    <mergeCell ref="E14:E15"/>
    <mergeCell ref="L14:L15"/>
    <mergeCell ref="I333:N333"/>
    <mergeCell ref="F14:F15"/>
    <mergeCell ref="G14:G15"/>
    <mergeCell ref="J14:J15"/>
    <mergeCell ref="N14:N15"/>
  </mergeCells>
  <printOptions horizontalCentered="1"/>
  <pageMargins left="0.1968503937007874" right="0.1968503937007874" top="1.1811023622047245" bottom="0.3937007874015748" header="0.5118110236220472" footer="0.2362204724409449"/>
  <pageSetup firstPageNumber="4" useFirstPageNumber="1" fitToHeight="16" fitToWidth="1" horizontalDpi="600" verticalDpi="600" orientation="landscape" paperSize="9" scale="52" r:id="rId1"/>
  <headerFooter>
    <oddFooter>&amp;R&amp;22&amp;P</oddFooter>
  </headerFooter>
  <rowBreaks count="12" manualBreakCount="12">
    <brk id="33" max="255" man="1"/>
    <brk id="55" max="255" man="1"/>
    <brk id="69" max="255" man="1"/>
    <brk id="95" max="255" man="1"/>
    <brk id="118" max="255" man="1"/>
    <brk id="150" max="255" man="1"/>
    <brk id="182" max="255" man="1"/>
    <brk id="211" max="255" man="1"/>
    <brk id="246" max="255" man="1"/>
    <brk id="269" max="255" man="1"/>
    <brk id="294" max="255" man="1"/>
    <brk id="321"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User</cp:lastModifiedBy>
  <cp:lastPrinted>2017-08-16T09:52:18Z</cp:lastPrinted>
  <dcterms:created xsi:type="dcterms:W3CDTF">2014-01-17T10:52:16Z</dcterms:created>
  <dcterms:modified xsi:type="dcterms:W3CDTF">2017-08-19T06:26:57Z</dcterms:modified>
  <cp:category/>
  <cp:version/>
  <cp:contentType/>
  <cp:contentStatus/>
</cp:coreProperties>
</file>