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2885" windowHeight="10320" activeTab="1"/>
  </bookViews>
  <sheets>
    <sheet name="дод. 3" sheetId="1" r:id="rId1"/>
    <sheet name="дод. 4" sheetId="2" r:id="rId2"/>
  </sheets>
  <definedNames>
    <definedName name="_xlfn.AGGREGATE" hidden="1">#NAME?</definedName>
    <definedName name="_xlnm.Print_Titles" localSheetId="0">'дод. 3'!$7:$10</definedName>
    <definedName name="_xlnm.Print_Titles" localSheetId="1">'дод. 4'!$7:$10</definedName>
    <definedName name="_xlnm.Print_Area" localSheetId="0">'дод. 3'!$B$1:$Q$131</definedName>
    <definedName name="_xlnm.Print_Area" localSheetId="1">'дод. 4'!$B$1:$Q$161</definedName>
  </definedNames>
  <calcPr fullCalcOnLoad="1"/>
</workbook>
</file>

<file path=xl/sharedStrings.xml><?xml version="1.0" encoding="utf-8"?>
<sst xmlns="http://schemas.openxmlformats.org/spreadsheetml/2006/main" count="749" uniqueCount="290">
  <si>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</si>
  <si>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</si>
  <si>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</si>
  <si>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</si>
  <si>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</si>
  <si>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</si>
  <si>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</si>
  <si>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</si>
  <si>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</si>
  <si>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</si>
  <si>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Код функціональної класифікації видатків та кредитування бюджету</t>
  </si>
  <si>
    <t>010116</t>
  </si>
  <si>
    <t>бюджет розвитку</t>
  </si>
  <si>
    <t>Код тимчасової класифікації видатків та кредитування місцевого бюджету</t>
  </si>
  <si>
    <t>грн.</t>
  </si>
  <si>
    <t>03 Виконавчий комітет Сумської міської ради</t>
  </si>
  <si>
    <t>Органи мiсцевого самоврядування</t>
  </si>
  <si>
    <t>090412</t>
  </si>
  <si>
    <t>Інші видатки на соціальний захист населення</t>
  </si>
  <si>
    <t>091101</t>
  </si>
  <si>
    <t>Утримання центрів соціальних служб для сім'ї, дітей та молоді</t>
  </si>
  <si>
    <t>091102</t>
  </si>
  <si>
    <t xml:space="preserve">Програми і заходи центрів соціальних служб для сім'ї, дітей та молоді 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</si>
  <si>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</si>
  <si>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</si>
  <si>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</si>
  <si>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</si>
  <si>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</si>
  <si>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</si>
  <si>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100203</t>
  </si>
  <si>
    <t xml:space="preserve">Благоустрій міст, сіл, селищ </t>
  </si>
  <si>
    <t>110502</t>
  </si>
  <si>
    <t>Інші культурно-освітні заклади та заходи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</si>
  <si>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</si>
  <si>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</si>
  <si>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</si>
  <si>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</si>
  <si>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</si>
  <si>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 та  навчально - тренувальна  робота дитячо-юнацьких спортивних шкіл</t>
  </si>
  <si>
    <t>130112</t>
  </si>
  <si>
    <t>130115</t>
  </si>
  <si>
    <t>Центри «Спорт для всіх» та заходи з фізичної культури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</si>
  <si>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</si>
  <si>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</si>
  <si>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170603</t>
  </si>
  <si>
    <t>Інші заходи у сфері електротранспорту</t>
  </si>
  <si>
    <t>180404</t>
  </si>
  <si>
    <t>Підтримка малого і середнього підприємництва</t>
  </si>
  <si>
    <t>180409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</si>
  <si>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</si>
  <si>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180410</t>
  </si>
  <si>
    <t>Інші заходи, пов'язані з економічною діяльністю</t>
  </si>
  <si>
    <t>210106</t>
  </si>
  <si>
    <t xml:space="preserve">Заходи у сфері захисту населення і територій від надзвичайних ситуацій техногенного та природного характеру </t>
  </si>
  <si>
    <t>210110</t>
  </si>
  <si>
    <t>Заходи з організації рятування на водах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</si>
  <si>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</si>
  <si>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</si>
  <si>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250404</t>
  </si>
  <si>
    <t>070101</t>
  </si>
  <si>
    <t>Дошкільні заклади освіти</t>
  </si>
  <si>
    <t>070201</t>
  </si>
  <si>
    <t>Загальноосвітні   школи  (в т.ч. школа - дитячий садок, інтернат при школі), спеціалізовані школи, ліцеї, гімназії, колегіуми</t>
  </si>
  <si>
    <t>070202</t>
  </si>
  <si>
    <t xml:space="preserve">Вечірні ( змінні ) школи </t>
  </si>
  <si>
    <t>070304</t>
  </si>
  <si>
    <t>Спеціальні загальноосвітні школи-інтернати, школи та інші заклади освіти для дітей  з  вадами  у  фізичному чи розумовому розвитку</t>
  </si>
  <si>
    <t>070401</t>
  </si>
  <si>
    <t>Позашкільні заклади освіти, заходи  із 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</si>
  <si>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</si>
  <si>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</si>
  <si>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</si>
  <si>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</si>
  <si>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</si>
  <si>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</si>
  <si>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</si>
  <si>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</si>
  <si>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</si>
  <si>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</si>
  <si>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</si>
  <si>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</si>
  <si>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Збереження природно-заповідного фонду</t>
  </si>
  <si>
    <t>080101</t>
  </si>
  <si>
    <t>Лікарні</t>
  </si>
  <si>
    <t>080203</t>
  </si>
  <si>
    <t>Перинатальні центри, пологові будинки</t>
  </si>
  <si>
    <t>080500</t>
  </si>
  <si>
    <t>Загальні і спеціалізовані стоматологічні поліклініки</t>
  </si>
  <si>
    <t>080800</t>
  </si>
  <si>
    <t>Центри первинної медичної (медико-санітарної) допомоги</t>
  </si>
  <si>
    <t>081002</t>
  </si>
  <si>
    <t>Інші заходи по охороні здоров’я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</si>
  <si>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</si>
  <si>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</si>
  <si>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Органи місцевого самоврядування</t>
  </si>
  <si>
    <t>090416</t>
  </si>
  <si>
    <t>Інші видатки на соціальний захист ветеранів війни та праці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</si>
  <si>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</si>
  <si>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</si>
  <si>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</si>
  <si>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</si>
  <si>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</si>
  <si>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</si>
  <si>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</si>
  <si>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</si>
  <si>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091214</t>
  </si>
  <si>
    <t>Інші установи та заклади</t>
  </si>
  <si>
    <t>170602</t>
  </si>
  <si>
    <t>Компенсаційні виплати на пільговий проїзд електротранспортом окремим категоріям громадян</t>
  </si>
  <si>
    <t>090802</t>
  </si>
  <si>
    <t>Інші програми соціального захисту дітей</t>
  </si>
  <si>
    <t>110103</t>
  </si>
  <si>
    <t xml:space="preserve">Філармонії, музичні колективи і ансамблі та інші мистецькі заклади та заходи  </t>
  </si>
  <si>
    <t>110201</t>
  </si>
  <si>
    <t>Бібліотеки</t>
  </si>
  <si>
    <t>110205</t>
  </si>
  <si>
    <t>Школи естетичного виховання дітей</t>
  </si>
  <si>
    <t>100102</t>
  </si>
  <si>
    <t>Капітальний ремонт житлового фонду місцевих органів влади</t>
  </si>
  <si>
    <t>100106</t>
  </si>
  <si>
    <t xml:space="preserve">Капітальний ремонт житлового фонду об'єднань співвласників багатоквартирних будинків  </t>
  </si>
  <si>
    <t>100202</t>
  </si>
  <si>
    <t>Водопровідно-каналізаційне господарство</t>
  </si>
  <si>
    <t>160101</t>
  </si>
  <si>
    <t>Землеустрій</t>
  </si>
  <si>
    <t>180107</t>
  </si>
  <si>
    <t xml:space="preserve">Фінансування енергозберігаючих заходів </t>
  </si>
  <si>
    <t>240601</t>
  </si>
  <si>
    <t>Охорона та раціональне використання природних ресурсів</t>
  </si>
  <si>
    <t>150101</t>
  </si>
  <si>
    <t>Капiтальнi вкладення</t>
  </si>
  <si>
    <t>250913</t>
  </si>
  <si>
    <t>Витрати, пов'язані з наданням та обслуговуванням пільгових довгострокових кредитів, наданих громадянам на  будівництво (реконструкцію) та придбання житла</t>
  </si>
  <si>
    <t>250102</t>
  </si>
  <si>
    <t>Резервний фонд</t>
  </si>
  <si>
    <t>250380</t>
  </si>
  <si>
    <t>Інші субвенції</t>
  </si>
  <si>
    <t>Всього видатків</t>
  </si>
  <si>
    <t>1090</t>
  </si>
  <si>
    <t>1040</t>
  </si>
  <si>
    <t>0620</t>
  </si>
  <si>
    <t>0829</t>
  </si>
  <si>
    <t>0810</t>
  </si>
  <si>
    <t>0455</t>
  </si>
  <si>
    <t>0411</t>
  </si>
  <si>
    <t>0490</t>
  </si>
  <si>
    <t>0220</t>
  </si>
  <si>
    <t>0320</t>
  </si>
  <si>
    <t>0540</t>
  </si>
  <si>
    <t>0133</t>
  </si>
  <si>
    <t>10 Управління  освіти і науки Сумської міської ради</t>
  </si>
  <si>
    <t>0910</t>
  </si>
  <si>
    <t>0921</t>
  </si>
  <si>
    <t>0922</t>
  </si>
  <si>
    <t>0960</t>
  </si>
  <si>
    <t>0990</t>
  </si>
  <si>
    <t>0520</t>
  </si>
  <si>
    <t xml:space="preserve">14 Відділ охорони здоров’я Сумської міської ради  </t>
  </si>
  <si>
    <t>0731</t>
  </si>
  <si>
    <t>0733</t>
  </si>
  <si>
    <t>0722</t>
  </si>
  <si>
    <t>0726</t>
  </si>
  <si>
    <t>0763</t>
  </si>
  <si>
    <t xml:space="preserve">15 Управління соціального захисту населення Сумської міської ради </t>
  </si>
  <si>
    <t>1030</t>
  </si>
  <si>
    <t>1070</t>
  </si>
  <si>
    <t>1060</t>
  </si>
  <si>
    <t>1010</t>
  </si>
  <si>
    <t>1020</t>
  </si>
  <si>
    <t>20 Служба у справах дітей Сумської міської ради</t>
  </si>
  <si>
    <t>24 Відділ культури та туризму Сумської міської ради</t>
  </si>
  <si>
    <t>0822</t>
  </si>
  <si>
    <t>0824</t>
  </si>
  <si>
    <t>41 Департамент інфраструктури міста Сумської міської ради</t>
  </si>
  <si>
    <t>0610</t>
  </si>
  <si>
    <t>0421</t>
  </si>
  <si>
    <t>0470</t>
  </si>
  <si>
    <t>0511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</si>
  <si>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</si>
  <si>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</si>
  <si>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</si>
  <si>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75 Департамент фінансів, економіки та бюджетних відносин Сумської міської ради</t>
  </si>
  <si>
    <t>76 Департамент фінансів, економіки та бюджетних відносин Сумської міської ради (в частині міжбюджетних трансфертів, резервного фонду)</t>
  </si>
  <si>
    <t>0180</t>
  </si>
  <si>
    <t>50 Управління «Інспекція з благоустрою міста Суми» Сумської міської ради</t>
  </si>
  <si>
    <t>250301</t>
  </si>
  <si>
    <t>Реверсна дотація</t>
  </si>
  <si>
    <t>250315</t>
  </si>
  <si>
    <t>Найменування
згідно з типовою відомчою / тимчасовою класифікацією видатків та кредитування місцевого бюджету</t>
  </si>
  <si>
    <t>Інші додаткові дотації</t>
  </si>
  <si>
    <t>080300</t>
  </si>
  <si>
    <t>0721</t>
  </si>
  <si>
    <t>Поліклініки і амбулаторії (крім спеціалізованих поліклінік та загальних і спеціалізованих стоматологічних поліклінік)</t>
  </si>
  <si>
    <t>120300</t>
  </si>
  <si>
    <t>Книговидання</t>
  </si>
  <si>
    <t>0830</t>
  </si>
  <si>
    <t>150202</t>
  </si>
  <si>
    <t>Розробка схем та проектних рішень масового застосування</t>
  </si>
  <si>
    <t>0443</t>
  </si>
  <si>
    <t>200600</t>
  </si>
  <si>
    <t>170101</t>
  </si>
  <si>
    <t>170601</t>
  </si>
  <si>
    <t>Регулювання цін на послуги місцевого автотранспорту</t>
  </si>
  <si>
    <t>0451</t>
  </si>
  <si>
    <t>Регулювання цін на послуги міського електротранспорту</t>
  </si>
  <si>
    <t>0453</t>
  </si>
  <si>
    <t>230000</t>
  </si>
  <si>
    <t>Обслуговування боргу</t>
  </si>
  <si>
    <t>090212</t>
  </si>
  <si>
    <t>Пільги на медичне обслуговування громадян, які постраждали внаслідок Чорнобильської катастрофи</t>
  </si>
  <si>
    <t>090501</t>
  </si>
  <si>
    <t>1050</t>
  </si>
  <si>
    <t>Організація та проведення громадських робіт</t>
  </si>
  <si>
    <t>в тому числі субвенція</t>
  </si>
  <si>
    <t>0170</t>
  </si>
  <si>
    <t>в тому числі субвенції з державного бюджету</t>
  </si>
  <si>
    <t>010000</t>
  </si>
  <si>
    <t>Державне управління</t>
  </si>
  <si>
    <t>070000</t>
  </si>
  <si>
    <t>Освіта</t>
  </si>
  <si>
    <t>080000</t>
  </si>
  <si>
    <t xml:space="preserve">Охорона здоров’я 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</si>
  <si>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</si>
  <si>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</si>
  <si>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</si>
  <si>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</si>
  <si>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</si>
  <si>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 xml:space="preserve"> 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</si>
  <si>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</si>
  <si>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</si>
  <si>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</si>
  <si>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</si>
  <si>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</si>
  <si>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</si>
  <si>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</si>
  <si>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</si>
  <si>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</si>
  <si>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зв'язок, телекомунікації та інформатика</t>
  </si>
  <si>
    <t>180000</t>
  </si>
  <si>
    <t>Інші послуги, пов'язані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</si>
  <si>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</si>
  <si>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</si>
  <si>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</si>
  <si>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</si>
  <si>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</si>
  <si>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</si>
  <si>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>Міжбюджетні трансферти</t>
  </si>
  <si>
    <t>200000</t>
  </si>
  <si>
    <t>Охорона наволишнього природного середовища та ядерна безпека</t>
  </si>
  <si>
    <t>РОЗПОДІЛ
видатків міського бюджету  на 2016 рік за тимчасовою класифікацією видатків та кредитування місцевих бюджетів</t>
  </si>
  <si>
    <t>РОЗПОДІЛ
видатків міського бюджету  на 2016 рік  за головними розпорядниками  коштів</t>
  </si>
  <si>
    <t xml:space="preserve"> 49 Управління «Інспекція державного архітектурно-будівельного контролю» Сумської міської ради</t>
  </si>
  <si>
    <t>100101</t>
  </si>
  <si>
    <t>Житлово-експлуатаційне господарство</t>
  </si>
  <si>
    <t>091212</t>
  </si>
  <si>
    <t>Обробка інформації з нарахування та виплати допомог і компенсацій</t>
  </si>
  <si>
    <t>081009</t>
  </si>
  <si>
    <t>Забезпечення централізованих заходів з лікування хворих на цукровий та нецукровий діабет</t>
  </si>
  <si>
    <t>090417</t>
  </si>
  <si>
    <t>Витрати на поховання учасників бойових дій та інвалідів війни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</si>
  <si>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</si>
  <si>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</si>
  <si>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</si>
  <si>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</si>
  <si>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240602</t>
  </si>
  <si>
    <t>0512</t>
  </si>
  <si>
    <t>Утилізація відходів</t>
  </si>
  <si>
    <t>240604</t>
  </si>
  <si>
    <t>Інша діяльність у сфері охорони навколишнього природного середовища</t>
  </si>
  <si>
    <t>240605</t>
  </si>
  <si>
    <t>100208</t>
  </si>
  <si>
    <t>Видатки на впровадження засобів обліку витрат та регулювання споживання води та теплової енергії</t>
  </si>
  <si>
    <t>070501</t>
  </si>
  <si>
    <t>Професійно-технічні заклади освіти</t>
  </si>
  <si>
    <t>0930</t>
  </si>
  <si>
    <t xml:space="preserve">                Додаток  3</t>
  </si>
  <si>
    <t>до  рішення  виконавчого   комітету</t>
  </si>
  <si>
    <r>
      <t xml:space="preserve">від </t>
    </r>
    <r>
      <rPr>
        <sz val="20"/>
        <color indexed="9"/>
        <rFont val="Times New Roman"/>
        <family val="1"/>
      </rPr>
      <t>29 вересн               я</t>
    </r>
    <r>
      <rPr>
        <sz val="20"/>
        <rFont val="Times New Roman"/>
        <family val="0"/>
      </rPr>
      <t xml:space="preserve">  № </t>
    </r>
    <r>
      <rPr>
        <sz val="20"/>
        <color indexed="9"/>
        <rFont val="Times New Roman"/>
        <family val="1"/>
      </rPr>
      <t>4786</t>
    </r>
  </si>
  <si>
    <t>Директор департаменту фінансів, економіки та бюджетних відносин</t>
  </si>
  <si>
    <t>С.А. Липова</t>
  </si>
  <si>
    <t xml:space="preserve">                Додаток  4</t>
  </si>
  <si>
    <t>14</t>
  </si>
  <si>
    <t>15</t>
  </si>
  <si>
    <t>16</t>
  </si>
  <si>
    <t>17</t>
  </si>
  <si>
    <t>18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</si>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</sst>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4"/>
      <name val="Times New Roman"/>
      <family val="0"/>
    </font>
    <font>
      <sz val="20"/>
      <name val="Times New Roman"/>
      <family val="0"/>
    </font>
    <font>
      <b/>
      <sz val="11"/>
      <color indexed="10"/>
      <name val="Times New Roman"/>
      <family val="0"/>
    </font>
    <font>
      <sz val="2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0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67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1" fillId="13" borderId="0" applyNumberFormat="0" applyBorder="0" applyAlignment="0" applyProtection="0"/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horizontal="center" vertical="center"/>
    </xf>
    <xf numFmtId="0" fontId="35" fillId="0" borderId="13" xfId="0" applyNumberFormat="1" applyFont="1" applyFill="1" applyBorder="1" applyAlignment="1" applyProtection="1">
      <alignment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/>
    </xf>
    <xf numFmtId="0" fontId="35" fillId="0" borderId="15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Alignment="1" applyProtection="1">
      <alignment vertical="center"/>
      <protection/>
    </xf>
    <xf numFmtId="0" fontId="36" fillId="0" borderId="17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49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49" fontId="35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vertical="center" wrapText="1"/>
    </xf>
    <xf numFmtId="4" fontId="35" fillId="0" borderId="14" xfId="95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/>
    </xf>
    <xf numFmtId="4" fontId="36" fillId="0" borderId="14" xfId="95" applyNumberFormat="1" applyFont="1" applyFill="1" applyBorder="1" applyAlignment="1">
      <alignment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0" fontId="35" fillId="0" borderId="14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>
      <alignment vertical="center"/>
    </xf>
    <xf numFmtId="0" fontId="39" fillId="0" borderId="0" xfId="0" applyNumberFormat="1" applyFont="1" applyFill="1" applyAlignment="1" applyProtection="1">
      <alignment/>
      <protection/>
    </xf>
    <xf numFmtId="3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49" fontId="35" fillId="0" borderId="14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Alignment="1">
      <alignment vertical="center"/>
    </xf>
    <xf numFmtId="49" fontId="36" fillId="0" borderId="14" xfId="0" applyNumberFormat="1" applyFont="1" applyFill="1" applyBorder="1" applyAlignment="1">
      <alignment horizontal="center" vertical="center" wrapText="1"/>
    </xf>
    <xf numFmtId="4" fontId="35" fillId="0" borderId="14" xfId="95" applyNumberFormat="1" applyFont="1" applyFill="1" applyBorder="1" applyAlignment="1">
      <alignment vertical="center"/>
      <protection/>
    </xf>
    <xf numFmtId="4" fontId="40" fillId="0" borderId="14" xfId="95" applyNumberFormat="1" applyFont="1" applyFill="1" applyBorder="1" applyAlignment="1">
      <alignment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4" fontId="35" fillId="0" borderId="0" xfId="95" applyNumberFormat="1" applyFont="1" applyFill="1" applyBorder="1" applyAlignment="1">
      <alignment vertical="center"/>
      <protection/>
    </xf>
    <xf numFmtId="4" fontId="3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>
      <alignment vertical="center"/>
      <protection/>
    </xf>
    <xf numFmtId="4" fontId="36" fillId="0" borderId="14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49" fontId="38" fillId="0" borderId="0" xfId="0" applyNumberFormat="1" applyFont="1" applyFill="1" applyAlignment="1">
      <alignment horizontal="center" vertical="center" textRotation="180"/>
    </xf>
    <xf numFmtId="0" fontId="38" fillId="0" borderId="0" xfId="0" applyFont="1" applyAlignment="1">
      <alignment vertical="center" textRotation="180"/>
    </xf>
    <xf numFmtId="49" fontId="38" fillId="0" borderId="0" xfId="0" applyNumberFormat="1" applyFont="1" applyFill="1" applyBorder="1" applyAlignment="1">
      <alignment horizontal="center" vertical="center" textRotation="180"/>
    </xf>
    <xf numFmtId="49" fontId="38" fillId="0" borderId="0" xfId="0" applyNumberFormat="1" applyFont="1" applyFill="1" applyAlignment="1">
      <alignment horizontal="center" vertical="center" textRotation="180"/>
    </xf>
    <xf numFmtId="49" fontId="38" fillId="0" borderId="15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left" vertical="center" wrapText="1"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NumberFormat="1" applyFont="1" applyFill="1" applyBorder="1" applyAlignment="1" applyProtection="1">
      <alignment horizontal="center" vertical="center" wrapText="1"/>
      <protection/>
    </xf>
    <xf numFmtId="3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2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Alignment="1">
      <alignment horizontal="left" vertical="center" wrapText="1"/>
    </xf>
    <xf numFmtId="0" fontId="38" fillId="0" borderId="0" xfId="0" applyFont="1" applyBorder="1" applyAlignment="1">
      <alignment horizontal="center" vertical="center" textRotation="180"/>
    </xf>
    <xf numFmtId="0" fontId="38" fillId="0" borderId="15" xfId="0" applyFont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137"/>
  <sheetViews>
    <sheetView showGridLines="0" showZeros="0" view="pageBreakPreview" zoomScale="40" zoomScaleNormal="70" zoomScaleSheetLayoutView="40" workbookViewId="0" topLeftCell="B85">
      <selection activeCell="Q104" sqref="Q104:Q131"/>
    </sheetView>
  </sheetViews>
  <sheetFormatPr defaultColWidth="9.16015625" defaultRowHeight="12.75"/>
  <cols>
    <col min="1" max="1" width="3.83203125" style="1" hidden="1" customWidth="1"/>
    <col min="2" max="3" width="11.66015625" style="1" customWidth="1"/>
    <col min="4" max="4" width="46" style="1" customWidth="1"/>
    <col min="5" max="5" width="19.33203125" style="1" customWidth="1"/>
    <col min="6" max="6" width="19.5" style="1" customWidth="1"/>
    <col min="7" max="7" width="20" style="1" customWidth="1"/>
    <col min="8" max="8" width="16.83203125" style="1" customWidth="1"/>
    <col min="9" max="9" width="17" style="1" customWidth="1"/>
    <col min="10" max="11" width="18" style="1" customWidth="1"/>
    <col min="12" max="12" width="15.83203125" style="1" customWidth="1"/>
    <col min="13" max="13" width="15.33203125" style="1" customWidth="1"/>
    <col min="14" max="14" width="17.66015625" style="1" customWidth="1"/>
    <col min="15" max="15" width="19.16015625" style="1" customWidth="1"/>
    <col min="16" max="16" width="19.66015625" style="1" customWidth="1"/>
    <col min="17" max="17" width="5.83203125" style="73" customWidth="1"/>
    <col min="18" max="18" width="14.16015625" style="61" bestFit="1" customWidth="1"/>
    <col min="19" max="19" width="29.66015625" style="61" bestFit="1" customWidth="1"/>
    <col min="20" max="16384" width="9.16015625" style="61" customWidth="1"/>
  </cols>
  <sheetData>
    <row r="1" spans="12:17" ht="26.25">
      <c r="L1" s="87" t="s">
        <v>275</v>
      </c>
      <c r="M1" s="87"/>
      <c r="N1" s="87"/>
      <c r="O1" s="87"/>
      <c r="P1" s="42"/>
      <c r="Q1" s="76" t="s">
        <v>281</v>
      </c>
    </row>
    <row r="2" spans="12:17" ht="26.25">
      <c r="L2" s="42" t="s">
        <v>276</v>
      </c>
      <c r="M2" s="42"/>
      <c r="N2" s="42"/>
      <c r="O2" s="42"/>
      <c r="P2" s="42"/>
      <c r="Q2" s="76"/>
    </row>
    <row r="3" spans="12:17" ht="26.25" customHeight="1">
      <c r="L3" s="92" t="s">
        <v>277</v>
      </c>
      <c r="M3" s="92"/>
      <c r="N3" s="92"/>
      <c r="O3" s="92"/>
      <c r="P3" s="92"/>
      <c r="Q3" s="76"/>
    </row>
    <row r="4" spans="12:17" ht="36" customHeight="1">
      <c r="L4" s="49"/>
      <c r="M4" s="49"/>
      <c r="N4" s="49"/>
      <c r="O4" s="49"/>
      <c r="P4" s="49"/>
      <c r="Q4" s="76"/>
    </row>
    <row r="5" spans="2:17" ht="45" customHeight="1">
      <c r="B5" s="88" t="s">
        <v>249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76"/>
    </row>
    <row r="6" spans="2:17" ht="18.75">
      <c r="B6" s="62"/>
      <c r="C6" s="62"/>
      <c r="D6" s="62"/>
      <c r="E6" s="62"/>
      <c r="F6" s="62"/>
      <c r="G6" s="5"/>
      <c r="H6" s="62"/>
      <c r="I6" s="62"/>
      <c r="J6" s="3"/>
      <c r="K6" s="63"/>
      <c r="L6" s="63"/>
      <c r="M6" s="63"/>
      <c r="N6" s="63"/>
      <c r="O6" s="63"/>
      <c r="P6" s="41" t="s">
        <v>14</v>
      </c>
      <c r="Q6" s="76"/>
    </row>
    <row r="7" spans="1:17" s="19" customFormat="1" ht="21.75" customHeight="1">
      <c r="A7" s="17"/>
      <c r="B7" s="79" t="s">
        <v>13</v>
      </c>
      <c r="C7" s="79" t="s">
        <v>10</v>
      </c>
      <c r="D7" s="79" t="s">
        <v>188</v>
      </c>
      <c r="E7" s="89" t="s">
        <v>0</v>
      </c>
      <c r="F7" s="90"/>
      <c r="G7" s="90"/>
      <c r="H7" s="90"/>
      <c r="I7" s="91"/>
      <c r="J7" s="89" t="s">
        <v>1</v>
      </c>
      <c r="K7" s="90"/>
      <c r="L7" s="90"/>
      <c r="M7" s="90"/>
      <c r="N7" s="90"/>
      <c r="O7" s="91"/>
      <c r="P7" s="79" t="s">
        <v>2</v>
      </c>
      <c r="Q7" s="76"/>
    </row>
    <row r="8" spans="1:17" s="19" customFormat="1" ht="16.5" customHeight="1">
      <c r="A8" s="20"/>
      <c r="B8" s="80"/>
      <c r="C8" s="80"/>
      <c r="D8" s="80"/>
      <c r="E8" s="79" t="s">
        <v>3</v>
      </c>
      <c r="F8" s="82" t="s">
        <v>4</v>
      </c>
      <c r="G8" s="89" t="s">
        <v>5</v>
      </c>
      <c r="H8" s="91"/>
      <c r="I8" s="82" t="s">
        <v>6</v>
      </c>
      <c r="J8" s="79" t="s">
        <v>3</v>
      </c>
      <c r="K8" s="82" t="s">
        <v>4</v>
      </c>
      <c r="L8" s="89" t="s">
        <v>5</v>
      </c>
      <c r="M8" s="91"/>
      <c r="N8" s="82" t="s">
        <v>6</v>
      </c>
      <c r="O8" s="18" t="s">
        <v>5</v>
      </c>
      <c r="P8" s="80"/>
      <c r="Q8" s="76"/>
    </row>
    <row r="9" spans="1:17" s="19" customFormat="1" ht="20.25" customHeight="1">
      <c r="A9" s="21"/>
      <c r="B9" s="80"/>
      <c r="C9" s="80"/>
      <c r="D9" s="80"/>
      <c r="E9" s="80"/>
      <c r="F9" s="83"/>
      <c r="G9" s="79" t="s">
        <v>7</v>
      </c>
      <c r="H9" s="79" t="s">
        <v>8</v>
      </c>
      <c r="I9" s="83"/>
      <c r="J9" s="80"/>
      <c r="K9" s="83"/>
      <c r="L9" s="79" t="s">
        <v>7</v>
      </c>
      <c r="M9" s="79" t="s">
        <v>8</v>
      </c>
      <c r="N9" s="83"/>
      <c r="O9" s="79" t="s">
        <v>12</v>
      </c>
      <c r="P9" s="80"/>
      <c r="Q9" s="76"/>
    </row>
    <row r="10" spans="1:17" s="19" customFormat="1" ht="110.25" customHeight="1">
      <c r="A10" s="22"/>
      <c r="B10" s="81"/>
      <c r="C10" s="81"/>
      <c r="D10" s="81"/>
      <c r="E10" s="81"/>
      <c r="F10" s="84"/>
      <c r="G10" s="81"/>
      <c r="H10" s="81"/>
      <c r="I10" s="84"/>
      <c r="J10" s="81"/>
      <c r="K10" s="84"/>
      <c r="L10" s="81"/>
      <c r="M10" s="81"/>
      <c r="N10" s="84"/>
      <c r="O10" s="81"/>
      <c r="P10" s="81"/>
      <c r="Q10" s="76"/>
    </row>
    <row r="11" spans="1:17" s="25" customFormat="1" ht="15">
      <c r="A11" s="23"/>
      <c r="B11" s="65" t="s">
        <v>216</v>
      </c>
      <c r="C11" s="31"/>
      <c r="D11" s="31" t="s">
        <v>217</v>
      </c>
      <c r="E11" s="37">
        <f>E12</f>
        <v>61586070</v>
      </c>
      <c r="F11" s="37">
        <f aca="true" t="shared" si="0" ref="F11:P11">F12</f>
        <v>61586070</v>
      </c>
      <c r="G11" s="37">
        <f t="shared" si="0"/>
        <v>43596730</v>
      </c>
      <c r="H11" s="37">
        <f t="shared" si="0"/>
        <v>2728341</v>
      </c>
      <c r="I11" s="37">
        <f t="shared" si="0"/>
        <v>0</v>
      </c>
      <c r="J11" s="37">
        <f t="shared" si="0"/>
        <v>4712964</v>
      </c>
      <c r="K11" s="37">
        <f t="shared" si="0"/>
        <v>2280164</v>
      </c>
      <c r="L11" s="37">
        <f t="shared" si="0"/>
        <v>1413770</v>
      </c>
      <c r="M11" s="37">
        <f t="shared" si="0"/>
        <v>50946</v>
      </c>
      <c r="N11" s="37">
        <f t="shared" si="0"/>
        <v>2432800</v>
      </c>
      <c r="O11" s="37">
        <f t="shared" si="0"/>
        <v>2332300</v>
      </c>
      <c r="P11" s="37">
        <f t="shared" si="0"/>
        <v>66299034</v>
      </c>
      <c r="Q11" s="76"/>
    </row>
    <row r="12" spans="1:17" s="25" customFormat="1" ht="15">
      <c r="A12" s="23"/>
      <c r="B12" s="26" t="s">
        <v>11</v>
      </c>
      <c r="C12" s="26" t="s">
        <v>9</v>
      </c>
      <c r="D12" s="27" t="s">
        <v>16</v>
      </c>
      <c r="E12" s="35">
        <f>F12+I12</f>
        <v>61586070</v>
      </c>
      <c r="F12" s="35">
        <f>'дод. 4'!F12+'дод. 4'!F42+'дод. 4'!F64++'дод. 4'!F81+'дод. 4'!F97+'дод. 4'!F100+'дод. 4'!F106+'дод. 4'!F126+'дод. 4'!F130+'дод. 4'!F139+'дод. 4'!F146+'дод. 4'!F149+'дод. 4'!F144</f>
        <v>61586070</v>
      </c>
      <c r="G12" s="35">
        <f>'дод. 4'!G12+'дод. 4'!G42+'дод. 4'!G64++'дод. 4'!G81+'дод. 4'!G97+'дод. 4'!G100+'дод. 4'!G106+'дод. 4'!G126+'дод. 4'!G130+'дод. 4'!G139+'дод. 4'!G146+'дод. 4'!G149+'дод. 4'!G144</f>
        <v>43596730</v>
      </c>
      <c r="H12" s="35">
        <f>'дод. 4'!H12+'дод. 4'!H42+'дод. 4'!H64++'дод. 4'!H81+'дод. 4'!H97+'дод. 4'!H100+'дод. 4'!H106+'дод. 4'!H126+'дод. 4'!H130+'дод. 4'!H139+'дод. 4'!H146+'дод. 4'!H149+'дод. 4'!H144</f>
        <v>2728341</v>
      </c>
      <c r="I12" s="35">
        <f>'дод. 4'!I12+'дод. 4'!I42+'дод. 4'!I64++'дод. 4'!I81+'дод. 4'!I97+'дод. 4'!I100+'дод. 4'!I106+'дод. 4'!I126+'дод. 4'!I130+'дод. 4'!I139+'дод. 4'!I146+'дод. 4'!I149+'дод. 4'!I144</f>
        <v>0</v>
      </c>
      <c r="J12" s="35">
        <f>K12+N12</f>
        <v>4712964</v>
      </c>
      <c r="K12" s="35">
        <f>'дод. 4'!K12+'дод. 4'!K42+'дод. 4'!K64++'дод. 4'!K81+'дод. 4'!K97+'дод. 4'!K100+'дод. 4'!K106+'дод. 4'!K126+'дод. 4'!K130+'дод. 4'!K139+'дод. 4'!K146+'дод. 4'!K149+'дод. 4'!K144</f>
        <v>2280164</v>
      </c>
      <c r="L12" s="35">
        <f>'дод. 4'!L12+'дод. 4'!L42+'дод. 4'!L64++'дод. 4'!L81+'дод. 4'!L97+'дод. 4'!L100+'дод. 4'!L106+'дод. 4'!L126+'дод. 4'!L130+'дод. 4'!L139+'дод. 4'!L146+'дод. 4'!L149+'дод. 4'!L144</f>
        <v>1413770</v>
      </c>
      <c r="M12" s="35">
        <f>'дод. 4'!M12+'дод. 4'!M42+'дод. 4'!M64++'дод. 4'!M81+'дод. 4'!M97+'дод. 4'!M100+'дод. 4'!M106+'дод. 4'!M126+'дод. 4'!M130+'дод. 4'!M139+'дод. 4'!M146+'дод. 4'!M149+'дод. 4'!M144</f>
        <v>50946</v>
      </c>
      <c r="N12" s="35">
        <f>'дод. 4'!N12+'дод. 4'!N42+'дод. 4'!N64++'дод. 4'!N81+'дод. 4'!N97+'дод. 4'!N100+'дод. 4'!N106+'дод. 4'!N126+'дод. 4'!N130+'дод. 4'!N139+'дод. 4'!N146+'дод. 4'!N149+'дод. 4'!N144</f>
        <v>2432800</v>
      </c>
      <c r="O12" s="35">
        <f>'дод. 4'!O12+'дод. 4'!O42+'дод. 4'!O64++'дод. 4'!O81+'дод. 4'!O97+'дод. 4'!O100+'дод. 4'!O106+'дод. 4'!O126+'дод. 4'!O130+'дод. 4'!O139+'дод. 4'!O146+'дод. 4'!O149+'дод. 4'!O144</f>
        <v>2332300</v>
      </c>
      <c r="P12" s="35">
        <f>E12+J12</f>
        <v>66299034</v>
      </c>
      <c r="Q12" s="76"/>
    </row>
    <row r="13" spans="1:17" s="71" customFormat="1" ht="15" customHeight="1">
      <c r="A13" s="69"/>
      <c r="B13" s="66" t="s">
        <v>218</v>
      </c>
      <c r="C13" s="67"/>
      <c r="D13" s="67" t="s">
        <v>219</v>
      </c>
      <c r="E13" s="70">
        <f>E15+E16+E18+E20+E22+E23+E24+E25+E26+E27+E28+E29</f>
        <v>415377132</v>
      </c>
      <c r="F13" s="70">
        <f aca="true" t="shared" si="1" ref="F13:P13">F15+F16+F18+F20+F22+F23+F24+F25+F26+F27+F28+F29</f>
        <v>415377132</v>
      </c>
      <c r="G13" s="70">
        <f t="shared" si="1"/>
        <v>246806082</v>
      </c>
      <c r="H13" s="70">
        <f t="shared" si="1"/>
        <v>59693086</v>
      </c>
      <c r="I13" s="70">
        <f t="shared" si="1"/>
        <v>0</v>
      </c>
      <c r="J13" s="70">
        <f t="shared" si="1"/>
        <v>49586117</v>
      </c>
      <c r="K13" s="70">
        <f t="shared" si="1"/>
        <v>36241117</v>
      </c>
      <c r="L13" s="70">
        <f t="shared" si="1"/>
        <v>2470383</v>
      </c>
      <c r="M13" s="70">
        <f t="shared" si="1"/>
        <v>1518188</v>
      </c>
      <c r="N13" s="70">
        <f t="shared" si="1"/>
        <v>13345000</v>
      </c>
      <c r="O13" s="70">
        <f t="shared" si="1"/>
        <v>13040000</v>
      </c>
      <c r="P13" s="70">
        <f t="shared" si="1"/>
        <v>464963249</v>
      </c>
      <c r="Q13" s="76"/>
    </row>
    <row r="14" spans="1:17" s="71" customFormat="1" ht="15">
      <c r="A14" s="69"/>
      <c r="B14" s="66"/>
      <c r="C14" s="67"/>
      <c r="D14" s="40" t="s">
        <v>213</v>
      </c>
      <c r="E14" s="35">
        <f>F14+I14</f>
        <v>192447200</v>
      </c>
      <c r="F14" s="53">
        <f>F17+F19+F21</f>
        <v>192447200</v>
      </c>
      <c r="G14" s="53">
        <f>G17+G19+G21</f>
        <v>132708061</v>
      </c>
      <c r="H14" s="53">
        <f>H17+H19+H21</f>
        <v>20877870</v>
      </c>
      <c r="I14" s="53">
        <f>I17+I19+I21</f>
        <v>0</v>
      </c>
      <c r="J14" s="35">
        <f>K14+N14</f>
        <v>0</v>
      </c>
      <c r="K14" s="53">
        <f>K17+K19+K21</f>
        <v>0</v>
      </c>
      <c r="L14" s="53">
        <f>L17+L19+L21</f>
        <v>0</v>
      </c>
      <c r="M14" s="53">
        <f>M17+M19+M21</f>
        <v>0</v>
      </c>
      <c r="N14" s="53">
        <f>N17+N19+N21</f>
        <v>0</v>
      </c>
      <c r="O14" s="53">
        <f>O17+O19+O21</f>
        <v>0</v>
      </c>
      <c r="P14" s="35">
        <f>E14+J14</f>
        <v>192447200</v>
      </c>
      <c r="Q14" s="76"/>
    </row>
    <row r="15" spans="1:17" s="25" customFormat="1" ht="15">
      <c r="A15" s="23"/>
      <c r="B15" s="26" t="s">
        <v>59</v>
      </c>
      <c r="C15" s="26" t="s">
        <v>151</v>
      </c>
      <c r="D15" s="27" t="s">
        <v>60</v>
      </c>
      <c r="E15" s="35">
        <f>F15+I15</f>
        <v>109836820</v>
      </c>
      <c r="F15" s="35">
        <f>'дод. 4'!F43</f>
        <v>109836820</v>
      </c>
      <c r="G15" s="35">
        <f>'дод. 4'!G43</f>
        <v>63819890</v>
      </c>
      <c r="H15" s="35">
        <f>'дод. 4'!H43</f>
        <v>19789563</v>
      </c>
      <c r="I15" s="35">
        <f>'дод. 4'!I43</f>
        <v>0</v>
      </c>
      <c r="J15" s="35">
        <f>K15+N15</f>
        <v>14884686</v>
      </c>
      <c r="K15" s="35">
        <f>'дод. 4'!K43</f>
        <v>11284686</v>
      </c>
      <c r="L15" s="35">
        <f>'дод. 4'!L43</f>
        <v>0</v>
      </c>
      <c r="M15" s="35">
        <f>'дод. 4'!M43</f>
        <v>0</v>
      </c>
      <c r="N15" s="35">
        <f>'дод. 4'!N43</f>
        <v>3600000</v>
      </c>
      <c r="O15" s="35">
        <f>'дод. 4'!O43</f>
        <v>3600000</v>
      </c>
      <c r="P15" s="35">
        <f>E15+J15</f>
        <v>124721506</v>
      </c>
      <c r="Q15" s="76"/>
    </row>
    <row r="16" spans="1:17" s="25" customFormat="1" ht="60">
      <c r="A16" s="23"/>
      <c r="B16" s="26" t="s">
        <v>61</v>
      </c>
      <c r="C16" s="26" t="s">
        <v>152</v>
      </c>
      <c r="D16" s="27" t="s">
        <v>62</v>
      </c>
      <c r="E16" s="35">
        <f aca="true" t="shared" si="2" ref="E16:E29">F16+I16</f>
        <v>226643741</v>
      </c>
      <c r="F16" s="35">
        <f>'дод. 4'!F44</f>
        <v>226643741</v>
      </c>
      <c r="G16" s="35">
        <f>'дод. 4'!G44</f>
        <v>140528799</v>
      </c>
      <c r="H16" s="35">
        <f>'дод. 4'!H44</f>
        <v>31014749</v>
      </c>
      <c r="I16" s="35">
        <f>'дод. 4'!I44</f>
        <v>0</v>
      </c>
      <c r="J16" s="35">
        <f aca="true" t="shared" si="3" ref="J16:J29">K16+N16</f>
        <v>26927171</v>
      </c>
      <c r="K16" s="35">
        <f>'дод. 4'!K44</f>
        <v>18497171</v>
      </c>
      <c r="L16" s="35">
        <f>'дод. 4'!L44</f>
        <v>740455</v>
      </c>
      <c r="M16" s="35">
        <f>'дод. 4'!M44</f>
        <v>47940</v>
      </c>
      <c r="N16" s="35">
        <f>'дод. 4'!N44</f>
        <v>8430000</v>
      </c>
      <c r="O16" s="35">
        <f>'дод. 4'!O44</f>
        <v>8430000</v>
      </c>
      <c r="P16" s="35">
        <f aca="true" t="shared" si="4" ref="P16:P29">E16+J16</f>
        <v>253570912</v>
      </c>
      <c r="Q16" s="76"/>
    </row>
    <row r="17" spans="1:17" s="25" customFormat="1" ht="15">
      <c r="A17" s="23"/>
      <c r="B17" s="26"/>
      <c r="C17" s="26"/>
      <c r="D17" s="40" t="s">
        <v>213</v>
      </c>
      <c r="E17" s="35">
        <f t="shared" si="2"/>
        <v>187894811</v>
      </c>
      <c r="F17" s="35">
        <f>'дод. 4'!F45</f>
        <v>187894811</v>
      </c>
      <c r="G17" s="35">
        <f>'дод. 4'!G45</f>
        <v>129584283</v>
      </c>
      <c r="H17" s="35">
        <f>'дод. 4'!H45</f>
        <v>20360798</v>
      </c>
      <c r="I17" s="35">
        <f>'дод. 4'!I45</f>
        <v>0</v>
      </c>
      <c r="J17" s="35">
        <f t="shared" si="3"/>
        <v>0</v>
      </c>
      <c r="K17" s="35">
        <f>'дод. 4'!K45</f>
        <v>0</v>
      </c>
      <c r="L17" s="35">
        <f>'дод. 4'!L45</f>
        <v>0</v>
      </c>
      <c r="M17" s="35">
        <f>'дод. 4'!M45</f>
        <v>0</v>
      </c>
      <c r="N17" s="35">
        <f>'дод. 4'!N45</f>
        <v>0</v>
      </c>
      <c r="O17" s="35">
        <f>'дод. 4'!O45</f>
        <v>0</v>
      </c>
      <c r="P17" s="35">
        <f t="shared" si="4"/>
        <v>187894811</v>
      </c>
      <c r="Q17" s="76"/>
    </row>
    <row r="18" spans="1:17" s="25" customFormat="1" ht="15">
      <c r="A18" s="23"/>
      <c r="B18" s="26" t="s">
        <v>63</v>
      </c>
      <c r="C18" s="26" t="s">
        <v>152</v>
      </c>
      <c r="D18" s="27" t="s">
        <v>64</v>
      </c>
      <c r="E18" s="35">
        <f t="shared" si="2"/>
        <v>357724</v>
      </c>
      <c r="F18" s="35">
        <f>'дод. 4'!F46</f>
        <v>357724</v>
      </c>
      <c r="G18" s="35">
        <f>'дод. 4'!G46</f>
        <v>292913</v>
      </c>
      <c r="H18" s="35">
        <f>'дод. 4'!H46</f>
        <v>0</v>
      </c>
      <c r="I18" s="35">
        <f>'дод. 4'!I46</f>
        <v>0</v>
      </c>
      <c r="J18" s="35">
        <f t="shared" si="3"/>
        <v>0</v>
      </c>
      <c r="K18" s="35">
        <f>'дод. 4'!K46</f>
        <v>0</v>
      </c>
      <c r="L18" s="35">
        <f>'дод. 4'!L46</f>
        <v>0</v>
      </c>
      <c r="M18" s="35">
        <f>'дод. 4'!M46</f>
        <v>0</v>
      </c>
      <c r="N18" s="35">
        <f>'дод. 4'!N46</f>
        <v>0</v>
      </c>
      <c r="O18" s="35">
        <f>'дод. 4'!O46</f>
        <v>0</v>
      </c>
      <c r="P18" s="35">
        <f t="shared" si="4"/>
        <v>357724</v>
      </c>
      <c r="Q18" s="76"/>
    </row>
    <row r="19" spans="1:17" s="25" customFormat="1" ht="15">
      <c r="A19" s="23"/>
      <c r="B19" s="26"/>
      <c r="C19" s="26"/>
      <c r="D19" s="40" t="s">
        <v>213</v>
      </c>
      <c r="E19" s="35">
        <f t="shared" si="2"/>
        <v>357354</v>
      </c>
      <c r="F19" s="35">
        <f>'дод. 4'!F47</f>
        <v>357354</v>
      </c>
      <c r="G19" s="35">
        <f>'дод. 4'!G47</f>
        <v>292913</v>
      </c>
      <c r="H19" s="35">
        <f>'дод. 4'!H47</f>
        <v>0</v>
      </c>
      <c r="I19" s="35">
        <f>'дод. 4'!I47</f>
        <v>0</v>
      </c>
      <c r="J19" s="35">
        <f t="shared" si="3"/>
        <v>0</v>
      </c>
      <c r="K19" s="35">
        <f>'дод. 4'!K47</f>
        <v>0</v>
      </c>
      <c r="L19" s="35">
        <f>'дод. 4'!L47</f>
        <v>0</v>
      </c>
      <c r="M19" s="35">
        <f>'дод. 4'!M47</f>
        <v>0</v>
      </c>
      <c r="N19" s="35">
        <f>'дод. 4'!N47</f>
        <v>0</v>
      </c>
      <c r="O19" s="35">
        <f>'дод. 4'!O47</f>
        <v>0</v>
      </c>
      <c r="P19" s="35">
        <f t="shared" si="4"/>
        <v>357354</v>
      </c>
      <c r="Q19" s="76"/>
    </row>
    <row r="20" spans="1:17" s="25" customFormat="1" ht="60">
      <c r="A20" s="23"/>
      <c r="B20" s="26" t="s">
        <v>65</v>
      </c>
      <c r="C20" s="26" t="s">
        <v>153</v>
      </c>
      <c r="D20" s="27" t="s">
        <v>66</v>
      </c>
      <c r="E20" s="35">
        <f t="shared" si="2"/>
        <v>4343883</v>
      </c>
      <c r="F20" s="35">
        <f>'дод. 4'!F48</f>
        <v>4343883</v>
      </c>
      <c r="G20" s="35">
        <f>'дод. 4'!G48</f>
        <v>2830865</v>
      </c>
      <c r="H20" s="35">
        <f>'дод. 4'!H48</f>
        <v>517072</v>
      </c>
      <c r="I20" s="35">
        <f>'дод. 4'!I48</f>
        <v>0</v>
      </c>
      <c r="J20" s="35">
        <f t="shared" si="3"/>
        <v>150000</v>
      </c>
      <c r="K20" s="35">
        <f>'дод. 4'!K48</f>
        <v>0</v>
      </c>
      <c r="L20" s="35">
        <f>'дод. 4'!L48</f>
        <v>0</v>
      </c>
      <c r="M20" s="35">
        <f>'дод. 4'!M48</f>
        <v>0</v>
      </c>
      <c r="N20" s="35">
        <f>'дод. 4'!N48</f>
        <v>150000</v>
      </c>
      <c r="O20" s="35">
        <f>'дод. 4'!O48</f>
        <v>150000</v>
      </c>
      <c r="P20" s="35">
        <f t="shared" si="4"/>
        <v>4493883</v>
      </c>
      <c r="Q20" s="76"/>
    </row>
    <row r="21" spans="1:17" s="25" customFormat="1" ht="15">
      <c r="A21" s="23"/>
      <c r="B21" s="26"/>
      <c r="C21" s="26"/>
      <c r="D21" s="40" t="s">
        <v>213</v>
      </c>
      <c r="E21" s="35">
        <f t="shared" si="2"/>
        <v>4195035</v>
      </c>
      <c r="F21" s="35">
        <f>'дод. 4'!F49</f>
        <v>4195035</v>
      </c>
      <c r="G21" s="35">
        <f>'дод. 4'!G49</f>
        <v>2830865</v>
      </c>
      <c r="H21" s="35">
        <f>'дод. 4'!H49</f>
        <v>517072</v>
      </c>
      <c r="I21" s="35">
        <f>'дод. 4'!I49</f>
        <v>0</v>
      </c>
      <c r="J21" s="35">
        <f t="shared" si="3"/>
        <v>0</v>
      </c>
      <c r="K21" s="35">
        <f>'дод. 4'!K49</f>
        <v>0</v>
      </c>
      <c r="L21" s="35">
        <f>'дод. 4'!L49</f>
        <v>0</v>
      </c>
      <c r="M21" s="35">
        <f>'дод. 4'!M49</f>
        <v>0</v>
      </c>
      <c r="N21" s="35">
        <f>'дод. 4'!N49</f>
        <v>0</v>
      </c>
      <c r="O21" s="35">
        <f>'дод. 4'!O49</f>
        <v>0</v>
      </c>
      <c r="P21" s="35">
        <f t="shared" si="4"/>
        <v>4195035</v>
      </c>
      <c r="Q21" s="76"/>
    </row>
    <row r="22" spans="1:17" s="25" customFormat="1" ht="30">
      <c r="A22" s="23"/>
      <c r="B22" s="26" t="s">
        <v>67</v>
      </c>
      <c r="C22" s="26" t="s">
        <v>154</v>
      </c>
      <c r="D22" s="27" t="s">
        <v>68</v>
      </c>
      <c r="E22" s="35">
        <f t="shared" si="2"/>
        <v>12192993</v>
      </c>
      <c r="F22" s="35">
        <f>'дод. 4'!F50</f>
        <v>12192993</v>
      </c>
      <c r="G22" s="35">
        <f>'дод. 4'!G50</f>
        <v>8473152</v>
      </c>
      <c r="H22" s="35">
        <f>'дод. 4'!H50</f>
        <v>1785662</v>
      </c>
      <c r="I22" s="35">
        <f>'дод. 4'!I50</f>
        <v>0</v>
      </c>
      <c r="J22" s="35">
        <f t="shared" si="3"/>
        <v>525000</v>
      </c>
      <c r="K22" s="35">
        <f>'дод. 4'!K50</f>
        <v>0</v>
      </c>
      <c r="L22" s="35">
        <f>'дод. 4'!L50</f>
        <v>0</v>
      </c>
      <c r="M22" s="35">
        <f>'дод. 4'!M50</f>
        <v>0</v>
      </c>
      <c r="N22" s="35">
        <f>'дод. 4'!N50</f>
        <v>525000</v>
      </c>
      <c r="O22" s="35">
        <f>'дод. 4'!O50</f>
        <v>525000</v>
      </c>
      <c r="P22" s="35">
        <f t="shared" si="4"/>
        <v>12717993</v>
      </c>
      <c r="Q22" s="76"/>
    </row>
    <row r="23" spans="1:17" s="25" customFormat="1" ht="15">
      <c r="A23" s="23"/>
      <c r="B23" s="26" t="s">
        <v>272</v>
      </c>
      <c r="C23" s="26" t="s">
        <v>274</v>
      </c>
      <c r="D23" s="27" t="s">
        <v>273</v>
      </c>
      <c r="E23" s="35">
        <f t="shared" si="2"/>
        <v>55886018</v>
      </c>
      <c r="F23" s="35">
        <f>'дод. 4'!F51</f>
        <v>55886018</v>
      </c>
      <c r="G23" s="35">
        <f>'дод. 4'!G51</f>
        <v>26608329</v>
      </c>
      <c r="H23" s="35">
        <f>'дод. 4'!H51</f>
        <v>6083140</v>
      </c>
      <c r="I23" s="35">
        <f>'дод. 4'!I51</f>
        <v>0</v>
      </c>
      <c r="J23" s="35">
        <f t="shared" si="3"/>
        <v>6764260</v>
      </c>
      <c r="K23" s="35">
        <f>'дод. 4'!K51</f>
        <v>6459260</v>
      </c>
      <c r="L23" s="35">
        <f>'дод. 4'!L51</f>
        <v>1729928</v>
      </c>
      <c r="M23" s="35">
        <f>'дод. 4'!M51</f>
        <v>1470248</v>
      </c>
      <c r="N23" s="35">
        <f>'дод. 4'!N51</f>
        <v>305000</v>
      </c>
      <c r="O23" s="35">
        <f>'дод. 4'!O51</f>
        <v>0</v>
      </c>
      <c r="P23" s="35">
        <f t="shared" si="4"/>
        <v>62650278</v>
      </c>
      <c r="Q23" s="76"/>
    </row>
    <row r="24" spans="1:17" s="25" customFormat="1" ht="30">
      <c r="A24" s="23"/>
      <c r="B24" s="26" t="s">
        <v>69</v>
      </c>
      <c r="C24" s="26" t="s">
        <v>155</v>
      </c>
      <c r="D24" s="27" t="s">
        <v>70</v>
      </c>
      <c r="E24" s="35">
        <f t="shared" si="2"/>
        <v>1764624</v>
      </c>
      <c r="F24" s="35">
        <f>'дод. 4'!F52</f>
        <v>1764624</v>
      </c>
      <c r="G24" s="35">
        <f>'дод. 4'!G52</f>
        <v>1350518</v>
      </c>
      <c r="H24" s="35">
        <f>'дод. 4'!H52</f>
        <v>79885</v>
      </c>
      <c r="I24" s="35">
        <f>'дод. 4'!I52</f>
        <v>0</v>
      </c>
      <c r="J24" s="35">
        <f t="shared" si="3"/>
        <v>110000</v>
      </c>
      <c r="K24" s="35">
        <f>'дод. 4'!K52</f>
        <v>0</v>
      </c>
      <c r="L24" s="35">
        <f>'дод. 4'!L52</f>
        <v>0</v>
      </c>
      <c r="M24" s="35">
        <f>'дод. 4'!M52</f>
        <v>0</v>
      </c>
      <c r="N24" s="35">
        <f>'дод. 4'!N52</f>
        <v>110000</v>
      </c>
      <c r="O24" s="35">
        <f>'дод. 4'!O52</f>
        <v>110000</v>
      </c>
      <c r="P24" s="35">
        <f t="shared" si="4"/>
        <v>1874624</v>
      </c>
      <c r="Q24" s="76"/>
    </row>
    <row r="25" spans="1:17" s="25" customFormat="1" ht="30">
      <c r="A25" s="23"/>
      <c r="B25" s="26" t="s">
        <v>71</v>
      </c>
      <c r="C25" s="26" t="s">
        <v>155</v>
      </c>
      <c r="D25" s="27" t="s">
        <v>72</v>
      </c>
      <c r="E25" s="35">
        <f t="shared" si="2"/>
        <v>1540670</v>
      </c>
      <c r="F25" s="35">
        <f>'дод. 4'!F53</f>
        <v>1540670</v>
      </c>
      <c r="G25" s="35">
        <f>'дод. 4'!G53</f>
        <v>1083438</v>
      </c>
      <c r="H25" s="35">
        <f>'дод. 4'!H53</f>
        <v>82225</v>
      </c>
      <c r="I25" s="35">
        <f>'дод. 4'!I53</f>
        <v>0</v>
      </c>
      <c r="J25" s="35">
        <f t="shared" si="3"/>
        <v>75000</v>
      </c>
      <c r="K25" s="35">
        <f>'дод. 4'!K53</f>
        <v>0</v>
      </c>
      <c r="L25" s="35">
        <f>'дод. 4'!L53</f>
        <v>0</v>
      </c>
      <c r="M25" s="35">
        <f>'дод. 4'!M53</f>
        <v>0</v>
      </c>
      <c r="N25" s="35">
        <f>'дод. 4'!N53</f>
        <v>75000</v>
      </c>
      <c r="O25" s="35">
        <f>'дод. 4'!O53</f>
        <v>75000</v>
      </c>
      <c r="P25" s="35">
        <f t="shared" si="4"/>
        <v>1615670</v>
      </c>
      <c r="Q25" s="76"/>
    </row>
    <row r="26" spans="1:17" s="25" customFormat="1" ht="30">
      <c r="A26" s="23"/>
      <c r="B26" s="26" t="s">
        <v>73</v>
      </c>
      <c r="C26" s="26" t="s">
        <v>155</v>
      </c>
      <c r="D26" s="27" t="s">
        <v>74</v>
      </c>
      <c r="E26" s="35">
        <f t="shared" si="2"/>
        <v>162138</v>
      </c>
      <c r="F26" s="35">
        <f>'дод. 4'!F54</f>
        <v>162138</v>
      </c>
      <c r="G26" s="35">
        <f>'дод. 4'!G54</f>
        <v>126390</v>
      </c>
      <c r="H26" s="35">
        <f>'дод. 4'!H54</f>
        <v>5147</v>
      </c>
      <c r="I26" s="35">
        <f>'дод. 4'!I54</f>
        <v>0</v>
      </c>
      <c r="J26" s="35">
        <f t="shared" si="3"/>
        <v>0</v>
      </c>
      <c r="K26" s="35">
        <f>'дод. 4'!K54</f>
        <v>0</v>
      </c>
      <c r="L26" s="35">
        <f>'дод. 4'!L54</f>
        <v>0</v>
      </c>
      <c r="M26" s="35">
        <f>'дод. 4'!M54</f>
        <v>0</v>
      </c>
      <c r="N26" s="35">
        <f>'дод. 4'!N54</f>
        <v>0</v>
      </c>
      <c r="O26" s="35">
        <f>'дод. 4'!O54</f>
        <v>0</v>
      </c>
      <c r="P26" s="35">
        <f t="shared" si="4"/>
        <v>162138</v>
      </c>
      <c r="Q26" s="76"/>
    </row>
    <row r="27" spans="1:17" s="25" customFormat="1" ht="15">
      <c r="A27" s="23"/>
      <c r="B27" s="26" t="s">
        <v>75</v>
      </c>
      <c r="C27" s="26" t="s">
        <v>155</v>
      </c>
      <c r="D27" s="27" t="s">
        <v>76</v>
      </c>
      <c r="E27" s="35">
        <f t="shared" si="2"/>
        <v>2530123</v>
      </c>
      <c r="F27" s="35">
        <f>'дод. 4'!F55</f>
        <v>2530123</v>
      </c>
      <c r="G27" s="35">
        <f>'дод. 4'!G55</f>
        <v>1691788</v>
      </c>
      <c r="H27" s="35">
        <f>'дод. 4'!H55</f>
        <v>335643</v>
      </c>
      <c r="I27" s="35">
        <f>'дод. 4'!I55</f>
        <v>0</v>
      </c>
      <c r="J27" s="35">
        <f t="shared" si="3"/>
        <v>150000</v>
      </c>
      <c r="K27" s="35">
        <f>'дод. 4'!K55</f>
        <v>0</v>
      </c>
      <c r="L27" s="35">
        <f>'дод. 4'!L55</f>
        <v>0</v>
      </c>
      <c r="M27" s="35">
        <f>'дод. 4'!M55</f>
        <v>0</v>
      </c>
      <c r="N27" s="35">
        <f>'дод. 4'!N55</f>
        <v>150000</v>
      </c>
      <c r="O27" s="35">
        <f>'дод. 4'!O55</f>
        <v>150000</v>
      </c>
      <c r="P27" s="35">
        <f t="shared" si="4"/>
        <v>2680123</v>
      </c>
      <c r="Q27" s="76"/>
    </row>
    <row r="28" spans="1:17" s="25" customFormat="1" ht="15">
      <c r="A28" s="23"/>
      <c r="B28" s="26" t="s">
        <v>77</v>
      </c>
      <c r="C28" s="26" t="s">
        <v>155</v>
      </c>
      <c r="D28" s="27" t="s">
        <v>78</v>
      </c>
      <c r="E28" s="35">
        <f t="shared" si="2"/>
        <v>73148</v>
      </c>
      <c r="F28" s="35">
        <f>'дод. 4'!F56</f>
        <v>73148</v>
      </c>
      <c r="G28" s="35">
        <f>'дод. 4'!G56</f>
        <v>0</v>
      </c>
      <c r="H28" s="35">
        <f>'дод. 4'!H56</f>
        <v>0</v>
      </c>
      <c r="I28" s="35">
        <f>'дод. 4'!I56</f>
        <v>0</v>
      </c>
      <c r="J28" s="35">
        <f t="shared" si="3"/>
        <v>0</v>
      </c>
      <c r="K28" s="35">
        <f>'дод. 4'!K56</f>
        <v>0</v>
      </c>
      <c r="L28" s="35">
        <f>'дод. 4'!L56</f>
        <v>0</v>
      </c>
      <c r="M28" s="35">
        <f>'дод. 4'!M56</f>
        <v>0</v>
      </c>
      <c r="N28" s="35">
        <f>'дод. 4'!N56</f>
        <v>0</v>
      </c>
      <c r="O28" s="35">
        <f>'дод. 4'!O56</f>
        <v>0</v>
      </c>
      <c r="P28" s="35">
        <f t="shared" si="4"/>
        <v>73148</v>
      </c>
      <c r="Q28" s="76"/>
    </row>
    <row r="29" spans="1:17" s="25" customFormat="1" ht="45">
      <c r="A29" s="23"/>
      <c r="B29" s="26" t="s">
        <v>79</v>
      </c>
      <c r="C29" s="26" t="s">
        <v>155</v>
      </c>
      <c r="D29" s="27" t="s">
        <v>80</v>
      </c>
      <c r="E29" s="35">
        <f t="shared" si="2"/>
        <v>45250</v>
      </c>
      <c r="F29" s="35">
        <f>'дод. 4'!F57</f>
        <v>45250</v>
      </c>
      <c r="G29" s="35">
        <f>'дод. 4'!G57</f>
        <v>0</v>
      </c>
      <c r="H29" s="35">
        <f>'дод. 4'!H57</f>
        <v>0</v>
      </c>
      <c r="I29" s="35">
        <f>'дод. 4'!I57</f>
        <v>0</v>
      </c>
      <c r="J29" s="35">
        <f t="shared" si="3"/>
        <v>0</v>
      </c>
      <c r="K29" s="35">
        <f>'дод. 4'!K57</f>
        <v>0</v>
      </c>
      <c r="L29" s="35">
        <f>'дод. 4'!L57</f>
        <v>0</v>
      </c>
      <c r="M29" s="35">
        <f>'дод. 4'!M57</f>
        <v>0</v>
      </c>
      <c r="N29" s="35">
        <f>'дод. 4'!N57</f>
        <v>0</v>
      </c>
      <c r="O29" s="35">
        <f>'дод. 4'!O57</f>
        <v>0</v>
      </c>
      <c r="P29" s="35">
        <f t="shared" si="4"/>
        <v>45250</v>
      </c>
      <c r="Q29" s="76"/>
    </row>
    <row r="30" spans="1:17" s="25" customFormat="1" ht="15">
      <c r="A30" s="23"/>
      <c r="B30" s="66" t="s">
        <v>220</v>
      </c>
      <c r="C30" s="67"/>
      <c r="D30" s="67" t="s">
        <v>221</v>
      </c>
      <c r="E30" s="70">
        <f>E32+E34+E36+E38+E40+E42+E44+E46</f>
        <v>209255285</v>
      </c>
      <c r="F30" s="70">
        <f>F32+F34+F36+F38+F40+F42+F44+F46</f>
        <v>209255285</v>
      </c>
      <c r="G30" s="70">
        <f>G32+G34+G36+G38+G40+G42+G44+G46</f>
        <v>120246374</v>
      </c>
      <c r="H30" s="70">
        <f aca="true" t="shared" si="5" ref="H30:P30">H32+H34+H36+H38+H40+H42+H44+H46</f>
        <v>18550416</v>
      </c>
      <c r="I30" s="70">
        <f t="shared" si="5"/>
        <v>0</v>
      </c>
      <c r="J30" s="70">
        <f t="shared" si="5"/>
        <v>29769214</v>
      </c>
      <c r="K30" s="70">
        <f t="shared" si="5"/>
        <v>11785214</v>
      </c>
      <c r="L30" s="70">
        <f t="shared" si="5"/>
        <v>6344242</v>
      </c>
      <c r="M30" s="70">
        <f t="shared" si="5"/>
        <v>481149</v>
      </c>
      <c r="N30" s="70">
        <f t="shared" si="5"/>
        <v>17984000</v>
      </c>
      <c r="O30" s="70">
        <f t="shared" si="5"/>
        <v>17984000</v>
      </c>
      <c r="P30" s="70">
        <f t="shared" si="5"/>
        <v>239024499</v>
      </c>
      <c r="Q30" s="76"/>
    </row>
    <row r="31" spans="1:17" s="25" customFormat="1" ht="15">
      <c r="A31" s="23"/>
      <c r="B31" s="66"/>
      <c r="C31" s="67"/>
      <c r="D31" s="40" t="s">
        <v>213</v>
      </c>
      <c r="E31" s="35">
        <f>F31+I31</f>
        <v>178130800</v>
      </c>
      <c r="F31" s="35">
        <f>F33+F35+F37+F39+F41+F43+F45</f>
        <v>178130800</v>
      </c>
      <c r="G31" s="35">
        <f>G33+G35+G37+G39+G41+G43+G45</f>
        <v>119816622</v>
      </c>
      <c r="H31" s="35">
        <f aca="true" t="shared" si="6" ref="H31:O31">H33+H35+H37+H39+H41+H43+H45</f>
        <v>18490645</v>
      </c>
      <c r="I31" s="35">
        <f t="shared" si="6"/>
        <v>0</v>
      </c>
      <c r="J31" s="35">
        <f>K31+N31</f>
        <v>0</v>
      </c>
      <c r="K31" s="35">
        <f t="shared" si="6"/>
        <v>0</v>
      </c>
      <c r="L31" s="35">
        <f t="shared" si="6"/>
        <v>0</v>
      </c>
      <c r="M31" s="35">
        <f t="shared" si="6"/>
        <v>0</v>
      </c>
      <c r="N31" s="35">
        <f t="shared" si="6"/>
        <v>0</v>
      </c>
      <c r="O31" s="35">
        <f t="shared" si="6"/>
        <v>0</v>
      </c>
      <c r="P31" s="35">
        <f>E31+J31</f>
        <v>178130800</v>
      </c>
      <c r="Q31" s="76"/>
    </row>
    <row r="32" spans="1:17" s="25" customFormat="1" ht="15">
      <c r="A32" s="23"/>
      <c r="B32" s="26" t="s">
        <v>82</v>
      </c>
      <c r="C32" s="26" t="s">
        <v>158</v>
      </c>
      <c r="D32" s="27" t="s">
        <v>83</v>
      </c>
      <c r="E32" s="35">
        <f>F32+I32</f>
        <v>168502759</v>
      </c>
      <c r="F32" s="35">
        <f>'дод. 4'!F65+'дод. 4'!F131</f>
        <v>168502759</v>
      </c>
      <c r="G32" s="35">
        <f>'дод. 4'!G65+'дод. 4'!G131</f>
        <v>103400916</v>
      </c>
      <c r="H32" s="35">
        <f>'дод. 4'!H65+'дод. 4'!H131</f>
        <v>15447851</v>
      </c>
      <c r="I32" s="35">
        <f>'дод. 4'!I65+'дод. 4'!I131</f>
        <v>0</v>
      </c>
      <c r="J32" s="35">
        <f>K32+N32</f>
        <v>21568182</v>
      </c>
      <c r="K32" s="35">
        <f>'дод. 4'!K65+'дод. 4'!K131</f>
        <v>7844182</v>
      </c>
      <c r="L32" s="35">
        <f>'дод. 4'!L65+'дод. 4'!L131</f>
        <v>4083407</v>
      </c>
      <c r="M32" s="35">
        <f>'дод. 4'!M65+'дод. 4'!M131</f>
        <v>177480</v>
      </c>
      <c r="N32" s="35">
        <f>'дод. 4'!N65+'дод. 4'!N131</f>
        <v>13724000</v>
      </c>
      <c r="O32" s="35">
        <f>'дод. 4'!O65+'дод. 4'!O131</f>
        <v>13724000</v>
      </c>
      <c r="P32" s="35">
        <f>E32+J32</f>
        <v>190070941</v>
      </c>
      <c r="Q32" s="76"/>
    </row>
    <row r="33" spans="1:17" s="25" customFormat="1" ht="15">
      <c r="A33" s="23"/>
      <c r="B33" s="26"/>
      <c r="C33" s="26"/>
      <c r="D33" s="40" t="s">
        <v>213</v>
      </c>
      <c r="E33" s="35">
        <f aca="true" t="shared" si="7" ref="E33:E47">F33+I33</f>
        <v>145594848</v>
      </c>
      <c r="F33" s="35">
        <f>'дод. 4'!F66</f>
        <v>145594848</v>
      </c>
      <c r="G33" s="35">
        <f>'дод. 4'!G66</f>
        <v>102971164</v>
      </c>
      <c r="H33" s="35">
        <f>'дод. 4'!H66</f>
        <v>15388080</v>
      </c>
      <c r="I33" s="35">
        <f>'дод. 4'!I66</f>
        <v>0</v>
      </c>
      <c r="J33" s="35">
        <f aca="true" t="shared" si="8" ref="J33:J46">K33+N33</f>
        <v>0</v>
      </c>
      <c r="K33" s="35">
        <f>'дод. 4'!K66</f>
        <v>0</v>
      </c>
      <c r="L33" s="35">
        <f>'дод. 4'!L66</f>
        <v>0</v>
      </c>
      <c r="M33" s="35">
        <f>'дод. 4'!M66</f>
        <v>0</v>
      </c>
      <c r="N33" s="35">
        <f>'дод. 4'!N66</f>
        <v>0</v>
      </c>
      <c r="O33" s="35">
        <f>'дод. 4'!O66</f>
        <v>0</v>
      </c>
      <c r="P33" s="35">
        <f aca="true" t="shared" si="9" ref="P33:P46">E33+J33</f>
        <v>145594848</v>
      </c>
      <c r="Q33" s="76"/>
    </row>
    <row r="34" spans="1:17" s="25" customFormat="1" ht="15">
      <c r="A34" s="23"/>
      <c r="B34" s="32" t="s">
        <v>84</v>
      </c>
      <c r="C34" s="32" t="s">
        <v>159</v>
      </c>
      <c r="D34" s="33" t="s">
        <v>85</v>
      </c>
      <c r="E34" s="35">
        <f t="shared" si="7"/>
        <v>18265764</v>
      </c>
      <c r="F34" s="35">
        <f>'дод. 4'!F67</f>
        <v>18265764</v>
      </c>
      <c r="G34" s="35">
        <f>'дод. 4'!G67</f>
        <v>11745230</v>
      </c>
      <c r="H34" s="35">
        <f>'дод. 4'!H67</f>
        <v>2655803</v>
      </c>
      <c r="I34" s="35">
        <f>'дод. 4'!I67</f>
        <v>0</v>
      </c>
      <c r="J34" s="35">
        <f t="shared" si="8"/>
        <v>1525240</v>
      </c>
      <c r="K34" s="35">
        <f>'дод. 4'!K67</f>
        <v>25240</v>
      </c>
      <c r="L34" s="35">
        <f>'дод. 4'!L67</f>
        <v>9460</v>
      </c>
      <c r="M34" s="35">
        <f>'дод. 4'!M67</f>
        <v>4150</v>
      </c>
      <c r="N34" s="35">
        <f>'дод. 4'!N67</f>
        <v>1500000</v>
      </c>
      <c r="O34" s="35">
        <f>'дод. 4'!O67</f>
        <v>1500000</v>
      </c>
      <c r="P34" s="35">
        <f t="shared" si="9"/>
        <v>19791004</v>
      </c>
      <c r="Q34" s="76"/>
    </row>
    <row r="35" spans="1:17" s="25" customFormat="1" ht="15">
      <c r="A35" s="23"/>
      <c r="B35" s="32"/>
      <c r="C35" s="32"/>
      <c r="D35" s="40" t="s">
        <v>213</v>
      </c>
      <c r="E35" s="35">
        <f t="shared" si="7"/>
        <v>17242714</v>
      </c>
      <c r="F35" s="35">
        <f>'дод. 4'!F68</f>
        <v>17242714</v>
      </c>
      <c r="G35" s="35">
        <f>'дод. 4'!G68</f>
        <v>11745230</v>
      </c>
      <c r="H35" s="35">
        <f>'дод. 4'!H68</f>
        <v>2655803</v>
      </c>
      <c r="I35" s="35">
        <f>'дод. 4'!I68</f>
        <v>0</v>
      </c>
      <c r="J35" s="35">
        <f t="shared" si="8"/>
        <v>0</v>
      </c>
      <c r="K35" s="35">
        <f>'дод. 4'!K68</f>
        <v>0</v>
      </c>
      <c r="L35" s="35">
        <f>'дод. 4'!L68</f>
        <v>0</v>
      </c>
      <c r="M35" s="35">
        <f>'дод. 4'!M68</f>
        <v>0</v>
      </c>
      <c r="N35" s="35">
        <f>'дод. 4'!N68</f>
        <v>0</v>
      </c>
      <c r="O35" s="35">
        <f>'дод. 4'!O68</f>
        <v>0</v>
      </c>
      <c r="P35" s="35">
        <f t="shared" si="9"/>
        <v>17242714</v>
      </c>
      <c r="Q35" s="77" t="s">
        <v>282</v>
      </c>
    </row>
    <row r="36" spans="1:17" s="25" customFormat="1" ht="48" customHeight="1">
      <c r="A36" s="23"/>
      <c r="B36" s="47" t="s">
        <v>190</v>
      </c>
      <c r="C36" s="47" t="s">
        <v>191</v>
      </c>
      <c r="D36" s="40" t="s">
        <v>192</v>
      </c>
      <c r="E36" s="35">
        <f t="shared" si="7"/>
        <v>1611438</v>
      </c>
      <c r="F36" s="35">
        <f>'дод. 4'!F69</f>
        <v>1611438</v>
      </c>
      <c r="G36" s="35">
        <f>'дод. 4'!G69</f>
        <v>1227889</v>
      </c>
      <c r="H36" s="35">
        <f>'дод. 4'!H69</f>
        <v>76813</v>
      </c>
      <c r="I36" s="35">
        <f>'дод. 4'!I69</f>
        <v>0</v>
      </c>
      <c r="J36" s="35">
        <f t="shared" si="8"/>
        <v>407000</v>
      </c>
      <c r="K36" s="35">
        <f>'дод. 4'!K69</f>
        <v>407000</v>
      </c>
      <c r="L36" s="35">
        <f>'дод. 4'!L69</f>
        <v>98000</v>
      </c>
      <c r="M36" s="35">
        <f>'дод. 4'!M69</f>
        <v>132800</v>
      </c>
      <c r="N36" s="35">
        <f>'дод. 4'!N69</f>
        <v>0</v>
      </c>
      <c r="O36" s="35">
        <f>'дод. 4'!O69</f>
        <v>0</v>
      </c>
      <c r="P36" s="35">
        <f t="shared" si="9"/>
        <v>2018438</v>
      </c>
      <c r="Q36" s="77"/>
    </row>
    <row r="37" spans="1:17" s="25" customFormat="1" ht="15">
      <c r="A37" s="23"/>
      <c r="B37" s="47"/>
      <c r="C37" s="47"/>
      <c r="D37" s="40" t="s">
        <v>213</v>
      </c>
      <c r="E37" s="35">
        <f t="shared" si="7"/>
        <v>1580988</v>
      </c>
      <c r="F37" s="35">
        <f>'дод. 4'!F70</f>
        <v>1580988</v>
      </c>
      <c r="G37" s="35">
        <f>'дод. 4'!G70</f>
        <v>1227889</v>
      </c>
      <c r="H37" s="35">
        <f>'дод. 4'!H70</f>
        <v>76813</v>
      </c>
      <c r="I37" s="35">
        <f>'дод. 4'!I70</f>
        <v>0</v>
      </c>
      <c r="J37" s="35">
        <f t="shared" si="8"/>
        <v>0</v>
      </c>
      <c r="K37" s="35">
        <f>'дод. 4'!K70</f>
        <v>0</v>
      </c>
      <c r="L37" s="35">
        <f>'дод. 4'!L70</f>
        <v>0</v>
      </c>
      <c r="M37" s="35">
        <f>'дод. 4'!M70</f>
        <v>0</v>
      </c>
      <c r="N37" s="35">
        <f>'дод. 4'!N70</f>
        <v>0</v>
      </c>
      <c r="O37" s="35">
        <f>'дод. 4'!O70</f>
        <v>0</v>
      </c>
      <c r="P37" s="35">
        <f t="shared" si="9"/>
        <v>1580988</v>
      </c>
      <c r="Q37" s="77"/>
    </row>
    <row r="38" spans="1:17" s="25" customFormat="1" ht="30">
      <c r="A38" s="23"/>
      <c r="B38" s="26" t="s">
        <v>86</v>
      </c>
      <c r="C38" s="26" t="s">
        <v>160</v>
      </c>
      <c r="D38" s="27" t="s">
        <v>87</v>
      </c>
      <c r="E38" s="35">
        <f t="shared" si="7"/>
        <v>4278280</v>
      </c>
      <c r="F38" s="35">
        <f>'дод. 4'!F71</f>
        <v>4278280</v>
      </c>
      <c r="G38" s="35">
        <f>'дод. 4'!G71</f>
        <v>3017148</v>
      </c>
      <c r="H38" s="35">
        <f>'дод. 4'!H71</f>
        <v>339954</v>
      </c>
      <c r="I38" s="35">
        <f>'дод. 4'!I71</f>
        <v>0</v>
      </c>
      <c r="J38" s="35">
        <f t="shared" si="8"/>
        <v>4353292</v>
      </c>
      <c r="K38" s="35">
        <f>'дод. 4'!K71</f>
        <v>3353292</v>
      </c>
      <c r="L38" s="35">
        <f>'дод. 4'!L71</f>
        <v>2153375</v>
      </c>
      <c r="M38" s="35">
        <f>'дод. 4'!M71</f>
        <v>166719</v>
      </c>
      <c r="N38" s="35">
        <f>'дод. 4'!N71</f>
        <v>1000000</v>
      </c>
      <c r="O38" s="35">
        <f>'дод. 4'!O71</f>
        <v>1000000</v>
      </c>
      <c r="P38" s="35">
        <f t="shared" si="9"/>
        <v>8631572</v>
      </c>
      <c r="Q38" s="77"/>
    </row>
    <row r="39" spans="1:17" s="25" customFormat="1" ht="15">
      <c r="A39" s="23"/>
      <c r="B39" s="26"/>
      <c r="C39" s="26"/>
      <c r="D39" s="40" t="s">
        <v>213</v>
      </c>
      <c r="E39" s="35">
        <f t="shared" si="7"/>
        <v>4098275</v>
      </c>
      <c r="F39" s="35">
        <f>'дод. 4'!F72</f>
        <v>4098275</v>
      </c>
      <c r="G39" s="35">
        <f>'дод. 4'!G72</f>
        <v>3017148</v>
      </c>
      <c r="H39" s="35">
        <f>'дод. 4'!H72</f>
        <v>339954</v>
      </c>
      <c r="I39" s="35">
        <f>'дод. 4'!I72</f>
        <v>0</v>
      </c>
      <c r="J39" s="35">
        <f t="shared" si="8"/>
        <v>0</v>
      </c>
      <c r="K39" s="35">
        <f>'дод. 4'!K72</f>
        <v>0</v>
      </c>
      <c r="L39" s="35">
        <f>'дод. 4'!L72</f>
        <v>0</v>
      </c>
      <c r="M39" s="35">
        <f>'дод. 4'!M72</f>
        <v>0</v>
      </c>
      <c r="N39" s="35">
        <f>'дод. 4'!N72</f>
        <v>0</v>
      </c>
      <c r="O39" s="35">
        <f>'дод. 4'!O72</f>
        <v>0</v>
      </c>
      <c r="P39" s="35">
        <f t="shared" si="9"/>
        <v>4098275</v>
      </c>
      <c r="Q39" s="77"/>
    </row>
    <row r="40" spans="1:17" s="25" customFormat="1" ht="30">
      <c r="A40" s="23"/>
      <c r="B40" s="26" t="s">
        <v>88</v>
      </c>
      <c r="C40" s="26" t="s">
        <v>161</v>
      </c>
      <c r="D40" s="33" t="s">
        <v>89</v>
      </c>
      <c r="E40" s="35">
        <f t="shared" si="7"/>
        <v>9270774</v>
      </c>
      <c r="F40" s="35">
        <f>'дод. 4'!F73</f>
        <v>9270774</v>
      </c>
      <c r="G40" s="35">
        <f>'дод. 4'!G73</f>
        <v>0</v>
      </c>
      <c r="H40" s="35">
        <f>'дод. 4'!H73</f>
        <v>0</v>
      </c>
      <c r="I40" s="35">
        <f>'дод. 4'!I73</f>
        <v>0</v>
      </c>
      <c r="J40" s="35">
        <f t="shared" si="8"/>
        <v>1855500</v>
      </c>
      <c r="K40" s="35">
        <f>'дод. 4'!K73</f>
        <v>155500</v>
      </c>
      <c r="L40" s="35">
        <f>'дод. 4'!L73</f>
        <v>0</v>
      </c>
      <c r="M40" s="35">
        <f>'дод. 4'!M73</f>
        <v>0</v>
      </c>
      <c r="N40" s="35">
        <f>'дод. 4'!N73</f>
        <v>1700000</v>
      </c>
      <c r="O40" s="35">
        <f>'дод. 4'!O73</f>
        <v>1700000</v>
      </c>
      <c r="P40" s="35">
        <f t="shared" si="9"/>
        <v>11126274</v>
      </c>
      <c r="Q40" s="77"/>
    </row>
    <row r="41" spans="1:17" s="25" customFormat="1" ht="15">
      <c r="A41" s="23"/>
      <c r="B41" s="26"/>
      <c r="C41" s="26"/>
      <c r="D41" s="40" t="s">
        <v>213</v>
      </c>
      <c r="E41" s="35">
        <f t="shared" si="7"/>
        <v>8270640</v>
      </c>
      <c r="F41" s="35">
        <f>'дод. 4'!F74</f>
        <v>8270640</v>
      </c>
      <c r="G41" s="35">
        <f>'дод. 4'!G74</f>
        <v>0</v>
      </c>
      <c r="H41" s="35">
        <f>'дод. 4'!H74</f>
        <v>0</v>
      </c>
      <c r="I41" s="35">
        <f>'дод. 4'!I74</f>
        <v>0</v>
      </c>
      <c r="J41" s="35">
        <f t="shared" si="8"/>
        <v>0</v>
      </c>
      <c r="K41" s="35">
        <f>'дод. 4'!K74</f>
        <v>0</v>
      </c>
      <c r="L41" s="35">
        <f>'дод. 4'!L74</f>
        <v>0</v>
      </c>
      <c r="M41" s="35">
        <f>'дод. 4'!M74</f>
        <v>0</v>
      </c>
      <c r="N41" s="35">
        <f>'дод. 4'!N74</f>
        <v>0</v>
      </c>
      <c r="O41" s="35">
        <f>'дод. 4'!O74</f>
        <v>0</v>
      </c>
      <c r="P41" s="35">
        <f t="shared" si="9"/>
        <v>8270640</v>
      </c>
      <c r="Q41" s="77"/>
    </row>
    <row r="42" spans="1:17" s="25" customFormat="1" ht="15">
      <c r="A42" s="23"/>
      <c r="B42" s="26" t="s">
        <v>90</v>
      </c>
      <c r="C42" s="26" t="s">
        <v>162</v>
      </c>
      <c r="D42" s="27" t="s">
        <v>91</v>
      </c>
      <c r="E42" s="35">
        <f t="shared" si="7"/>
        <v>1829149</v>
      </c>
      <c r="F42" s="35">
        <f>'дод. 4'!F75</f>
        <v>1829149</v>
      </c>
      <c r="G42" s="35">
        <f>'дод. 4'!G75</f>
        <v>419377</v>
      </c>
      <c r="H42" s="35">
        <f>'дод. 4'!H75</f>
        <v>11415</v>
      </c>
      <c r="I42" s="35">
        <f>'дод. 4'!I75</f>
        <v>0</v>
      </c>
      <c r="J42" s="35">
        <f t="shared" si="8"/>
        <v>20000</v>
      </c>
      <c r="K42" s="35">
        <f>'дод. 4'!K75</f>
        <v>0</v>
      </c>
      <c r="L42" s="35">
        <f>'дод. 4'!L75</f>
        <v>0</v>
      </c>
      <c r="M42" s="35">
        <f>'дод. 4'!M75</f>
        <v>0</v>
      </c>
      <c r="N42" s="35">
        <f>'дод. 4'!N75</f>
        <v>20000</v>
      </c>
      <c r="O42" s="35">
        <f>'дод. 4'!O75</f>
        <v>20000</v>
      </c>
      <c r="P42" s="35">
        <f t="shared" si="9"/>
        <v>1849149</v>
      </c>
      <c r="Q42" s="77"/>
    </row>
    <row r="43" spans="1:17" s="51" customFormat="1" ht="15">
      <c r="A43" s="50"/>
      <c r="B43" s="26"/>
      <c r="C43" s="26"/>
      <c r="D43" s="40" t="s">
        <v>213</v>
      </c>
      <c r="E43" s="35">
        <f t="shared" si="7"/>
        <v>768065</v>
      </c>
      <c r="F43" s="35">
        <f>'дод. 4'!F76</f>
        <v>768065</v>
      </c>
      <c r="G43" s="35">
        <f>'дод. 4'!G76</f>
        <v>419377</v>
      </c>
      <c r="H43" s="35">
        <f>'дод. 4'!H76</f>
        <v>11415</v>
      </c>
      <c r="I43" s="35">
        <f>'дод. 4'!I76</f>
        <v>0</v>
      </c>
      <c r="J43" s="35">
        <f t="shared" si="8"/>
        <v>0</v>
      </c>
      <c r="K43" s="35">
        <f>'дод. 4'!K76</f>
        <v>0</v>
      </c>
      <c r="L43" s="35">
        <f>'дод. 4'!L76</f>
        <v>0</v>
      </c>
      <c r="M43" s="35">
        <f>'дод. 4'!M76</f>
        <v>0</v>
      </c>
      <c r="N43" s="35">
        <f>'дод. 4'!N76</f>
        <v>0</v>
      </c>
      <c r="O43" s="35">
        <f>'дод. 4'!O76</f>
        <v>0</v>
      </c>
      <c r="P43" s="35">
        <f t="shared" si="9"/>
        <v>768065</v>
      </c>
      <c r="Q43" s="77"/>
    </row>
    <row r="44" spans="1:17" s="25" customFormat="1" ht="72.75" customHeight="1">
      <c r="A44" s="23"/>
      <c r="B44" s="32" t="s">
        <v>92</v>
      </c>
      <c r="C44" s="32" t="s">
        <v>162</v>
      </c>
      <c r="D44" s="33" t="s">
        <v>93</v>
      </c>
      <c r="E44" s="35">
        <f t="shared" si="7"/>
        <v>650274</v>
      </c>
      <c r="F44" s="35">
        <f>'дод. 4'!F77</f>
        <v>650274</v>
      </c>
      <c r="G44" s="35">
        <f>'дод. 4'!G77</f>
        <v>435814</v>
      </c>
      <c r="H44" s="35">
        <f>'дод. 4'!H77</f>
        <v>18580</v>
      </c>
      <c r="I44" s="35">
        <f>'дод. 4'!I77</f>
        <v>0</v>
      </c>
      <c r="J44" s="35">
        <f t="shared" si="8"/>
        <v>40000</v>
      </c>
      <c r="K44" s="35">
        <f>'дод. 4'!K77</f>
        <v>0</v>
      </c>
      <c r="L44" s="35">
        <f>'дод. 4'!L77</f>
        <v>0</v>
      </c>
      <c r="M44" s="35">
        <f>'дод. 4'!M77</f>
        <v>0</v>
      </c>
      <c r="N44" s="35">
        <f>'дод. 4'!N77</f>
        <v>40000</v>
      </c>
      <c r="O44" s="35">
        <f>'дод. 4'!O77</f>
        <v>40000</v>
      </c>
      <c r="P44" s="35">
        <f t="shared" si="9"/>
        <v>690274</v>
      </c>
      <c r="Q44" s="77"/>
    </row>
    <row r="45" spans="1:17" s="25" customFormat="1" ht="15">
      <c r="A45" s="23"/>
      <c r="B45" s="32"/>
      <c r="C45" s="32"/>
      <c r="D45" s="40" t="s">
        <v>213</v>
      </c>
      <c r="E45" s="35">
        <f t="shared" si="7"/>
        <v>575270</v>
      </c>
      <c r="F45" s="35">
        <f>'дод. 4'!F78</f>
        <v>575270</v>
      </c>
      <c r="G45" s="35">
        <f>'дод. 4'!G78</f>
        <v>435814</v>
      </c>
      <c r="H45" s="35">
        <f>'дод. 4'!H78</f>
        <v>18580</v>
      </c>
      <c r="I45" s="35">
        <f>'дод. 4'!I78</f>
        <v>0</v>
      </c>
      <c r="J45" s="35">
        <f t="shared" si="8"/>
        <v>0</v>
      </c>
      <c r="K45" s="35">
        <f>'дод. 4'!K78</f>
        <v>0</v>
      </c>
      <c r="L45" s="35">
        <f>'дод. 4'!L78</f>
        <v>0</v>
      </c>
      <c r="M45" s="35">
        <f>'дод. 4'!M78</f>
        <v>0</v>
      </c>
      <c r="N45" s="35">
        <f>'дод. 4'!N78</f>
        <v>0</v>
      </c>
      <c r="O45" s="35">
        <f>'дод. 4'!O78</f>
        <v>0</v>
      </c>
      <c r="P45" s="35">
        <f t="shared" si="9"/>
        <v>575270</v>
      </c>
      <c r="Q45" s="77"/>
    </row>
    <row r="46" spans="1:17" s="25" customFormat="1" ht="45">
      <c r="A46" s="23"/>
      <c r="B46" s="32" t="s">
        <v>256</v>
      </c>
      <c r="C46" s="32" t="s">
        <v>162</v>
      </c>
      <c r="D46" s="27" t="s">
        <v>257</v>
      </c>
      <c r="E46" s="35">
        <f t="shared" si="7"/>
        <v>4846847</v>
      </c>
      <c r="F46" s="35">
        <f>'дод. 4'!F79</f>
        <v>4846847</v>
      </c>
      <c r="G46" s="35">
        <f>'дод. 4'!G79</f>
        <v>0</v>
      </c>
      <c r="H46" s="35">
        <f>'дод. 4'!H79</f>
        <v>0</v>
      </c>
      <c r="I46" s="35">
        <f>'дод. 4'!I79</f>
        <v>0</v>
      </c>
      <c r="J46" s="35">
        <f t="shared" si="8"/>
        <v>0</v>
      </c>
      <c r="K46" s="35">
        <f>'дод. 4'!K79</f>
        <v>0</v>
      </c>
      <c r="L46" s="35">
        <f>'дод. 4'!L79</f>
        <v>0</v>
      </c>
      <c r="M46" s="35">
        <f>'дод. 4'!M79</f>
        <v>0</v>
      </c>
      <c r="N46" s="35">
        <f>'дод. 4'!N79</f>
        <v>0</v>
      </c>
      <c r="O46" s="35">
        <f>'дод. 4'!O79</f>
        <v>0</v>
      </c>
      <c r="P46" s="35">
        <f t="shared" si="9"/>
        <v>4846847</v>
      </c>
      <c r="Q46" s="77"/>
    </row>
    <row r="47" spans="1:17" s="25" customFormat="1" ht="28.5">
      <c r="A47" s="23"/>
      <c r="B47" s="66" t="s">
        <v>222</v>
      </c>
      <c r="C47" s="67"/>
      <c r="D47" s="67" t="s">
        <v>223</v>
      </c>
      <c r="E47" s="70">
        <f t="shared" si="7"/>
        <v>19956589</v>
      </c>
      <c r="F47" s="70">
        <f>F48+F49+F50+F51+F52+F53+F54+F55+F56+F57+F58+F59+F60+F61+F62+F63+F64+F65+F66</f>
        <v>19956589</v>
      </c>
      <c r="G47" s="70">
        <f>G48+G49+G50+G51+G52+G53+G54+G55+G56+G57+G58+G59+G60+G61+G62+G63+G64+G65+G66</f>
        <v>5773753</v>
      </c>
      <c r="H47" s="70">
        <f>H48+H49+H50+H51+H52+H53+H54+H55+H56+H57+H58+H59+H60+H61+H62+H63+H64+H65+H66</f>
        <v>412126</v>
      </c>
      <c r="I47" s="70">
        <f>I48+I49+I50+I51+I52+I53+I54+I55+I56+I57+I58+I59+I60+I61+I62+I63+I64+I65+I66</f>
        <v>0</v>
      </c>
      <c r="J47" s="70">
        <f>K47+N47</f>
        <v>534445</v>
      </c>
      <c r="K47" s="70">
        <f aca="true" t="shared" si="10" ref="K47:P47">K48+K49+K50+K51+K52+K53+K54+K55+K56+K57+K58+K59+K60+K61+K62+K63+K64+K65+K66</f>
        <v>27800</v>
      </c>
      <c r="L47" s="70">
        <f t="shared" si="10"/>
        <v>18822</v>
      </c>
      <c r="M47" s="70">
        <f t="shared" si="10"/>
        <v>0</v>
      </c>
      <c r="N47" s="70">
        <f t="shared" si="10"/>
        <v>506645</v>
      </c>
      <c r="O47" s="70">
        <f t="shared" si="10"/>
        <v>506645</v>
      </c>
      <c r="P47" s="70">
        <f t="shared" si="10"/>
        <v>20491034</v>
      </c>
      <c r="Q47" s="77"/>
    </row>
    <row r="48" spans="1:17" s="25" customFormat="1" ht="45">
      <c r="A48" s="23"/>
      <c r="B48" s="26" t="s">
        <v>208</v>
      </c>
      <c r="C48" s="26" t="s">
        <v>165</v>
      </c>
      <c r="D48" s="27" t="s">
        <v>209</v>
      </c>
      <c r="E48" s="53">
        <f aca="true" t="shared" si="11" ref="E48:E66">F48+I48</f>
        <v>632700</v>
      </c>
      <c r="F48" s="53">
        <f>'дод. 4'!F82</f>
        <v>632700</v>
      </c>
      <c r="G48" s="53">
        <f>'дод. 4'!G82</f>
        <v>0</v>
      </c>
      <c r="H48" s="53">
        <f>'дод. 4'!H82</f>
        <v>0</v>
      </c>
      <c r="I48" s="53">
        <f>'дод. 4'!I82</f>
        <v>0</v>
      </c>
      <c r="J48" s="53">
        <f aca="true" t="shared" si="12" ref="J48:J66">K48+N48</f>
        <v>0</v>
      </c>
      <c r="K48" s="53">
        <f>'дод. 4'!K82</f>
        <v>0</v>
      </c>
      <c r="L48" s="53">
        <f>'дод. 4'!L82</f>
        <v>0</v>
      </c>
      <c r="M48" s="53">
        <f>'дод. 4'!M82</f>
        <v>0</v>
      </c>
      <c r="N48" s="53">
        <f>'дод. 4'!N82</f>
        <v>0</v>
      </c>
      <c r="O48" s="53">
        <f>'дод. 4'!O82</f>
        <v>0</v>
      </c>
      <c r="P48" s="53">
        <f aca="true" t="shared" si="13" ref="P48:P66">E48+J48</f>
        <v>632700</v>
      </c>
      <c r="Q48" s="77"/>
    </row>
    <row r="49" spans="1:17" s="25" customFormat="1" ht="30">
      <c r="A49" s="23"/>
      <c r="B49" s="26" t="s">
        <v>17</v>
      </c>
      <c r="C49" s="26" t="s">
        <v>138</v>
      </c>
      <c r="D49" s="27" t="s">
        <v>18</v>
      </c>
      <c r="E49" s="53">
        <f t="shared" si="11"/>
        <v>2249155</v>
      </c>
      <c r="F49" s="53">
        <f>'дод. 4'!F83+'дод. 4'!F13</f>
        <v>2249155</v>
      </c>
      <c r="G49" s="53">
        <f>'дод. 4'!G83+'дод. 4'!G13</f>
        <v>0</v>
      </c>
      <c r="H49" s="53">
        <f>'дод. 4'!H83+'дод. 4'!H13</f>
        <v>0</v>
      </c>
      <c r="I49" s="53">
        <f>'дод. 4'!I83+'дод. 4'!I13</f>
        <v>0</v>
      </c>
      <c r="J49" s="53">
        <f t="shared" si="12"/>
        <v>0</v>
      </c>
      <c r="K49" s="53">
        <f>'дод. 4'!K83+'дод. 4'!K13</f>
        <v>0</v>
      </c>
      <c r="L49" s="53">
        <f>'дод. 4'!L83+'дод. 4'!L13</f>
        <v>0</v>
      </c>
      <c r="M49" s="53">
        <f>'дод. 4'!M83+'дод. 4'!M13</f>
        <v>0</v>
      </c>
      <c r="N49" s="53">
        <f>'дод. 4'!N83+'дод. 4'!N13</f>
        <v>0</v>
      </c>
      <c r="O49" s="53">
        <f>'дод. 4'!O83+'дод. 4'!O13</f>
        <v>0</v>
      </c>
      <c r="P49" s="53">
        <f t="shared" si="13"/>
        <v>2249155</v>
      </c>
      <c r="Q49" s="77"/>
    </row>
    <row r="50" spans="1:17" s="25" customFormat="1" ht="30">
      <c r="A50" s="23"/>
      <c r="B50" s="26" t="s">
        <v>95</v>
      </c>
      <c r="C50" s="26" t="s">
        <v>164</v>
      </c>
      <c r="D50" s="27" t="s">
        <v>96</v>
      </c>
      <c r="E50" s="53">
        <f t="shared" si="11"/>
        <v>991405</v>
      </c>
      <c r="F50" s="53">
        <f>'дод. 4'!F84</f>
        <v>991405</v>
      </c>
      <c r="G50" s="53">
        <f>'дод. 4'!G84</f>
        <v>0</v>
      </c>
      <c r="H50" s="53">
        <f>'дод. 4'!H84</f>
        <v>0</v>
      </c>
      <c r="I50" s="53">
        <f>'дод. 4'!I84</f>
        <v>0</v>
      </c>
      <c r="J50" s="53">
        <f t="shared" si="12"/>
        <v>0</v>
      </c>
      <c r="K50" s="53">
        <f>'дод. 4'!K84</f>
        <v>0</v>
      </c>
      <c r="L50" s="53">
        <f>'дод. 4'!L84</f>
        <v>0</v>
      </c>
      <c r="M50" s="53">
        <f>'дод. 4'!M84</f>
        <v>0</v>
      </c>
      <c r="N50" s="53">
        <f>'дод. 4'!N84</f>
        <v>0</v>
      </c>
      <c r="O50" s="53">
        <f>'дод. 4'!O84</f>
        <v>0</v>
      </c>
      <c r="P50" s="53">
        <f t="shared" si="13"/>
        <v>991405</v>
      </c>
      <c r="Q50" s="77"/>
    </row>
    <row r="51" spans="1:17" s="25" customFormat="1" ht="30">
      <c r="A51" s="23"/>
      <c r="B51" s="26" t="s">
        <v>258</v>
      </c>
      <c r="C51" s="26" t="s">
        <v>164</v>
      </c>
      <c r="D51" s="27" t="s">
        <v>259</v>
      </c>
      <c r="E51" s="53">
        <f t="shared" si="11"/>
        <v>181400</v>
      </c>
      <c r="F51" s="35">
        <f>'дод. 4'!F85</f>
        <v>181400</v>
      </c>
      <c r="G51" s="35">
        <f>'дод. 4'!G85</f>
        <v>0</v>
      </c>
      <c r="H51" s="35">
        <f>'дод. 4'!H85</f>
        <v>0</v>
      </c>
      <c r="I51" s="35">
        <f>'дод. 4'!I85</f>
        <v>0</v>
      </c>
      <c r="J51" s="53">
        <f t="shared" si="12"/>
        <v>0</v>
      </c>
      <c r="K51" s="35">
        <f>'дод. 4'!K85</f>
        <v>0</v>
      </c>
      <c r="L51" s="35">
        <f>'дод. 4'!L85</f>
        <v>0</v>
      </c>
      <c r="M51" s="35">
        <f>'дод. 4'!M85</f>
        <v>0</v>
      </c>
      <c r="N51" s="35">
        <f>'дод. 4'!N85</f>
        <v>0</v>
      </c>
      <c r="O51" s="35">
        <f>'дод. 4'!O85</f>
        <v>0</v>
      </c>
      <c r="P51" s="53">
        <f t="shared" si="13"/>
        <v>181400</v>
      </c>
      <c r="Q51" s="77"/>
    </row>
    <row r="52" spans="1:17" s="25" customFormat="1" ht="30">
      <c r="A52" s="23"/>
      <c r="B52" s="26" t="s">
        <v>210</v>
      </c>
      <c r="C52" s="26" t="s">
        <v>211</v>
      </c>
      <c r="D52" s="27" t="s">
        <v>212</v>
      </c>
      <c r="E52" s="53">
        <f t="shared" si="11"/>
        <v>143598</v>
      </c>
      <c r="F52" s="35">
        <f>'дод. 4'!F86</f>
        <v>143598</v>
      </c>
      <c r="G52" s="35">
        <f>'дод. 4'!G86</f>
        <v>117703</v>
      </c>
      <c r="H52" s="35">
        <f>'дод. 4'!H86</f>
        <v>0</v>
      </c>
      <c r="I52" s="35">
        <f>'дод. 4'!I86</f>
        <v>0</v>
      </c>
      <c r="J52" s="53">
        <f t="shared" si="12"/>
        <v>0</v>
      </c>
      <c r="K52" s="35">
        <f>'дод. 4'!K86</f>
        <v>0</v>
      </c>
      <c r="L52" s="35">
        <f>'дод. 4'!L86</f>
        <v>0</v>
      </c>
      <c r="M52" s="35">
        <f>'дод. 4'!M86</f>
        <v>0</v>
      </c>
      <c r="N52" s="35">
        <f>'дод. 4'!N86</f>
        <v>0</v>
      </c>
      <c r="O52" s="35">
        <f>'дод. 4'!O86</f>
        <v>0</v>
      </c>
      <c r="P52" s="53">
        <f t="shared" si="13"/>
        <v>143598</v>
      </c>
      <c r="Q52" s="77"/>
    </row>
    <row r="53" spans="1:17" s="25" customFormat="1" ht="15">
      <c r="A53" s="23"/>
      <c r="B53" s="26" t="s">
        <v>109</v>
      </c>
      <c r="C53" s="26" t="s">
        <v>139</v>
      </c>
      <c r="D53" s="27" t="s">
        <v>110</v>
      </c>
      <c r="E53" s="53">
        <f t="shared" si="11"/>
        <v>50000</v>
      </c>
      <c r="F53" s="35">
        <f>'дод. 4'!F98</f>
        <v>50000</v>
      </c>
      <c r="G53" s="35">
        <f>'дод. 4'!G98</f>
        <v>0</v>
      </c>
      <c r="H53" s="35">
        <f>'дод. 4'!H98</f>
        <v>0</v>
      </c>
      <c r="I53" s="35">
        <f>'дод. 4'!I98</f>
        <v>0</v>
      </c>
      <c r="J53" s="53">
        <f t="shared" si="12"/>
        <v>0</v>
      </c>
      <c r="K53" s="35">
        <f>'дод. 4'!K98</f>
        <v>0</v>
      </c>
      <c r="L53" s="35">
        <f>'дод. 4'!L98</f>
        <v>0</v>
      </c>
      <c r="M53" s="35">
        <f>'дод. 4'!M98</f>
        <v>0</v>
      </c>
      <c r="N53" s="35">
        <f>'дод. 4'!N98</f>
        <v>0</v>
      </c>
      <c r="O53" s="35">
        <f>'дод. 4'!O98</f>
        <v>0</v>
      </c>
      <c r="P53" s="53">
        <f t="shared" si="13"/>
        <v>50000</v>
      </c>
      <c r="Q53" s="77"/>
    </row>
    <row r="54" spans="1:17" s="25" customFormat="1" ht="30">
      <c r="A54" s="23"/>
      <c r="B54" s="26" t="s">
        <v>19</v>
      </c>
      <c r="C54" s="26" t="s">
        <v>139</v>
      </c>
      <c r="D54" s="27" t="s">
        <v>20</v>
      </c>
      <c r="E54" s="53">
        <f t="shared" si="11"/>
        <v>687000</v>
      </c>
      <c r="F54" s="35">
        <f>'дод. 4'!F14</f>
        <v>687000</v>
      </c>
      <c r="G54" s="35">
        <f>'дод. 4'!G14</f>
        <v>492950</v>
      </c>
      <c r="H54" s="35">
        <f>'дод. 4'!H14</f>
        <v>55897</v>
      </c>
      <c r="I54" s="35">
        <f>'дод. 4'!I14</f>
        <v>0</v>
      </c>
      <c r="J54" s="53">
        <f t="shared" si="12"/>
        <v>0</v>
      </c>
      <c r="K54" s="35">
        <f>'дод. 4'!K14</f>
        <v>0</v>
      </c>
      <c r="L54" s="35">
        <f>'дод. 4'!L14</f>
        <v>0</v>
      </c>
      <c r="M54" s="35">
        <f>'дод. 4'!M14</f>
        <v>0</v>
      </c>
      <c r="N54" s="35">
        <f>'дод. 4'!N14</f>
        <v>0</v>
      </c>
      <c r="O54" s="35">
        <f>'дод. 4'!O14</f>
        <v>0</v>
      </c>
      <c r="P54" s="53">
        <f t="shared" si="13"/>
        <v>687000</v>
      </c>
      <c r="Q54" s="77"/>
    </row>
    <row r="55" spans="1:17" s="25" customFormat="1" ht="30">
      <c r="A55" s="23"/>
      <c r="B55" s="26" t="s">
        <v>21</v>
      </c>
      <c r="C55" s="26" t="s">
        <v>139</v>
      </c>
      <c r="D55" s="27" t="s">
        <v>22</v>
      </c>
      <c r="E55" s="53">
        <f t="shared" si="11"/>
        <v>40000</v>
      </c>
      <c r="F55" s="35">
        <f>'дод. 4'!F15</f>
        <v>40000</v>
      </c>
      <c r="G55" s="35">
        <f>'дод. 4'!G15</f>
        <v>0</v>
      </c>
      <c r="H55" s="35">
        <f>'дод. 4'!H15</f>
        <v>0</v>
      </c>
      <c r="I55" s="35">
        <f>'дод. 4'!I15</f>
        <v>0</v>
      </c>
      <c r="J55" s="53">
        <f t="shared" si="12"/>
        <v>0</v>
      </c>
      <c r="K55" s="35">
        <f>'дод. 4'!K15</f>
        <v>0</v>
      </c>
      <c r="L55" s="35">
        <f>'дод. 4'!L15</f>
        <v>0</v>
      </c>
      <c r="M55" s="35">
        <f>'дод. 4'!M15</f>
        <v>0</v>
      </c>
      <c r="N55" s="35">
        <f>'дод. 4'!N15</f>
        <v>0</v>
      </c>
      <c r="O55" s="35">
        <f>'дод. 4'!O15</f>
        <v>0</v>
      </c>
      <c r="P55" s="53">
        <f t="shared" si="13"/>
        <v>40000</v>
      </c>
      <c r="Q55" s="77"/>
    </row>
    <row r="56" spans="1:17" s="25" customFormat="1" ht="30">
      <c r="A56" s="23"/>
      <c r="B56" s="26" t="s">
        <v>23</v>
      </c>
      <c r="C56" s="26" t="s">
        <v>139</v>
      </c>
      <c r="D56" s="27" t="s">
        <v>24</v>
      </c>
      <c r="E56" s="53">
        <f t="shared" si="11"/>
        <v>605000</v>
      </c>
      <c r="F56" s="35">
        <f>'дод. 4'!F16</f>
        <v>605000</v>
      </c>
      <c r="G56" s="35">
        <f>'дод. 4'!G16</f>
        <v>0</v>
      </c>
      <c r="H56" s="35">
        <f>'дод. 4'!H16</f>
        <v>0</v>
      </c>
      <c r="I56" s="35">
        <f>'дод. 4'!I16</f>
        <v>0</v>
      </c>
      <c r="J56" s="53">
        <f t="shared" si="12"/>
        <v>0</v>
      </c>
      <c r="K56" s="35">
        <f>'дод. 4'!K16</f>
        <v>0</v>
      </c>
      <c r="L56" s="35">
        <f>'дод. 4'!L16</f>
        <v>0</v>
      </c>
      <c r="M56" s="35">
        <f>'дод. 4'!M16</f>
        <v>0</v>
      </c>
      <c r="N56" s="35">
        <f>'дод. 4'!N16</f>
        <v>0</v>
      </c>
      <c r="O56" s="35">
        <f>'дод. 4'!O16</f>
        <v>0</v>
      </c>
      <c r="P56" s="53">
        <f t="shared" si="13"/>
        <v>605000</v>
      </c>
      <c r="Q56" s="77"/>
    </row>
    <row r="57" spans="1:17" s="25" customFormat="1" ht="15">
      <c r="A57" s="23"/>
      <c r="B57" s="26" t="s">
        <v>25</v>
      </c>
      <c r="C57" s="26" t="s">
        <v>139</v>
      </c>
      <c r="D57" s="27" t="s">
        <v>26</v>
      </c>
      <c r="E57" s="53">
        <f t="shared" si="11"/>
        <v>509900</v>
      </c>
      <c r="F57" s="35">
        <f>'дод. 4'!F17</f>
        <v>509900</v>
      </c>
      <c r="G57" s="35">
        <f>'дод. 4'!G17</f>
        <v>337300</v>
      </c>
      <c r="H57" s="35">
        <f>'дод. 4'!H17</f>
        <v>72433</v>
      </c>
      <c r="I57" s="35">
        <f>'дод. 4'!I17</f>
        <v>0</v>
      </c>
      <c r="J57" s="53">
        <f t="shared" si="12"/>
        <v>9645</v>
      </c>
      <c r="K57" s="35">
        <f>'дод. 4'!K17</f>
        <v>0</v>
      </c>
      <c r="L57" s="35">
        <f>'дод. 4'!L17</f>
        <v>0</v>
      </c>
      <c r="M57" s="35">
        <f>'дод. 4'!M17</f>
        <v>0</v>
      </c>
      <c r="N57" s="35">
        <f>'дод. 4'!N17</f>
        <v>9645</v>
      </c>
      <c r="O57" s="35">
        <f>'дод. 4'!O17</f>
        <v>9645</v>
      </c>
      <c r="P57" s="53">
        <f t="shared" si="13"/>
        <v>519545</v>
      </c>
      <c r="Q57" s="77"/>
    </row>
    <row r="58" spans="1:17" s="25" customFormat="1" ht="75">
      <c r="A58" s="23"/>
      <c r="B58" s="26" t="s">
        <v>27</v>
      </c>
      <c r="C58" s="26" t="s">
        <v>139</v>
      </c>
      <c r="D58" s="28" t="s">
        <v>28</v>
      </c>
      <c r="E58" s="53">
        <f t="shared" si="11"/>
        <v>2189000</v>
      </c>
      <c r="F58" s="35">
        <f>'дод. 4'!F18+'дод. 4'!F58</f>
        <v>2189000</v>
      </c>
      <c r="G58" s="35">
        <f>'дод. 4'!G18+'дод. 4'!G58</f>
        <v>0</v>
      </c>
      <c r="H58" s="35">
        <f>'дод. 4'!H18+'дод. 4'!H58</f>
        <v>0</v>
      </c>
      <c r="I58" s="35">
        <f>'дод. 4'!I18+'дод. 4'!I58</f>
        <v>0</v>
      </c>
      <c r="J58" s="53">
        <f t="shared" si="12"/>
        <v>0</v>
      </c>
      <c r="K58" s="35">
        <f>'дод. 4'!K18+'дод. 4'!K58</f>
        <v>0</v>
      </c>
      <c r="L58" s="35">
        <f>'дод. 4'!L18+'дод. 4'!L58</f>
        <v>0</v>
      </c>
      <c r="M58" s="35">
        <f>'дод. 4'!M18+'дод. 4'!M58</f>
        <v>0</v>
      </c>
      <c r="N58" s="35">
        <f>'дод. 4'!N18+'дод. 4'!N58</f>
        <v>0</v>
      </c>
      <c r="O58" s="35">
        <f>'дод. 4'!O18+'дод. 4'!O58</f>
        <v>0</v>
      </c>
      <c r="P58" s="53">
        <f t="shared" si="13"/>
        <v>2189000</v>
      </c>
      <c r="Q58" s="77"/>
    </row>
    <row r="59" spans="1:17" s="25" customFormat="1" ht="45">
      <c r="A59" s="23"/>
      <c r="B59" s="26" t="s">
        <v>97</v>
      </c>
      <c r="C59" s="26" t="s">
        <v>168</v>
      </c>
      <c r="D59" s="27" t="s">
        <v>98</v>
      </c>
      <c r="E59" s="53">
        <f t="shared" si="11"/>
        <v>5505100</v>
      </c>
      <c r="F59" s="35">
        <f>'дод. 4'!F87</f>
        <v>5505100</v>
      </c>
      <c r="G59" s="35">
        <f>'дод. 4'!G87</f>
        <v>4076600</v>
      </c>
      <c r="H59" s="35">
        <f>'дод. 4'!H87</f>
        <v>156566</v>
      </c>
      <c r="I59" s="35">
        <f>'дод. 4'!I87</f>
        <v>0</v>
      </c>
      <c r="J59" s="53">
        <f t="shared" si="12"/>
        <v>324800</v>
      </c>
      <c r="K59" s="35">
        <f>'дод. 4'!K87</f>
        <v>27800</v>
      </c>
      <c r="L59" s="35">
        <f>'дод. 4'!L87</f>
        <v>18822</v>
      </c>
      <c r="M59" s="35">
        <f>'дод. 4'!M87</f>
        <v>0</v>
      </c>
      <c r="N59" s="35">
        <f>'дод. 4'!N87</f>
        <v>297000</v>
      </c>
      <c r="O59" s="35">
        <f>'дод. 4'!O87</f>
        <v>297000</v>
      </c>
      <c r="P59" s="53">
        <f t="shared" si="13"/>
        <v>5829900</v>
      </c>
      <c r="Q59" s="77" t="s">
        <v>283</v>
      </c>
    </row>
    <row r="60" spans="1:17" s="25" customFormat="1" ht="90">
      <c r="A60" s="23"/>
      <c r="B60" s="26" t="s">
        <v>99</v>
      </c>
      <c r="C60" s="26" t="s">
        <v>167</v>
      </c>
      <c r="D60" s="27" t="s">
        <v>100</v>
      </c>
      <c r="E60" s="53">
        <f t="shared" si="11"/>
        <v>1397200</v>
      </c>
      <c r="F60" s="35">
        <f>'дод. 4'!F88</f>
        <v>1397200</v>
      </c>
      <c r="G60" s="35">
        <f>'дод. 4'!G88</f>
        <v>0</v>
      </c>
      <c r="H60" s="35">
        <f>'дод. 4'!H88</f>
        <v>0</v>
      </c>
      <c r="I60" s="35">
        <f>'дод. 4'!I88</f>
        <v>0</v>
      </c>
      <c r="J60" s="53">
        <f t="shared" si="12"/>
        <v>0</v>
      </c>
      <c r="K60" s="35">
        <f>'дод. 4'!K88</f>
        <v>0</v>
      </c>
      <c r="L60" s="35">
        <f>'дод. 4'!L88</f>
        <v>0</v>
      </c>
      <c r="M60" s="35">
        <f>'дод. 4'!M88</f>
        <v>0</v>
      </c>
      <c r="N60" s="35">
        <f>'дод. 4'!N88</f>
        <v>0</v>
      </c>
      <c r="O60" s="35">
        <f>'дод. 4'!O88</f>
        <v>0</v>
      </c>
      <c r="P60" s="53">
        <f t="shared" si="13"/>
        <v>1397200</v>
      </c>
      <c r="Q60" s="77"/>
    </row>
    <row r="61" spans="1:17" s="25" customFormat="1" ht="90">
      <c r="A61" s="23"/>
      <c r="B61" s="26" t="s">
        <v>101</v>
      </c>
      <c r="C61" s="26" t="s">
        <v>166</v>
      </c>
      <c r="D61" s="27" t="s">
        <v>102</v>
      </c>
      <c r="E61" s="53">
        <f t="shared" si="11"/>
        <v>2482439</v>
      </c>
      <c r="F61" s="35">
        <f>'дод. 4'!F89</f>
        <v>2482439</v>
      </c>
      <c r="G61" s="35">
        <f>'дод. 4'!G89</f>
        <v>0</v>
      </c>
      <c r="H61" s="35">
        <f>'дод. 4'!H89</f>
        <v>0</v>
      </c>
      <c r="I61" s="35">
        <f>'дод. 4'!I89</f>
        <v>0</v>
      </c>
      <c r="J61" s="53">
        <f t="shared" si="12"/>
        <v>0</v>
      </c>
      <c r="K61" s="35">
        <f>'дод. 4'!K89</f>
        <v>0</v>
      </c>
      <c r="L61" s="35">
        <f>'дод. 4'!L89</f>
        <v>0</v>
      </c>
      <c r="M61" s="35">
        <f>'дод. 4'!M89</f>
        <v>0</v>
      </c>
      <c r="N61" s="35">
        <f>'дод. 4'!N89</f>
        <v>0</v>
      </c>
      <c r="O61" s="35">
        <f>'дод. 4'!O89</f>
        <v>0</v>
      </c>
      <c r="P61" s="53">
        <f t="shared" si="13"/>
        <v>2482439</v>
      </c>
      <c r="Q61" s="77"/>
    </row>
    <row r="62" spans="1:17" s="25" customFormat="1" ht="30">
      <c r="A62" s="23"/>
      <c r="B62" s="26" t="s">
        <v>103</v>
      </c>
      <c r="C62" s="26" t="s">
        <v>164</v>
      </c>
      <c r="D62" s="27" t="s">
        <v>104</v>
      </c>
      <c r="E62" s="53">
        <f t="shared" si="11"/>
        <v>798900</v>
      </c>
      <c r="F62" s="35">
        <f>'дод. 4'!F90</f>
        <v>798900</v>
      </c>
      <c r="G62" s="35">
        <f>'дод. 4'!G90</f>
        <v>0</v>
      </c>
      <c r="H62" s="35">
        <f>'дод. 4'!H90</f>
        <v>0</v>
      </c>
      <c r="I62" s="35">
        <f>'дод. 4'!I90</f>
        <v>0</v>
      </c>
      <c r="J62" s="53">
        <f t="shared" si="12"/>
        <v>0</v>
      </c>
      <c r="K62" s="35">
        <f>'дод. 4'!K90</f>
        <v>0</v>
      </c>
      <c r="L62" s="35">
        <f>'дод. 4'!L90</f>
        <v>0</v>
      </c>
      <c r="M62" s="35">
        <f>'дод. 4'!M90</f>
        <v>0</v>
      </c>
      <c r="N62" s="35">
        <f>'дод. 4'!N90</f>
        <v>0</v>
      </c>
      <c r="O62" s="35">
        <f>'дод. 4'!O90</f>
        <v>0</v>
      </c>
      <c r="P62" s="53">
        <f t="shared" si="13"/>
        <v>798900</v>
      </c>
      <c r="Q62" s="77"/>
    </row>
    <row r="63" spans="1:17" s="25" customFormat="1" ht="30">
      <c r="A63" s="23"/>
      <c r="B63" s="26" t="s">
        <v>254</v>
      </c>
      <c r="C63" s="26" t="s">
        <v>138</v>
      </c>
      <c r="D63" s="27" t="s">
        <v>255</v>
      </c>
      <c r="E63" s="53">
        <f t="shared" si="11"/>
        <v>111717</v>
      </c>
      <c r="F63" s="35">
        <f>'дод. 4'!F91</f>
        <v>111717</v>
      </c>
      <c r="G63" s="35">
        <f>'дод. 4'!G91</f>
        <v>0</v>
      </c>
      <c r="H63" s="35">
        <f>'дод. 4'!H91</f>
        <v>0</v>
      </c>
      <c r="I63" s="35">
        <f>'дод. 4'!I91</f>
        <v>0</v>
      </c>
      <c r="J63" s="53">
        <f t="shared" si="12"/>
        <v>0</v>
      </c>
      <c r="K63" s="35">
        <f>'дод. 4'!K91</f>
        <v>0</v>
      </c>
      <c r="L63" s="35">
        <f>'дод. 4'!L91</f>
        <v>0</v>
      </c>
      <c r="M63" s="35">
        <f>'дод. 4'!M91</f>
        <v>0</v>
      </c>
      <c r="N63" s="35">
        <f>'дод. 4'!N91</f>
        <v>0</v>
      </c>
      <c r="O63" s="35">
        <f>'дод. 4'!O91</f>
        <v>0</v>
      </c>
      <c r="P63" s="53">
        <f t="shared" si="13"/>
        <v>111717</v>
      </c>
      <c r="Q63" s="77"/>
    </row>
    <row r="64" spans="1:17" s="25" customFormat="1" ht="15">
      <c r="A64" s="23"/>
      <c r="B64" s="26" t="s">
        <v>105</v>
      </c>
      <c r="C64" s="26" t="s">
        <v>138</v>
      </c>
      <c r="D64" s="27" t="s">
        <v>106</v>
      </c>
      <c r="E64" s="53">
        <f t="shared" si="11"/>
        <v>1215000</v>
      </c>
      <c r="F64" s="35">
        <f>'дод. 4'!F92</f>
        <v>1215000</v>
      </c>
      <c r="G64" s="35">
        <f>'дод. 4'!G92</f>
        <v>749200</v>
      </c>
      <c r="H64" s="35">
        <f>'дод. 4'!H92</f>
        <v>127230</v>
      </c>
      <c r="I64" s="35">
        <f>'дод. 4'!I92</f>
        <v>0</v>
      </c>
      <c r="J64" s="53">
        <f t="shared" si="12"/>
        <v>200000</v>
      </c>
      <c r="K64" s="35">
        <f>'дод. 4'!K92</f>
        <v>0</v>
      </c>
      <c r="L64" s="35">
        <f>'дод. 4'!L92</f>
        <v>0</v>
      </c>
      <c r="M64" s="35">
        <f>'дод. 4'!M92</f>
        <v>0</v>
      </c>
      <c r="N64" s="35">
        <f>'дод. 4'!N92</f>
        <v>200000</v>
      </c>
      <c r="O64" s="35">
        <f>'дод. 4'!O92</f>
        <v>200000</v>
      </c>
      <c r="P64" s="53">
        <f t="shared" si="13"/>
        <v>1415000</v>
      </c>
      <c r="Q64" s="77"/>
    </row>
    <row r="65" spans="1:17" s="25" customFormat="1" ht="60">
      <c r="A65" s="23"/>
      <c r="B65" s="26" t="s">
        <v>260</v>
      </c>
      <c r="C65" s="26" t="s">
        <v>167</v>
      </c>
      <c r="D65" s="27" t="s">
        <v>261</v>
      </c>
      <c r="E65" s="53">
        <f t="shared" si="11"/>
        <v>162275</v>
      </c>
      <c r="F65" s="35">
        <f>'дод. 4'!F93</f>
        <v>162275</v>
      </c>
      <c r="G65" s="35">
        <f>'дод. 4'!G93</f>
        <v>0</v>
      </c>
      <c r="H65" s="35">
        <f>'дод. 4'!H93</f>
        <v>0</v>
      </c>
      <c r="I65" s="35">
        <f>'дод. 4'!I93</f>
        <v>0</v>
      </c>
      <c r="J65" s="53">
        <f t="shared" si="12"/>
        <v>0</v>
      </c>
      <c r="K65" s="35">
        <f>'дод. 4'!K93</f>
        <v>0</v>
      </c>
      <c r="L65" s="35">
        <f>'дод. 4'!L93</f>
        <v>0</v>
      </c>
      <c r="M65" s="35">
        <f>'дод. 4'!M93</f>
        <v>0</v>
      </c>
      <c r="N65" s="35">
        <f>'дод. 4'!N93</f>
        <v>0</v>
      </c>
      <c r="O65" s="35">
        <f>'дод. 4'!O93</f>
        <v>0</v>
      </c>
      <c r="P65" s="53">
        <f t="shared" si="13"/>
        <v>162275</v>
      </c>
      <c r="Q65" s="77"/>
    </row>
    <row r="66" spans="1:17" s="25" customFormat="1" ht="30">
      <c r="A66" s="23"/>
      <c r="B66" s="26" t="s">
        <v>262</v>
      </c>
      <c r="C66" s="26" t="s">
        <v>167</v>
      </c>
      <c r="D66" s="27" t="s">
        <v>263</v>
      </c>
      <c r="E66" s="53">
        <f t="shared" si="11"/>
        <v>4800</v>
      </c>
      <c r="F66" s="35">
        <f>'дод. 4'!F94</f>
        <v>4800</v>
      </c>
      <c r="G66" s="35">
        <f>'дод. 4'!G94</f>
        <v>0</v>
      </c>
      <c r="H66" s="35">
        <f>'дод. 4'!H94</f>
        <v>0</v>
      </c>
      <c r="I66" s="35">
        <f>'дод. 4'!I94</f>
        <v>0</v>
      </c>
      <c r="J66" s="53">
        <f t="shared" si="12"/>
        <v>0</v>
      </c>
      <c r="K66" s="35">
        <f>'дод. 4'!K94</f>
        <v>0</v>
      </c>
      <c r="L66" s="35">
        <f>'дод. 4'!L94</f>
        <v>0</v>
      </c>
      <c r="M66" s="35">
        <f>'дод. 4'!M94</f>
        <v>0</v>
      </c>
      <c r="N66" s="35">
        <f>'дод. 4'!N94</f>
        <v>0</v>
      </c>
      <c r="O66" s="35">
        <f>'дод. 4'!O94</f>
        <v>0</v>
      </c>
      <c r="P66" s="53">
        <f t="shared" si="13"/>
        <v>4800</v>
      </c>
      <c r="Q66" s="77"/>
    </row>
    <row r="67" spans="1:17" s="25" customFormat="1" ht="15">
      <c r="A67" s="23"/>
      <c r="B67" s="66" t="s">
        <v>224</v>
      </c>
      <c r="C67" s="67"/>
      <c r="D67" s="67" t="s">
        <v>225</v>
      </c>
      <c r="E67" s="70">
        <f>E68+E69+E70+E71+E72+E73</f>
        <v>89863155</v>
      </c>
      <c r="F67" s="70">
        <f aca="true" t="shared" si="14" ref="F67:P67">F68+F69+F70+F71+F72+F73</f>
        <v>69972440</v>
      </c>
      <c r="G67" s="70">
        <f t="shared" si="14"/>
        <v>0</v>
      </c>
      <c r="H67" s="70">
        <f t="shared" si="14"/>
        <v>4231240</v>
      </c>
      <c r="I67" s="70">
        <f t="shared" si="14"/>
        <v>19890715</v>
      </c>
      <c r="J67" s="70">
        <f t="shared" si="14"/>
        <v>115154423.14</v>
      </c>
      <c r="K67" s="70">
        <f t="shared" si="14"/>
        <v>0</v>
      </c>
      <c r="L67" s="70">
        <f t="shared" si="14"/>
        <v>0</v>
      </c>
      <c r="M67" s="70">
        <f t="shared" si="14"/>
        <v>0</v>
      </c>
      <c r="N67" s="70">
        <f t="shared" si="14"/>
        <v>115154423.14</v>
      </c>
      <c r="O67" s="70">
        <f t="shared" si="14"/>
        <v>115154423.14</v>
      </c>
      <c r="P67" s="70">
        <f t="shared" si="14"/>
        <v>205017578.14</v>
      </c>
      <c r="Q67" s="77"/>
    </row>
    <row r="68" spans="1:17" s="25" customFormat="1" ht="15">
      <c r="A68" s="23"/>
      <c r="B68" s="26" t="s">
        <v>252</v>
      </c>
      <c r="C68" s="26" t="s">
        <v>174</v>
      </c>
      <c r="D68" s="27" t="s">
        <v>253</v>
      </c>
      <c r="E68" s="35">
        <f aca="true" t="shared" si="15" ref="E68:E73">F68+I68</f>
        <v>180000</v>
      </c>
      <c r="F68" s="35">
        <f>'дод. 4'!F107</f>
        <v>180000</v>
      </c>
      <c r="G68" s="35">
        <f>'дод. 4'!G107</f>
        <v>0</v>
      </c>
      <c r="H68" s="35">
        <f>'дод. 4'!H107</f>
        <v>0</v>
      </c>
      <c r="I68" s="35">
        <f>'дод. 4'!I107</f>
        <v>0</v>
      </c>
      <c r="J68" s="35">
        <f aca="true" t="shared" si="16" ref="J68:J73">K68+N68</f>
        <v>0</v>
      </c>
      <c r="K68" s="35">
        <f>'дод. 4'!K107</f>
        <v>0</v>
      </c>
      <c r="L68" s="35">
        <f>'дод. 4'!L107</f>
        <v>0</v>
      </c>
      <c r="M68" s="35">
        <f>'дод. 4'!M107</f>
        <v>0</v>
      </c>
      <c r="N68" s="35">
        <f>'дод. 4'!N107</f>
        <v>0</v>
      </c>
      <c r="O68" s="35">
        <f>'дод. 4'!O107</f>
        <v>0</v>
      </c>
      <c r="P68" s="35">
        <f aca="true" t="shared" si="17" ref="P68:P73">E68+J68</f>
        <v>180000</v>
      </c>
      <c r="Q68" s="77"/>
    </row>
    <row r="69" spans="1:17" s="25" customFormat="1" ht="30">
      <c r="A69" s="23"/>
      <c r="B69" s="26" t="s">
        <v>117</v>
      </c>
      <c r="C69" s="26" t="s">
        <v>174</v>
      </c>
      <c r="D69" s="27" t="s">
        <v>118</v>
      </c>
      <c r="E69" s="35">
        <f t="shared" si="15"/>
        <v>195000</v>
      </c>
      <c r="F69" s="35">
        <f>'дод. 4'!F108</f>
        <v>195000</v>
      </c>
      <c r="G69" s="35">
        <f>'дод. 4'!G108</f>
        <v>0</v>
      </c>
      <c r="H69" s="35">
        <f>'дод. 4'!H108</f>
        <v>0</v>
      </c>
      <c r="I69" s="35">
        <f>'дод. 4'!I108</f>
        <v>0</v>
      </c>
      <c r="J69" s="35">
        <f t="shared" si="16"/>
        <v>38156285.14</v>
      </c>
      <c r="K69" s="35">
        <f>'дод. 4'!K108</f>
        <v>0</v>
      </c>
      <c r="L69" s="35">
        <f>'дод. 4'!L108</f>
        <v>0</v>
      </c>
      <c r="M69" s="35">
        <f>'дод. 4'!M108</f>
        <v>0</v>
      </c>
      <c r="N69" s="35">
        <f>'дод. 4'!N108</f>
        <v>38156285.14</v>
      </c>
      <c r="O69" s="35">
        <f>'дод. 4'!O108</f>
        <v>38156285.14</v>
      </c>
      <c r="P69" s="35">
        <f t="shared" si="17"/>
        <v>38351285.14</v>
      </c>
      <c r="Q69" s="77"/>
    </row>
    <row r="70" spans="1:17" s="25" customFormat="1" ht="45">
      <c r="A70" s="23"/>
      <c r="B70" s="26" t="s">
        <v>119</v>
      </c>
      <c r="C70" s="26" t="s">
        <v>174</v>
      </c>
      <c r="D70" s="27" t="s">
        <v>120</v>
      </c>
      <c r="E70" s="35">
        <f t="shared" si="15"/>
        <v>0</v>
      </c>
      <c r="F70" s="35">
        <f>'дод. 4'!F109</f>
        <v>0</v>
      </c>
      <c r="G70" s="35">
        <f>'дод. 4'!G109</f>
        <v>0</v>
      </c>
      <c r="H70" s="35">
        <f>'дод. 4'!H109</f>
        <v>0</v>
      </c>
      <c r="I70" s="35">
        <f>'дод. 4'!I109</f>
        <v>0</v>
      </c>
      <c r="J70" s="35">
        <f t="shared" si="16"/>
        <v>2000000</v>
      </c>
      <c r="K70" s="35">
        <f>'дод. 4'!K109</f>
        <v>0</v>
      </c>
      <c r="L70" s="35">
        <f>'дод. 4'!L109</f>
        <v>0</v>
      </c>
      <c r="M70" s="35">
        <f>'дод. 4'!M109</f>
        <v>0</v>
      </c>
      <c r="N70" s="35">
        <f>'дод. 4'!N109</f>
        <v>2000000</v>
      </c>
      <c r="O70" s="35">
        <f>'дод. 4'!O109</f>
        <v>2000000</v>
      </c>
      <c r="P70" s="35">
        <f t="shared" si="17"/>
        <v>2000000</v>
      </c>
      <c r="Q70" s="77"/>
    </row>
    <row r="71" spans="1:17" s="25" customFormat="1" ht="15">
      <c r="A71" s="23"/>
      <c r="B71" s="26" t="s">
        <v>121</v>
      </c>
      <c r="C71" s="26" t="s">
        <v>140</v>
      </c>
      <c r="D71" s="27" t="s">
        <v>122</v>
      </c>
      <c r="E71" s="35">
        <f t="shared" si="15"/>
        <v>2295103</v>
      </c>
      <c r="F71" s="35">
        <f>'дод. 4'!F110</f>
        <v>0</v>
      </c>
      <c r="G71" s="35">
        <f>'дод. 4'!G110</f>
        <v>0</v>
      </c>
      <c r="H71" s="35">
        <f>'дод. 4'!H110</f>
        <v>0</v>
      </c>
      <c r="I71" s="35">
        <f>'дод. 4'!I110</f>
        <v>2295103</v>
      </c>
      <c r="J71" s="35">
        <f t="shared" si="16"/>
        <v>150000</v>
      </c>
      <c r="K71" s="35">
        <f>'дод. 4'!K110</f>
        <v>0</v>
      </c>
      <c r="L71" s="35">
        <f>'дод. 4'!L110</f>
        <v>0</v>
      </c>
      <c r="M71" s="35">
        <f>'дод. 4'!M110</f>
        <v>0</v>
      </c>
      <c r="N71" s="35">
        <f>'дод. 4'!N110</f>
        <v>150000</v>
      </c>
      <c r="O71" s="35">
        <f>'дод. 4'!O110</f>
        <v>150000</v>
      </c>
      <c r="P71" s="35">
        <f t="shared" si="17"/>
        <v>2445103</v>
      </c>
      <c r="Q71" s="77"/>
    </row>
    <row r="72" spans="1:17" s="25" customFormat="1" ht="15">
      <c r="A72" s="23"/>
      <c r="B72" s="26" t="s">
        <v>29</v>
      </c>
      <c r="C72" s="26" t="s">
        <v>140</v>
      </c>
      <c r="D72" s="27" t="s">
        <v>30</v>
      </c>
      <c r="E72" s="35">
        <f t="shared" si="15"/>
        <v>87193052</v>
      </c>
      <c r="F72" s="35">
        <f>'дод. 4'!F111+'дод. 4'!F19+'дод. 4'!F132</f>
        <v>69597440</v>
      </c>
      <c r="G72" s="35">
        <f>'дод. 4'!G111+'дод. 4'!G19+'дод. 4'!G132</f>
        <v>0</v>
      </c>
      <c r="H72" s="35">
        <f>'дод. 4'!H111+'дод. 4'!H19+'дод. 4'!H132</f>
        <v>4231240</v>
      </c>
      <c r="I72" s="35">
        <f>'дод. 4'!I111+'дод. 4'!I19+'дод. 4'!I132</f>
        <v>17595612</v>
      </c>
      <c r="J72" s="35">
        <f t="shared" si="16"/>
        <v>74002200</v>
      </c>
      <c r="K72" s="35">
        <f>'дод. 4'!K111+'дод. 4'!K19+'дод. 4'!K132</f>
        <v>0</v>
      </c>
      <c r="L72" s="35">
        <f>'дод. 4'!L111+'дод. 4'!L19+'дод. 4'!L132</f>
        <v>0</v>
      </c>
      <c r="M72" s="35">
        <f>'дод. 4'!M111+'дод. 4'!M19+'дод. 4'!M132</f>
        <v>0</v>
      </c>
      <c r="N72" s="35">
        <f>'дод. 4'!N111+'дод. 4'!N19+'дод. 4'!N132</f>
        <v>74002200</v>
      </c>
      <c r="O72" s="35">
        <f>'дод. 4'!O111+'дод. 4'!O19+'дод. 4'!O132</f>
        <v>74002200</v>
      </c>
      <c r="P72" s="35">
        <f t="shared" si="17"/>
        <v>161195252</v>
      </c>
      <c r="Q72" s="77"/>
    </row>
    <row r="73" spans="1:17" s="25" customFormat="1" ht="45">
      <c r="A73" s="23"/>
      <c r="B73" s="26" t="s">
        <v>270</v>
      </c>
      <c r="C73" s="26" t="s">
        <v>140</v>
      </c>
      <c r="D73" s="27" t="s">
        <v>271</v>
      </c>
      <c r="E73" s="35">
        <f t="shared" si="15"/>
        <v>0</v>
      </c>
      <c r="F73" s="35">
        <f>'дод. 4'!F112</f>
        <v>0</v>
      </c>
      <c r="G73" s="35">
        <f>'дод. 4'!G112</f>
        <v>0</v>
      </c>
      <c r="H73" s="35">
        <f>'дод. 4'!H112</f>
        <v>0</v>
      </c>
      <c r="I73" s="35">
        <f>'дод. 4'!I112</f>
        <v>0</v>
      </c>
      <c r="J73" s="35">
        <f t="shared" si="16"/>
        <v>845938</v>
      </c>
      <c r="K73" s="35">
        <f>'дод. 4'!K112</f>
        <v>0</v>
      </c>
      <c r="L73" s="35">
        <f>'дод. 4'!L112</f>
        <v>0</v>
      </c>
      <c r="M73" s="35">
        <f>'дод. 4'!M112</f>
        <v>0</v>
      </c>
      <c r="N73" s="35">
        <f>'дод. 4'!N112</f>
        <v>845938</v>
      </c>
      <c r="O73" s="35">
        <f>'дод. 4'!O112</f>
        <v>845938</v>
      </c>
      <c r="P73" s="35">
        <f t="shared" si="17"/>
        <v>845938</v>
      </c>
      <c r="Q73" s="77"/>
    </row>
    <row r="74" spans="1:17" s="25" customFormat="1" ht="15">
      <c r="A74" s="23"/>
      <c r="B74" s="66" t="s">
        <v>226</v>
      </c>
      <c r="C74" s="67"/>
      <c r="D74" s="67" t="s">
        <v>227</v>
      </c>
      <c r="E74" s="70">
        <f>E75+E76+E77+E78</f>
        <v>30524655</v>
      </c>
      <c r="F74" s="70">
        <f aca="true" t="shared" si="18" ref="F74:P74">F75+F76+F77+F78</f>
        <v>30524655</v>
      </c>
      <c r="G74" s="70">
        <f t="shared" si="18"/>
        <v>21670640</v>
      </c>
      <c r="H74" s="70">
        <f t="shared" si="18"/>
        <v>1855080</v>
      </c>
      <c r="I74" s="70">
        <f t="shared" si="18"/>
        <v>0</v>
      </c>
      <c r="J74" s="70">
        <f t="shared" si="18"/>
        <v>2394920</v>
      </c>
      <c r="K74" s="70">
        <f t="shared" si="18"/>
        <v>1320320</v>
      </c>
      <c r="L74" s="70">
        <f t="shared" si="18"/>
        <v>953732</v>
      </c>
      <c r="M74" s="70">
        <f t="shared" si="18"/>
        <v>0</v>
      </c>
      <c r="N74" s="70">
        <f t="shared" si="18"/>
        <v>1074600</v>
      </c>
      <c r="O74" s="70">
        <f t="shared" si="18"/>
        <v>1070000</v>
      </c>
      <c r="P74" s="70">
        <f t="shared" si="18"/>
        <v>32919575</v>
      </c>
      <c r="Q74" s="77"/>
    </row>
    <row r="75" spans="1:17" s="25" customFormat="1" ht="30">
      <c r="A75" s="23"/>
      <c r="B75" s="26" t="s">
        <v>111</v>
      </c>
      <c r="C75" s="26" t="s">
        <v>171</v>
      </c>
      <c r="D75" s="27" t="s">
        <v>112</v>
      </c>
      <c r="E75" s="35">
        <f>F75+I75</f>
        <v>1000000</v>
      </c>
      <c r="F75" s="35">
        <f>'дод. 4'!F101</f>
        <v>1000000</v>
      </c>
      <c r="G75" s="35">
        <f>'дод. 4'!G101</f>
        <v>0</v>
      </c>
      <c r="H75" s="35">
        <f>'дод. 4'!H101</f>
        <v>0</v>
      </c>
      <c r="I75" s="35">
        <f>'дод. 4'!I101</f>
        <v>0</v>
      </c>
      <c r="J75" s="35">
        <f>K75+N75</f>
        <v>0</v>
      </c>
      <c r="K75" s="35">
        <f>'дод. 4'!K101</f>
        <v>0</v>
      </c>
      <c r="L75" s="35">
        <f>'дод. 4'!L101</f>
        <v>0</v>
      </c>
      <c r="M75" s="35">
        <f>'дод. 4'!M101</f>
        <v>0</v>
      </c>
      <c r="N75" s="35">
        <f>'дод. 4'!N101</f>
        <v>0</v>
      </c>
      <c r="O75" s="35">
        <f>'дод. 4'!O101</f>
        <v>0</v>
      </c>
      <c r="P75" s="35">
        <f>E75+J75</f>
        <v>1000000</v>
      </c>
      <c r="Q75" s="77"/>
    </row>
    <row r="76" spans="1:17" s="25" customFormat="1" ht="15">
      <c r="A76" s="23"/>
      <c r="B76" s="26" t="s">
        <v>113</v>
      </c>
      <c r="C76" s="26" t="s">
        <v>172</v>
      </c>
      <c r="D76" s="27" t="s">
        <v>114</v>
      </c>
      <c r="E76" s="35">
        <f>F76+I76</f>
        <v>10340731</v>
      </c>
      <c r="F76" s="35">
        <f>'дод. 4'!F102</f>
        <v>10340731</v>
      </c>
      <c r="G76" s="35">
        <f>'дод. 4'!G102</f>
        <v>7077480</v>
      </c>
      <c r="H76" s="35">
        <f>'дод. 4'!H102</f>
        <v>1039633</v>
      </c>
      <c r="I76" s="35">
        <f>'дод. 4'!I102</f>
        <v>0</v>
      </c>
      <c r="J76" s="35">
        <f>K76+N76</f>
        <v>555500</v>
      </c>
      <c r="K76" s="35">
        <f>'дод. 4'!K102</f>
        <v>21000</v>
      </c>
      <c r="L76" s="35">
        <f>'дод. 4'!L102</f>
        <v>5000</v>
      </c>
      <c r="M76" s="35">
        <f>'дод. 4'!M102</f>
        <v>0</v>
      </c>
      <c r="N76" s="35">
        <f>'дод. 4'!N102</f>
        <v>534500</v>
      </c>
      <c r="O76" s="35">
        <f>'дод. 4'!O102</f>
        <v>534500</v>
      </c>
      <c r="P76" s="35">
        <f>E76+J76</f>
        <v>10896231</v>
      </c>
      <c r="Q76" s="77"/>
    </row>
    <row r="77" spans="1:17" s="51" customFormat="1" ht="15">
      <c r="A77" s="50"/>
      <c r="B77" s="26" t="s">
        <v>115</v>
      </c>
      <c r="C77" s="26" t="s">
        <v>154</v>
      </c>
      <c r="D77" s="27" t="s">
        <v>116</v>
      </c>
      <c r="E77" s="35">
        <f>F77+I77</f>
        <v>16900076</v>
      </c>
      <c r="F77" s="35">
        <f>'дод. 4'!F103</f>
        <v>16900076</v>
      </c>
      <c r="G77" s="35">
        <f>'дод. 4'!G103</f>
        <v>13068040</v>
      </c>
      <c r="H77" s="35">
        <f>'дод. 4'!H103</f>
        <v>702306</v>
      </c>
      <c r="I77" s="35">
        <f>'дод. 4'!I103</f>
        <v>0</v>
      </c>
      <c r="J77" s="35">
        <f>K77+N77</f>
        <v>1739420</v>
      </c>
      <c r="K77" s="35">
        <f>'дод. 4'!K103</f>
        <v>1299320</v>
      </c>
      <c r="L77" s="35">
        <f>'дод. 4'!L103</f>
        <v>948732</v>
      </c>
      <c r="M77" s="35">
        <f>'дод. 4'!M103</f>
        <v>0</v>
      </c>
      <c r="N77" s="35">
        <f>'дод. 4'!N103</f>
        <v>440100</v>
      </c>
      <c r="O77" s="35">
        <f>'дод. 4'!O103</f>
        <v>435500</v>
      </c>
      <c r="P77" s="35">
        <f>E77+J77</f>
        <v>18639496</v>
      </c>
      <c r="Q77" s="77"/>
    </row>
    <row r="78" spans="1:17" s="25" customFormat="1" ht="15">
      <c r="A78" s="23"/>
      <c r="B78" s="26" t="s">
        <v>31</v>
      </c>
      <c r="C78" s="26" t="s">
        <v>141</v>
      </c>
      <c r="D78" s="27" t="s">
        <v>32</v>
      </c>
      <c r="E78" s="35">
        <f>F78+I78</f>
        <v>2283848</v>
      </c>
      <c r="F78" s="35">
        <f>'дод. 4'!F104+'дод. 4'!F20</f>
        <v>2283848</v>
      </c>
      <c r="G78" s="35">
        <f>'дод. 4'!G104+'дод. 4'!G20</f>
        <v>1525120</v>
      </c>
      <c r="H78" s="35">
        <f>'дод. 4'!H104+'дод. 4'!H20</f>
        <v>113141</v>
      </c>
      <c r="I78" s="35">
        <f>'дод. 4'!I104+'дод. 4'!I20</f>
        <v>0</v>
      </c>
      <c r="J78" s="35">
        <f>K78+N78</f>
        <v>100000</v>
      </c>
      <c r="K78" s="35">
        <f>'дод. 4'!K104+'дод. 4'!K20</f>
        <v>0</v>
      </c>
      <c r="L78" s="35">
        <f>'дод. 4'!L104+'дод. 4'!L20</f>
        <v>0</v>
      </c>
      <c r="M78" s="35">
        <f>'дод. 4'!M104+'дод. 4'!M20</f>
        <v>0</v>
      </c>
      <c r="N78" s="35">
        <f>'дод. 4'!N104+'дод. 4'!N20</f>
        <v>100000</v>
      </c>
      <c r="O78" s="35">
        <f>'дод. 4'!O104+'дод. 4'!O20</f>
        <v>100000</v>
      </c>
      <c r="P78" s="35">
        <f>E78+J78</f>
        <v>2383848</v>
      </c>
      <c r="Q78" s="77"/>
    </row>
    <row r="79" spans="1:17" s="25" customFormat="1" ht="15">
      <c r="A79" s="23"/>
      <c r="B79" s="66" t="s">
        <v>228</v>
      </c>
      <c r="C79" s="67"/>
      <c r="D79" s="67" t="s">
        <v>229</v>
      </c>
      <c r="E79" s="70">
        <f>E80</f>
        <v>90300</v>
      </c>
      <c r="F79" s="70">
        <f aca="true" t="shared" si="19" ref="F79:P79">F80</f>
        <v>90300</v>
      </c>
      <c r="G79" s="70">
        <f t="shared" si="19"/>
        <v>0</v>
      </c>
      <c r="H79" s="70">
        <f t="shared" si="19"/>
        <v>0</v>
      </c>
      <c r="I79" s="70">
        <f t="shared" si="19"/>
        <v>0</v>
      </c>
      <c r="J79" s="70">
        <f t="shared" si="19"/>
        <v>0</v>
      </c>
      <c r="K79" s="70">
        <f t="shared" si="19"/>
        <v>0</v>
      </c>
      <c r="L79" s="70">
        <f t="shared" si="19"/>
        <v>0</v>
      </c>
      <c r="M79" s="70">
        <f t="shared" si="19"/>
        <v>0</v>
      </c>
      <c r="N79" s="70">
        <f t="shared" si="19"/>
        <v>0</v>
      </c>
      <c r="O79" s="70">
        <f t="shared" si="19"/>
        <v>0</v>
      </c>
      <c r="P79" s="70">
        <f t="shared" si="19"/>
        <v>90300</v>
      </c>
      <c r="Q79" s="77"/>
    </row>
    <row r="80" spans="1:17" s="25" customFormat="1" ht="15">
      <c r="A80" s="23"/>
      <c r="B80" s="26" t="s">
        <v>193</v>
      </c>
      <c r="C80" s="26" t="s">
        <v>195</v>
      </c>
      <c r="D80" s="27" t="s">
        <v>194</v>
      </c>
      <c r="E80" s="35">
        <f>F80+I80</f>
        <v>90300</v>
      </c>
      <c r="F80" s="35">
        <f>'дод. 4'!F21</f>
        <v>90300</v>
      </c>
      <c r="G80" s="35">
        <f>'дод. 4'!G21</f>
        <v>0</v>
      </c>
      <c r="H80" s="35">
        <f>'дод. 4'!H21</f>
        <v>0</v>
      </c>
      <c r="I80" s="35">
        <f>'дод. 4'!I21</f>
        <v>0</v>
      </c>
      <c r="J80" s="35">
        <f>K80+N80</f>
        <v>0</v>
      </c>
      <c r="K80" s="35">
        <f>'дод. 4'!K21</f>
        <v>0</v>
      </c>
      <c r="L80" s="35">
        <f>'дод. 4'!L21</f>
        <v>0</v>
      </c>
      <c r="M80" s="35">
        <f>'дод. 4'!M21</f>
        <v>0</v>
      </c>
      <c r="N80" s="35">
        <f>'дод. 4'!N21</f>
        <v>0</v>
      </c>
      <c r="O80" s="35">
        <f>'дод. 4'!O21</f>
        <v>0</v>
      </c>
      <c r="P80" s="35">
        <f>E80+J80</f>
        <v>90300</v>
      </c>
      <c r="Q80" s="77"/>
    </row>
    <row r="81" spans="1:17" s="25" customFormat="1" ht="15">
      <c r="A81" s="23"/>
      <c r="B81" s="66" t="s">
        <v>230</v>
      </c>
      <c r="C81" s="67"/>
      <c r="D81" s="67" t="s">
        <v>231</v>
      </c>
      <c r="E81" s="70">
        <f>E82+E83+E84+E85+E86+E87</f>
        <v>16767950</v>
      </c>
      <c r="F81" s="70">
        <f aca="true" t="shared" si="20" ref="F81:P81">F82+F83+F84+F85+F86+F87</f>
        <v>16767950</v>
      </c>
      <c r="G81" s="70">
        <f t="shared" si="20"/>
        <v>6280345</v>
      </c>
      <c r="H81" s="70">
        <f t="shared" si="20"/>
        <v>976907</v>
      </c>
      <c r="I81" s="70">
        <f t="shared" si="20"/>
        <v>0</v>
      </c>
      <c r="J81" s="70">
        <f t="shared" si="20"/>
        <v>1017714</v>
      </c>
      <c r="K81" s="70">
        <f t="shared" si="20"/>
        <v>317714</v>
      </c>
      <c r="L81" s="70">
        <f t="shared" si="20"/>
        <v>144491</v>
      </c>
      <c r="M81" s="70">
        <f t="shared" si="20"/>
        <v>97628</v>
      </c>
      <c r="N81" s="70">
        <f t="shared" si="20"/>
        <v>700000</v>
      </c>
      <c r="O81" s="70">
        <f t="shared" si="20"/>
        <v>700000</v>
      </c>
      <c r="P81" s="70">
        <f t="shared" si="20"/>
        <v>17785664</v>
      </c>
      <c r="Q81" s="77" t="s">
        <v>284</v>
      </c>
    </row>
    <row r="82" spans="1:17" s="25" customFormat="1" ht="30">
      <c r="A82" s="23"/>
      <c r="B82" s="26" t="s">
        <v>33</v>
      </c>
      <c r="C82" s="26" t="s">
        <v>142</v>
      </c>
      <c r="D82" s="27" t="s">
        <v>34</v>
      </c>
      <c r="E82" s="35">
        <f aca="true" t="shared" si="21" ref="E82:E87">F82+I82</f>
        <v>500000</v>
      </c>
      <c r="F82" s="35">
        <f>'дод. 4'!F22</f>
        <v>500000</v>
      </c>
      <c r="G82" s="35">
        <f>'дод. 4'!G22</f>
        <v>0</v>
      </c>
      <c r="H82" s="35">
        <f>'дод. 4'!H22</f>
        <v>0</v>
      </c>
      <c r="I82" s="35">
        <f>'дод. 4'!I22</f>
        <v>0</v>
      </c>
      <c r="J82" s="35">
        <f aca="true" t="shared" si="22" ref="J82:J87">K82+N82</f>
        <v>0</v>
      </c>
      <c r="K82" s="35">
        <f>'дод. 4'!K22</f>
        <v>0</v>
      </c>
      <c r="L82" s="35">
        <f>'дод. 4'!L22</f>
        <v>0</v>
      </c>
      <c r="M82" s="35">
        <f>'дод. 4'!M22</f>
        <v>0</v>
      </c>
      <c r="N82" s="35">
        <f>'дод. 4'!N22</f>
        <v>0</v>
      </c>
      <c r="O82" s="35">
        <f>'дод. 4'!O22</f>
        <v>0</v>
      </c>
      <c r="P82" s="35">
        <f aca="true" t="shared" si="23" ref="P82:P87">E82+J82</f>
        <v>500000</v>
      </c>
      <c r="Q82" s="77"/>
    </row>
    <row r="83" spans="1:17" s="25" customFormat="1" ht="45">
      <c r="A83" s="23"/>
      <c r="B83" s="26" t="s">
        <v>35</v>
      </c>
      <c r="C83" s="26" t="s">
        <v>142</v>
      </c>
      <c r="D83" s="27" t="s">
        <v>36</v>
      </c>
      <c r="E83" s="35">
        <f t="shared" si="21"/>
        <v>500000</v>
      </c>
      <c r="F83" s="35">
        <f>'дод. 4'!F23</f>
        <v>500000</v>
      </c>
      <c r="G83" s="35">
        <f>'дод. 4'!G23</f>
        <v>0</v>
      </c>
      <c r="H83" s="35">
        <f>'дод. 4'!H23</f>
        <v>0</v>
      </c>
      <c r="I83" s="35">
        <f>'дод. 4'!I23</f>
        <v>0</v>
      </c>
      <c r="J83" s="35">
        <f t="shared" si="22"/>
        <v>0</v>
      </c>
      <c r="K83" s="35">
        <f>'дод. 4'!K23</f>
        <v>0</v>
      </c>
      <c r="L83" s="35">
        <f>'дод. 4'!L23</f>
        <v>0</v>
      </c>
      <c r="M83" s="35">
        <f>'дод. 4'!M23</f>
        <v>0</v>
      </c>
      <c r="N83" s="35">
        <f>'дод. 4'!N23</f>
        <v>0</v>
      </c>
      <c r="O83" s="35">
        <f>'дод. 4'!O23</f>
        <v>0</v>
      </c>
      <c r="P83" s="35">
        <f t="shared" si="23"/>
        <v>500000</v>
      </c>
      <c r="Q83" s="77"/>
    </row>
    <row r="84" spans="1:17" s="25" customFormat="1" ht="45">
      <c r="A84" s="23"/>
      <c r="B84" s="26" t="s">
        <v>37</v>
      </c>
      <c r="C84" s="26" t="s">
        <v>142</v>
      </c>
      <c r="D84" s="27" t="s">
        <v>38</v>
      </c>
      <c r="E84" s="35">
        <f t="shared" si="21"/>
        <v>7647225</v>
      </c>
      <c r="F84" s="35">
        <f>'дод. 4'!F24+'дод. 4'!F59</f>
        <v>7647225</v>
      </c>
      <c r="G84" s="35">
        <f>'дод. 4'!G24+'дод. 4'!G59</f>
        <v>5350039</v>
      </c>
      <c r="H84" s="35">
        <f>'дод. 4'!H24+'дод. 4'!H59</f>
        <v>592617</v>
      </c>
      <c r="I84" s="35">
        <f>'дод. 4'!I24+'дод. 4'!I59</f>
        <v>0</v>
      </c>
      <c r="J84" s="35">
        <f t="shared" si="22"/>
        <v>200000</v>
      </c>
      <c r="K84" s="35">
        <f>'дод. 4'!K24+'дод. 4'!K59</f>
        <v>0</v>
      </c>
      <c r="L84" s="35">
        <f>'дод. 4'!L24+'дод. 4'!L59</f>
        <v>0</v>
      </c>
      <c r="M84" s="35">
        <f>'дод. 4'!M24+'дод. 4'!M59</f>
        <v>0</v>
      </c>
      <c r="N84" s="35">
        <f>'дод. 4'!N24+'дод. 4'!N59</f>
        <v>200000</v>
      </c>
      <c r="O84" s="35">
        <f>'дод. 4'!O24+'дод. 4'!O59</f>
        <v>200000</v>
      </c>
      <c r="P84" s="35">
        <f t="shared" si="23"/>
        <v>7847225</v>
      </c>
      <c r="Q84" s="77"/>
    </row>
    <row r="85" spans="1:17" s="25" customFormat="1" ht="15">
      <c r="A85" s="23"/>
      <c r="B85" s="26" t="s">
        <v>39</v>
      </c>
      <c r="C85" s="26" t="s">
        <v>142</v>
      </c>
      <c r="D85" s="27" t="s">
        <v>26</v>
      </c>
      <c r="E85" s="35">
        <f t="shared" si="21"/>
        <v>2347168</v>
      </c>
      <c r="F85" s="35">
        <f>'дод. 4'!F25</f>
        <v>2347168</v>
      </c>
      <c r="G85" s="35">
        <f>'дод. 4'!G25</f>
        <v>0</v>
      </c>
      <c r="H85" s="35">
        <f>'дод. 4'!H25</f>
        <v>0</v>
      </c>
      <c r="I85" s="35">
        <f>'дод. 4'!I25</f>
        <v>0</v>
      </c>
      <c r="J85" s="35">
        <f t="shared" si="22"/>
        <v>0</v>
      </c>
      <c r="K85" s="35">
        <f>'дод. 4'!K25</f>
        <v>0</v>
      </c>
      <c r="L85" s="35">
        <f>'дод. 4'!L25</f>
        <v>0</v>
      </c>
      <c r="M85" s="35">
        <f>'дод. 4'!M25</f>
        <v>0</v>
      </c>
      <c r="N85" s="35">
        <f>'дод. 4'!N25</f>
        <v>0</v>
      </c>
      <c r="O85" s="35">
        <f>'дод. 4'!O25</f>
        <v>0</v>
      </c>
      <c r="P85" s="35">
        <f t="shared" si="23"/>
        <v>2347168</v>
      </c>
      <c r="Q85" s="77"/>
    </row>
    <row r="86" spans="1:17" s="25" customFormat="1" ht="30">
      <c r="A86" s="23"/>
      <c r="B86" s="26" t="s">
        <v>40</v>
      </c>
      <c r="C86" s="26" t="s">
        <v>142</v>
      </c>
      <c r="D86" s="27" t="s">
        <v>41</v>
      </c>
      <c r="E86" s="35">
        <f t="shared" si="21"/>
        <v>1687339</v>
      </c>
      <c r="F86" s="35">
        <f>'дод. 4'!F26</f>
        <v>1687339</v>
      </c>
      <c r="G86" s="35">
        <f>'дод. 4'!G26</f>
        <v>930306</v>
      </c>
      <c r="H86" s="35">
        <f>'дод. 4'!H26</f>
        <v>384290</v>
      </c>
      <c r="I86" s="35">
        <f>'дод. 4'!I26</f>
        <v>0</v>
      </c>
      <c r="J86" s="35">
        <f t="shared" si="22"/>
        <v>817714</v>
      </c>
      <c r="K86" s="35">
        <f>'дод. 4'!K26</f>
        <v>317714</v>
      </c>
      <c r="L86" s="35">
        <f>'дод. 4'!L26</f>
        <v>144491</v>
      </c>
      <c r="M86" s="35">
        <f>'дод. 4'!M26</f>
        <v>97628</v>
      </c>
      <c r="N86" s="35">
        <f>'дод. 4'!N26</f>
        <v>500000</v>
      </c>
      <c r="O86" s="35">
        <f>'дод. 4'!O26</f>
        <v>500000</v>
      </c>
      <c r="P86" s="35">
        <f t="shared" si="23"/>
        <v>2505053</v>
      </c>
      <c r="Q86" s="77"/>
    </row>
    <row r="87" spans="1:17" s="25" customFormat="1" ht="75">
      <c r="A87" s="23"/>
      <c r="B87" s="26" t="s">
        <v>42</v>
      </c>
      <c r="C87" s="26" t="s">
        <v>142</v>
      </c>
      <c r="D87" s="27" t="s">
        <v>43</v>
      </c>
      <c r="E87" s="35">
        <f t="shared" si="21"/>
        <v>4086218</v>
      </c>
      <c r="F87" s="35">
        <f>'дод. 4'!F27</f>
        <v>4086218</v>
      </c>
      <c r="G87" s="35">
        <f>'дод. 4'!G27</f>
        <v>0</v>
      </c>
      <c r="H87" s="35">
        <f>'дод. 4'!H27</f>
        <v>0</v>
      </c>
      <c r="I87" s="35">
        <f>'дод. 4'!I27</f>
        <v>0</v>
      </c>
      <c r="J87" s="35">
        <f t="shared" si="22"/>
        <v>0</v>
      </c>
      <c r="K87" s="35">
        <f>'дод. 4'!K27</f>
        <v>0</v>
      </c>
      <c r="L87" s="35">
        <f>'дод. 4'!L27</f>
        <v>0</v>
      </c>
      <c r="M87" s="35">
        <f>'дод. 4'!M27</f>
        <v>0</v>
      </c>
      <c r="N87" s="35">
        <f>'дод. 4'!N27</f>
        <v>0</v>
      </c>
      <c r="O87" s="35">
        <f>'дод. 4'!O27</f>
        <v>0</v>
      </c>
      <c r="P87" s="35">
        <f t="shared" si="23"/>
        <v>4086218</v>
      </c>
      <c r="Q87" s="77"/>
    </row>
    <row r="88" spans="1:17" s="25" customFormat="1" ht="15">
      <c r="A88" s="23"/>
      <c r="B88" s="66" t="s">
        <v>232</v>
      </c>
      <c r="C88" s="67"/>
      <c r="D88" s="67" t="s">
        <v>233</v>
      </c>
      <c r="E88" s="70">
        <f>E89+E90</f>
        <v>564000</v>
      </c>
      <c r="F88" s="70">
        <f aca="true" t="shared" si="24" ref="F88:P88">F89+F90</f>
        <v>99000</v>
      </c>
      <c r="G88" s="70">
        <f t="shared" si="24"/>
        <v>0</v>
      </c>
      <c r="H88" s="70">
        <f t="shared" si="24"/>
        <v>0</v>
      </c>
      <c r="I88" s="70">
        <f t="shared" si="24"/>
        <v>465000</v>
      </c>
      <c r="J88" s="70">
        <f t="shared" si="24"/>
        <v>91999041.94</v>
      </c>
      <c r="K88" s="70">
        <f t="shared" si="24"/>
        <v>0</v>
      </c>
      <c r="L88" s="70">
        <f t="shared" si="24"/>
        <v>0</v>
      </c>
      <c r="M88" s="70">
        <f t="shared" si="24"/>
        <v>0</v>
      </c>
      <c r="N88" s="70">
        <f t="shared" si="24"/>
        <v>91999041.94</v>
      </c>
      <c r="O88" s="70">
        <f t="shared" si="24"/>
        <v>91999041.94</v>
      </c>
      <c r="P88" s="70">
        <f t="shared" si="24"/>
        <v>92563041.94</v>
      </c>
      <c r="Q88" s="77"/>
    </row>
    <row r="89" spans="1:17" s="25" customFormat="1" ht="15">
      <c r="A89" s="23"/>
      <c r="B89" s="26" t="s">
        <v>129</v>
      </c>
      <c r="C89" s="26" t="s">
        <v>145</v>
      </c>
      <c r="D89" s="27" t="s">
        <v>130</v>
      </c>
      <c r="E89" s="35">
        <f>F89+I89</f>
        <v>0</v>
      </c>
      <c r="F89" s="35">
        <f>'дод. 4'!F133</f>
        <v>0</v>
      </c>
      <c r="G89" s="35">
        <f>'дод. 4'!G133</f>
        <v>0</v>
      </c>
      <c r="H89" s="35">
        <f>'дод. 4'!H133</f>
        <v>0</v>
      </c>
      <c r="I89" s="35">
        <f>'дод. 4'!I133</f>
        <v>0</v>
      </c>
      <c r="J89" s="35">
        <f>K89+N89</f>
        <v>91999041.94</v>
      </c>
      <c r="K89" s="35">
        <f>'дод. 4'!K133</f>
        <v>0</v>
      </c>
      <c r="L89" s="35">
        <f>'дод. 4'!L133</f>
        <v>0</v>
      </c>
      <c r="M89" s="35">
        <f>'дод. 4'!M133</f>
        <v>0</v>
      </c>
      <c r="N89" s="35">
        <f>'дод. 4'!N133</f>
        <v>91999041.94</v>
      </c>
      <c r="O89" s="35">
        <f>'дод. 4'!O133</f>
        <v>91999041.94</v>
      </c>
      <c r="P89" s="35">
        <f>E89+J89</f>
        <v>91999041.94</v>
      </c>
      <c r="Q89" s="77"/>
    </row>
    <row r="90" spans="1:17" s="25" customFormat="1" ht="30">
      <c r="A90" s="23"/>
      <c r="B90" s="26" t="s">
        <v>196</v>
      </c>
      <c r="C90" s="26" t="s">
        <v>198</v>
      </c>
      <c r="D90" s="27" t="s">
        <v>197</v>
      </c>
      <c r="E90" s="35">
        <f>F90+I90</f>
        <v>564000</v>
      </c>
      <c r="F90" s="35">
        <f>'дод. 4'!F113+'дод. 4'!F28</f>
        <v>99000</v>
      </c>
      <c r="G90" s="35">
        <f>'дод. 4'!G113+'дод. 4'!G28</f>
        <v>0</v>
      </c>
      <c r="H90" s="35">
        <f>'дод. 4'!H113+'дод. 4'!H28</f>
        <v>0</v>
      </c>
      <c r="I90" s="35">
        <f>'дод. 4'!I113+'дод. 4'!I28</f>
        <v>465000</v>
      </c>
      <c r="J90" s="35">
        <f>K90+N90</f>
        <v>0</v>
      </c>
      <c r="K90" s="35">
        <f>'дод. 4'!K113+'дод. 4'!K28</f>
        <v>0</v>
      </c>
      <c r="L90" s="35">
        <f>'дод. 4'!L113+'дод. 4'!L28</f>
        <v>0</v>
      </c>
      <c r="M90" s="35">
        <f>'дод. 4'!M113+'дод. 4'!M28</f>
        <v>0</v>
      </c>
      <c r="N90" s="35">
        <f>'дод. 4'!N113+'дод. 4'!N28</f>
        <v>0</v>
      </c>
      <c r="O90" s="35">
        <f>'дод. 4'!O113+'дод. 4'!O28</f>
        <v>0</v>
      </c>
      <c r="P90" s="35">
        <f>E90+J90</f>
        <v>564000</v>
      </c>
      <c r="Q90" s="77"/>
    </row>
    <row r="91" spans="1:17" s="25" customFormat="1" ht="28.5">
      <c r="A91" s="23"/>
      <c r="B91" s="66" t="s">
        <v>234</v>
      </c>
      <c r="C91" s="67"/>
      <c r="D91" s="67" t="s">
        <v>235</v>
      </c>
      <c r="E91" s="70">
        <f>E92</f>
        <v>190500</v>
      </c>
      <c r="F91" s="70">
        <f aca="true" t="shared" si="25" ref="F91:P91">F92</f>
        <v>190500</v>
      </c>
      <c r="G91" s="70">
        <f t="shared" si="25"/>
        <v>0</v>
      </c>
      <c r="H91" s="70">
        <f t="shared" si="25"/>
        <v>0</v>
      </c>
      <c r="I91" s="70">
        <f t="shared" si="25"/>
        <v>0</v>
      </c>
      <c r="J91" s="70">
        <f t="shared" si="25"/>
        <v>148000</v>
      </c>
      <c r="K91" s="70">
        <f t="shared" si="25"/>
        <v>0</v>
      </c>
      <c r="L91" s="70">
        <f t="shared" si="25"/>
        <v>0</v>
      </c>
      <c r="M91" s="70">
        <f t="shared" si="25"/>
        <v>0</v>
      </c>
      <c r="N91" s="70">
        <f t="shared" si="25"/>
        <v>148000</v>
      </c>
      <c r="O91" s="70">
        <f t="shared" si="25"/>
        <v>148000</v>
      </c>
      <c r="P91" s="70">
        <f t="shared" si="25"/>
        <v>338500</v>
      </c>
      <c r="Q91" s="77"/>
    </row>
    <row r="92" spans="1:17" s="25" customFormat="1" ht="15">
      <c r="A92" s="23"/>
      <c r="B92" s="26" t="s">
        <v>123</v>
      </c>
      <c r="C92" s="26" t="s">
        <v>175</v>
      </c>
      <c r="D92" s="27" t="s">
        <v>124</v>
      </c>
      <c r="E92" s="35">
        <f>F92+I92</f>
        <v>190500</v>
      </c>
      <c r="F92" s="35">
        <f>'дод. 4'!F127+'дод. 4'!F140+'дод. 4'!F114</f>
        <v>190500</v>
      </c>
      <c r="G92" s="35">
        <f>'дод. 4'!G127+'дод. 4'!G140+'дод. 4'!G114</f>
        <v>0</v>
      </c>
      <c r="H92" s="35">
        <f>'дод. 4'!H127+'дод. 4'!H140+'дод. 4'!H114</f>
        <v>0</v>
      </c>
      <c r="I92" s="35">
        <f>'дод. 4'!I127+'дод. 4'!I140+'дод. 4'!I114</f>
        <v>0</v>
      </c>
      <c r="J92" s="35">
        <f>K92+N92</f>
        <v>148000</v>
      </c>
      <c r="K92" s="35">
        <f>'дод. 4'!K127+'дод. 4'!K140+'дод. 4'!K114</f>
        <v>0</v>
      </c>
      <c r="L92" s="35">
        <f>'дод. 4'!L127+'дод. 4'!L140+'дод. 4'!L114</f>
        <v>0</v>
      </c>
      <c r="M92" s="35">
        <f>'дод. 4'!M127+'дод. 4'!M140+'дод. 4'!M114</f>
        <v>0</v>
      </c>
      <c r="N92" s="35">
        <f>'дод. 4'!N127+'дод. 4'!N140+'дод. 4'!N114</f>
        <v>148000</v>
      </c>
      <c r="O92" s="35">
        <f>'дод. 4'!O127+'дод. 4'!O140+'дод. 4'!O114</f>
        <v>148000</v>
      </c>
      <c r="P92" s="35">
        <f>E92+J92</f>
        <v>338500</v>
      </c>
      <c r="Q92" s="77"/>
    </row>
    <row r="93" spans="1:18" s="25" customFormat="1" ht="42.75">
      <c r="A93" s="23"/>
      <c r="B93" s="66" t="s">
        <v>236</v>
      </c>
      <c r="C93" s="67"/>
      <c r="D93" s="67" t="s">
        <v>237</v>
      </c>
      <c r="E93" s="70">
        <f>E94+E95+E96+E97</f>
        <v>7412100</v>
      </c>
      <c r="F93" s="70">
        <f aca="true" t="shared" si="26" ref="F93:P93">F94+F95+F96+F97</f>
        <v>162500</v>
      </c>
      <c r="G93" s="70">
        <f t="shared" si="26"/>
        <v>0</v>
      </c>
      <c r="H93" s="70">
        <f t="shared" si="26"/>
        <v>0</v>
      </c>
      <c r="I93" s="70">
        <f t="shared" si="26"/>
        <v>7249600</v>
      </c>
      <c r="J93" s="70">
        <f t="shared" si="26"/>
        <v>0</v>
      </c>
      <c r="K93" s="70">
        <f t="shared" si="26"/>
        <v>0</v>
      </c>
      <c r="L93" s="70">
        <f t="shared" si="26"/>
        <v>0</v>
      </c>
      <c r="M93" s="70">
        <f t="shared" si="26"/>
        <v>0</v>
      </c>
      <c r="N93" s="70">
        <f t="shared" si="26"/>
        <v>0</v>
      </c>
      <c r="O93" s="70">
        <f t="shared" si="26"/>
        <v>0</v>
      </c>
      <c r="P93" s="70">
        <f t="shared" si="26"/>
        <v>7412100</v>
      </c>
      <c r="Q93" s="77"/>
      <c r="R93" s="48"/>
    </row>
    <row r="94" spans="1:17" s="25" customFormat="1" ht="30">
      <c r="A94" s="23"/>
      <c r="B94" s="26" t="s">
        <v>200</v>
      </c>
      <c r="C94" s="26" t="s">
        <v>203</v>
      </c>
      <c r="D94" s="27" t="s">
        <v>202</v>
      </c>
      <c r="E94" s="35">
        <f>F94+I94</f>
        <v>1642000</v>
      </c>
      <c r="F94" s="35">
        <f>'дод. 4'!F29</f>
        <v>0</v>
      </c>
      <c r="G94" s="35">
        <f>'дод. 4'!G29</f>
        <v>0</v>
      </c>
      <c r="H94" s="35">
        <f>'дод. 4'!H29</f>
        <v>0</v>
      </c>
      <c r="I94" s="35">
        <f>'дод. 4'!I29</f>
        <v>1642000</v>
      </c>
      <c r="J94" s="35">
        <f>K94+N94</f>
        <v>0</v>
      </c>
      <c r="K94" s="35">
        <f>'дод. 4'!K29</f>
        <v>0</v>
      </c>
      <c r="L94" s="35">
        <f>'дод. 4'!L29</f>
        <v>0</v>
      </c>
      <c r="M94" s="35">
        <f>'дод. 4'!M29</f>
        <v>0</v>
      </c>
      <c r="N94" s="35">
        <f>'дод. 4'!N29</f>
        <v>0</v>
      </c>
      <c r="O94" s="35">
        <f>'дод. 4'!O29</f>
        <v>0</v>
      </c>
      <c r="P94" s="35">
        <f>E94+J94</f>
        <v>1642000</v>
      </c>
      <c r="Q94" s="77"/>
    </row>
    <row r="95" spans="1:17" s="25" customFormat="1" ht="30">
      <c r="A95" s="23"/>
      <c r="B95" s="26" t="s">
        <v>201</v>
      </c>
      <c r="C95" s="26" t="s">
        <v>205</v>
      </c>
      <c r="D95" s="27" t="s">
        <v>204</v>
      </c>
      <c r="E95" s="35">
        <f>F95+I95</f>
        <v>3607600</v>
      </c>
      <c r="F95" s="35">
        <f>'дод. 4'!F30</f>
        <v>0</v>
      </c>
      <c r="G95" s="35">
        <f>'дод. 4'!G30</f>
        <v>0</v>
      </c>
      <c r="H95" s="35">
        <f>'дод. 4'!H30</f>
        <v>0</v>
      </c>
      <c r="I95" s="35">
        <f>'дод. 4'!I30</f>
        <v>3607600</v>
      </c>
      <c r="J95" s="35">
        <f>K95+N95</f>
        <v>0</v>
      </c>
      <c r="K95" s="35">
        <f>'дод. 4'!K30</f>
        <v>0</v>
      </c>
      <c r="L95" s="35">
        <f>'дод. 4'!L30</f>
        <v>0</v>
      </c>
      <c r="M95" s="35">
        <f>'дод. 4'!M30</f>
        <v>0</v>
      </c>
      <c r="N95" s="35">
        <f>'дод. 4'!N30</f>
        <v>0</v>
      </c>
      <c r="O95" s="35">
        <f>'дод. 4'!O30</f>
        <v>0</v>
      </c>
      <c r="P95" s="35">
        <f>E95+J95</f>
        <v>3607600</v>
      </c>
      <c r="Q95" s="77"/>
    </row>
    <row r="96" spans="1:17" s="25" customFormat="1" ht="45">
      <c r="A96" s="23"/>
      <c r="B96" s="26" t="s">
        <v>107</v>
      </c>
      <c r="C96" s="26" t="s">
        <v>165</v>
      </c>
      <c r="D96" s="27" t="s">
        <v>108</v>
      </c>
      <c r="E96" s="35">
        <f>F96+I96</f>
        <v>162500</v>
      </c>
      <c r="F96" s="35">
        <f>'дод. 4'!F31+'дод. 4'!F95</f>
        <v>162500</v>
      </c>
      <c r="G96" s="35">
        <f>'дод. 4'!G31+'дод. 4'!G95</f>
        <v>0</v>
      </c>
      <c r="H96" s="35">
        <f>'дод. 4'!H31+'дод. 4'!H95</f>
        <v>0</v>
      </c>
      <c r="I96" s="35">
        <f>'дод. 4'!I31+'дод. 4'!I95</f>
        <v>0</v>
      </c>
      <c r="J96" s="35">
        <f>K96+N96</f>
        <v>0</v>
      </c>
      <c r="K96" s="35">
        <f>'дод. 4'!K31+'дод. 4'!K95</f>
        <v>0</v>
      </c>
      <c r="L96" s="35">
        <f>'дод. 4'!L31+'дод. 4'!L95</f>
        <v>0</v>
      </c>
      <c r="M96" s="35">
        <f>'дод. 4'!M31+'дод. 4'!M95</f>
        <v>0</v>
      </c>
      <c r="N96" s="35">
        <f>'дод. 4'!N31+'дод. 4'!N95</f>
        <v>0</v>
      </c>
      <c r="O96" s="35">
        <f>'дод. 4'!O31+'дод. 4'!O95</f>
        <v>0</v>
      </c>
      <c r="P96" s="35">
        <f>E96+J96</f>
        <v>162500</v>
      </c>
      <c r="Q96" s="77"/>
    </row>
    <row r="97" spans="1:17" s="25" customFormat="1" ht="15">
      <c r="A97" s="23"/>
      <c r="B97" s="26" t="s">
        <v>44</v>
      </c>
      <c r="C97" s="26" t="s">
        <v>143</v>
      </c>
      <c r="D97" s="27" t="s">
        <v>45</v>
      </c>
      <c r="E97" s="35">
        <f>F97+I97</f>
        <v>2000000</v>
      </c>
      <c r="F97" s="35">
        <f>'дод. 4'!F32</f>
        <v>0</v>
      </c>
      <c r="G97" s="35">
        <f>'дод. 4'!G32</f>
        <v>0</v>
      </c>
      <c r="H97" s="35">
        <f>'дод. 4'!H32</f>
        <v>0</v>
      </c>
      <c r="I97" s="35">
        <f>'дод. 4'!I32</f>
        <v>2000000</v>
      </c>
      <c r="J97" s="35">
        <f>K97+N97</f>
        <v>0</v>
      </c>
      <c r="K97" s="35">
        <f>'дод. 4'!K32</f>
        <v>0</v>
      </c>
      <c r="L97" s="35">
        <f>'дод. 4'!L32</f>
        <v>0</v>
      </c>
      <c r="M97" s="35">
        <f>'дод. 4'!M32</f>
        <v>0</v>
      </c>
      <c r="N97" s="35">
        <f>'дод. 4'!N32</f>
        <v>0</v>
      </c>
      <c r="O97" s="35">
        <f>'дод. 4'!O32</f>
        <v>0</v>
      </c>
      <c r="P97" s="35">
        <f>E97+J97</f>
        <v>2000000</v>
      </c>
      <c r="Q97" s="77"/>
    </row>
    <row r="98" spans="1:17" s="25" customFormat="1" ht="28.5">
      <c r="A98" s="23"/>
      <c r="B98" s="66" t="s">
        <v>238</v>
      </c>
      <c r="C98" s="67"/>
      <c r="D98" s="67" t="s">
        <v>239</v>
      </c>
      <c r="E98" s="70">
        <f>E99+E100+E101+E102</f>
        <v>1452300</v>
      </c>
      <c r="F98" s="70">
        <f aca="true" t="shared" si="27" ref="F98:P98">F99+F100+F101+F102</f>
        <v>1452300</v>
      </c>
      <c r="G98" s="70">
        <f t="shared" si="27"/>
        <v>0</v>
      </c>
      <c r="H98" s="70">
        <f t="shared" si="27"/>
        <v>0</v>
      </c>
      <c r="I98" s="70">
        <f t="shared" si="27"/>
        <v>0</v>
      </c>
      <c r="J98" s="70">
        <f t="shared" si="27"/>
        <v>67663400</v>
      </c>
      <c r="K98" s="70">
        <f t="shared" si="27"/>
        <v>0</v>
      </c>
      <c r="L98" s="70">
        <f t="shared" si="27"/>
        <v>0</v>
      </c>
      <c r="M98" s="70">
        <f t="shared" si="27"/>
        <v>0</v>
      </c>
      <c r="N98" s="70">
        <f t="shared" si="27"/>
        <v>67663400</v>
      </c>
      <c r="O98" s="70">
        <f t="shared" si="27"/>
        <v>67663400</v>
      </c>
      <c r="P98" s="70">
        <f t="shared" si="27"/>
        <v>69115700</v>
      </c>
      <c r="Q98" s="77"/>
    </row>
    <row r="99" spans="1:17" s="25" customFormat="1" ht="15">
      <c r="A99" s="23"/>
      <c r="B99" s="26" t="s">
        <v>125</v>
      </c>
      <c r="C99" s="26" t="s">
        <v>176</v>
      </c>
      <c r="D99" s="27" t="s">
        <v>126</v>
      </c>
      <c r="E99" s="35">
        <f>F99+I99</f>
        <v>530000</v>
      </c>
      <c r="F99" s="35">
        <f>'дод. 4'!F115</f>
        <v>530000</v>
      </c>
      <c r="G99" s="35">
        <f>'дод. 4'!G115</f>
        <v>0</v>
      </c>
      <c r="H99" s="35">
        <f>'дод. 4'!H115</f>
        <v>0</v>
      </c>
      <c r="I99" s="35">
        <f>'дод. 4'!I115</f>
        <v>0</v>
      </c>
      <c r="J99" s="35">
        <f>K99+N99</f>
        <v>0</v>
      </c>
      <c r="K99" s="35">
        <f>'дод. 4'!K115</f>
        <v>0</v>
      </c>
      <c r="L99" s="35">
        <f>'дод. 4'!L115</f>
        <v>0</v>
      </c>
      <c r="M99" s="35">
        <f>'дод. 4'!M115</f>
        <v>0</v>
      </c>
      <c r="N99" s="35">
        <f>'дод. 4'!N115</f>
        <v>0</v>
      </c>
      <c r="O99" s="35">
        <f>'дод. 4'!O115</f>
        <v>0</v>
      </c>
      <c r="P99" s="35">
        <f>E99+J99</f>
        <v>530000</v>
      </c>
      <c r="Q99" s="77"/>
    </row>
    <row r="100" spans="1:17" s="25" customFormat="1" ht="30">
      <c r="A100" s="23"/>
      <c r="B100" s="26" t="s">
        <v>46</v>
      </c>
      <c r="C100" s="26" t="s">
        <v>144</v>
      </c>
      <c r="D100" s="27" t="s">
        <v>47</v>
      </c>
      <c r="E100" s="35">
        <f>F100+I100</f>
        <v>85000</v>
      </c>
      <c r="F100" s="35">
        <f>'дод. 4'!F33</f>
        <v>85000</v>
      </c>
      <c r="G100" s="35">
        <f>'дод. 4'!G33</f>
        <v>0</v>
      </c>
      <c r="H100" s="35">
        <f>'дод. 4'!H33</f>
        <v>0</v>
      </c>
      <c r="I100" s="35">
        <f>'дод. 4'!I33</f>
        <v>0</v>
      </c>
      <c r="J100" s="35">
        <f>K100+N100</f>
        <v>0</v>
      </c>
      <c r="K100" s="35">
        <f>'дод. 4'!K33</f>
        <v>0</v>
      </c>
      <c r="L100" s="35">
        <f>'дод. 4'!L33</f>
        <v>0</v>
      </c>
      <c r="M100" s="35">
        <f>'дод. 4'!M33</f>
        <v>0</v>
      </c>
      <c r="N100" s="35">
        <f>'дод. 4'!N33</f>
        <v>0</v>
      </c>
      <c r="O100" s="35">
        <f>'дод. 4'!O33</f>
        <v>0</v>
      </c>
      <c r="P100" s="35">
        <f>E100+J100</f>
        <v>85000</v>
      </c>
      <c r="Q100" s="77"/>
    </row>
    <row r="101" spans="1:17" s="25" customFormat="1" ht="60">
      <c r="A101" s="23"/>
      <c r="B101" s="26" t="s">
        <v>48</v>
      </c>
      <c r="C101" s="26" t="s">
        <v>145</v>
      </c>
      <c r="D101" s="27" t="s">
        <v>49</v>
      </c>
      <c r="E101" s="35">
        <f>F101+I101</f>
        <v>0</v>
      </c>
      <c r="F101" s="35">
        <f>'дод. 4'!F34+'дод. 4'!F116+'дод. 4'!F134</f>
        <v>0</v>
      </c>
      <c r="G101" s="35">
        <f>'дод. 4'!G34+'дод. 4'!G116+'дод. 4'!G134</f>
        <v>0</v>
      </c>
      <c r="H101" s="35">
        <f>'дод. 4'!H34+'дод. 4'!H116+'дод. 4'!H134</f>
        <v>0</v>
      </c>
      <c r="I101" s="35">
        <f>'дод. 4'!I34+'дод. 4'!I116+'дод. 4'!I134</f>
        <v>0</v>
      </c>
      <c r="J101" s="35">
        <f>K101+N101</f>
        <v>67663400</v>
      </c>
      <c r="K101" s="35">
        <f>'дод. 4'!K34+'дод. 4'!K116+'дод. 4'!K134</f>
        <v>0</v>
      </c>
      <c r="L101" s="35">
        <f>'дод. 4'!L34+'дод. 4'!L116+'дод. 4'!L134</f>
        <v>0</v>
      </c>
      <c r="M101" s="35">
        <f>'дод. 4'!M34+'дод. 4'!M116+'дод. 4'!M134</f>
        <v>0</v>
      </c>
      <c r="N101" s="35">
        <f>'дод. 4'!N34+'дод. 4'!N116+'дод. 4'!N134</f>
        <v>67663400</v>
      </c>
      <c r="O101" s="35">
        <f>'дод. 4'!O34+'дод. 4'!O116+'дод. 4'!O134</f>
        <v>67663400</v>
      </c>
      <c r="P101" s="35">
        <f>E101+J101</f>
        <v>67663400</v>
      </c>
      <c r="Q101" s="77"/>
    </row>
    <row r="102" spans="1:17" s="25" customFormat="1" ht="30">
      <c r="A102" s="23"/>
      <c r="B102" s="26" t="s">
        <v>50</v>
      </c>
      <c r="C102" s="26" t="s">
        <v>144</v>
      </c>
      <c r="D102" s="27" t="s">
        <v>51</v>
      </c>
      <c r="E102" s="35">
        <f>F102+I102</f>
        <v>837300</v>
      </c>
      <c r="F102" s="35">
        <f>'дод. 4'!F35</f>
        <v>837300</v>
      </c>
      <c r="G102" s="35">
        <f>'дод. 4'!G35</f>
        <v>0</v>
      </c>
      <c r="H102" s="35">
        <f>'дод. 4'!H35</f>
        <v>0</v>
      </c>
      <c r="I102" s="35">
        <f>'дод. 4'!I35</f>
        <v>0</v>
      </c>
      <c r="J102" s="35">
        <f>K102+N102</f>
        <v>0</v>
      </c>
      <c r="K102" s="35">
        <f>'дод. 4'!K35</f>
        <v>0</v>
      </c>
      <c r="L102" s="35">
        <f>'дод. 4'!L35</f>
        <v>0</v>
      </c>
      <c r="M102" s="35">
        <f>'дод. 4'!M35</f>
        <v>0</v>
      </c>
      <c r="N102" s="35">
        <f>'дод. 4'!N35</f>
        <v>0</v>
      </c>
      <c r="O102" s="35">
        <f>'дод. 4'!O35</f>
        <v>0</v>
      </c>
      <c r="P102" s="35">
        <f>E102+J102</f>
        <v>837300</v>
      </c>
      <c r="Q102" s="77"/>
    </row>
    <row r="103" spans="1:17" s="25" customFormat="1" ht="28.5">
      <c r="A103" s="23"/>
      <c r="B103" s="68" t="s">
        <v>247</v>
      </c>
      <c r="C103" s="68"/>
      <c r="D103" s="67" t="s">
        <v>248</v>
      </c>
      <c r="E103" s="70">
        <f>E104</f>
        <v>158800</v>
      </c>
      <c r="F103" s="70">
        <f aca="true" t="shared" si="28" ref="F103:P103">F104</f>
        <v>158800</v>
      </c>
      <c r="G103" s="70">
        <f t="shared" si="28"/>
        <v>0</v>
      </c>
      <c r="H103" s="70">
        <f t="shared" si="28"/>
        <v>0</v>
      </c>
      <c r="I103" s="70">
        <f t="shared" si="28"/>
        <v>0</v>
      </c>
      <c r="J103" s="70">
        <f t="shared" si="28"/>
        <v>0</v>
      </c>
      <c r="K103" s="70">
        <f t="shared" si="28"/>
        <v>0</v>
      </c>
      <c r="L103" s="70">
        <f t="shared" si="28"/>
        <v>0</v>
      </c>
      <c r="M103" s="70">
        <f t="shared" si="28"/>
        <v>0</v>
      </c>
      <c r="N103" s="70">
        <f t="shared" si="28"/>
        <v>0</v>
      </c>
      <c r="O103" s="70">
        <f t="shared" si="28"/>
        <v>0</v>
      </c>
      <c r="P103" s="70">
        <f t="shared" si="28"/>
        <v>158800</v>
      </c>
      <c r="Q103" s="77"/>
    </row>
    <row r="104" spans="1:17" s="25" customFormat="1" ht="30">
      <c r="A104" s="23"/>
      <c r="B104" s="26" t="s">
        <v>199</v>
      </c>
      <c r="C104" s="26" t="s">
        <v>156</v>
      </c>
      <c r="D104" s="27" t="s">
        <v>81</v>
      </c>
      <c r="E104" s="35">
        <f>F104+I104</f>
        <v>158800</v>
      </c>
      <c r="F104" s="35">
        <f>'дод. 4'!F117</f>
        <v>158800</v>
      </c>
      <c r="G104" s="35">
        <f>'дод. 4'!G117</f>
        <v>0</v>
      </c>
      <c r="H104" s="35">
        <f>'дод. 4'!H117</f>
        <v>0</v>
      </c>
      <c r="I104" s="35">
        <f>'дод. 4'!I117</f>
        <v>0</v>
      </c>
      <c r="J104" s="35">
        <f>K104+N104</f>
        <v>0</v>
      </c>
      <c r="K104" s="35">
        <f>'дод. 4'!K117</f>
        <v>0</v>
      </c>
      <c r="L104" s="35">
        <f>'дод. 4'!L117</f>
        <v>0</v>
      </c>
      <c r="M104" s="35">
        <f>'дод. 4'!M117</f>
        <v>0</v>
      </c>
      <c r="N104" s="35">
        <f>'дод. 4'!N117</f>
        <v>0</v>
      </c>
      <c r="O104" s="35">
        <f>'дод. 4'!O117</f>
        <v>0</v>
      </c>
      <c r="P104" s="35">
        <f>E104+J104</f>
        <v>158800</v>
      </c>
      <c r="Q104" s="75" t="s">
        <v>285</v>
      </c>
    </row>
    <row r="105" spans="1:17" s="25" customFormat="1" ht="42.75">
      <c r="A105" s="23"/>
      <c r="B105" s="66" t="s">
        <v>240</v>
      </c>
      <c r="C105" s="67"/>
      <c r="D105" s="67" t="s">
        <v>241</v>
      </c>
      <c r="E105" s="70">
        <f>E106+E107</f>
        <v>1029826</v>
      </c>
      <c r="F105" s="70">
        <f aca="true" t="shared" si="29" ref="F105:P105">F106+F107</f>
        <v>1029826</v>
      </c>
      <c r="G105" s="70">
        <f t="shared" si="29"/>
        <v>638100</v>
      </c>
      <c r="H105" s="70">
        <f t="shared" si="29"/>
        <v>50677</v>
      </c>
      <c r="I105" s="70">
        <f t="shared" si="29"/>
        <v>0</v>
      </c>
      <c r="J105" s="70">
        <f t="shared" si="29"/>
        <v>348574</v>
      </c>
      <c r="K105" s="70">
        <f t="shared" si="29"/>
        <v>4700</v>
      </c>
      <c r="L105" s="70">
        <f t="shared" si="29"/>
        <v>0</v>
      </c>
      <c r="M105" s="70">
        <f t="shared" si="29"/>
        <v>720</v>
      </c>
      <c r="N105" s="70">
        <f t="shared" si="29"/>
        <v>343874</v>
      </c>
      <c r="O105" s="70">
        <f t="shared" si="29"/>
        <v>343874</v>
      </c>
      <c r="P105" s="70">
        <f t="shared" si="29"/>
        <v>1378400</v>
      </c>
      <c r="Q105" s="75"/>
    </row>
    <row r="106" spans="1:17" s="25" customFormat="1" ht="45">
      <c r="A106" s="23"/>
      <c r="B106" s="26" t="s">
        <v>52</v>
      </c>
      <c r="C106" s="26" t="s">
        <v>146</v>
      </c>
      <c r="D106" s="27" t="s">
        <v>53</v>
      </c>
      <c r="E106" s="35">
        <f>F106+I106</f>
        <v>162726</v>
      </c>
      <c r="F106" s="35">
        <f>'дод. 4'!F36</f>
        <v>162726</v>
      </c>
      <c r="G106" s="35">
        <f>'дод. 4'!G36</f>
        <v>0</v>
      </c>
      <c r="H106" s="35">
        <f>'дод. 4'!H36</f>
        <v>4300</v>
      </c>
      <c r="I106" s="35">
        <f>'дод. 4'!I36</f>
        <v>0</v>
      </c>
      <c r="J106" s="35">
        <f>K106+N106</f>
        <v>343874</v>
      </c>
      <c r="K106" s="35">
        <f>'дод. 4'!K36</f>
        <v>0</v>
      </c>
      <c r="L106" s="35">
        <f>'дод. 4'!L36</f>
        <v>0</v>
      </c>
      <c r="M106" s="35">
        <f>'дод. 4'!M36</f>
        <v>0</v>
      </c>
      <c r="N106" s="35">
        <f>'дод. 4'!N36</f>
        <v>343874</v>
      </c>
      <c r="O106" s="35">
        <f>'дод. 4'!O36</f>
        <v>343874</v>
      </c>
      <c r="P106" s="35">
        <f>E106+J106</f>
        <v>506600</v>
      </c>
      <c r="Q106" s="75"/>
    </row>
    <row r="107" spans="1:17" s="25" customFormat="1" ht="15">
      <c r="A107" s="23"/>
      <c r="B107" s="29" t="s">
        <v>54</v>
      </c>
      <c r="C107" s="29" t="s">
        <v>147</v>
      </c>
      <c r="D107" s="27" t="s">
        <v>55</v>
      </c>
      <c r="E107" s="35">
        <f>F107+I107</f>
        <v>867100</v>
      </c>
      <c r="F107" s="35">
        <f>'дод. 4'!F37</f>
        <v>867100</v>
      </c>
      <c r="G107" s="35">
        <f>'дод. 4'!G37</f>
        <v>638100</v>
      </c>
      <c r="H107" s="35">
        <f>'дод. 4'!H37</f>
        <v>46377</v>
      </c>
      <c r="I107" s="35">
        <f>'дод. 4'!I37</f>
        <v>0</v>
      </c>
      <c r="J107" s="35">
        <f>K107+N107</f>
        <v>4700</v>
      </c>
      <c r="K107" s="35">
        <f>'дод. 4'!K37</f>
        <v>4700</v>
      </c>
      <c r="L107" s="35">
        <f>'дод. 4'!L37</f>
        <v>0</v>
      </c>
      <c r="M107" s="35">
        <f>'дод. 4'!M37</f>
        <v>720</v>
      </c>
      <c r="N107" s="35">
        <f>'дод. 4'!N37</f>
        <v>0</v>
      </c>
      <c r="O107" s="35">
        <f>'дод. 4'!O37</f>
        <v>0</v>
      </c>
      <c r="P107" s="35">
        <f>E107+J107</f>
        <v>871800</v>
      </c>
      <c r="Q107" s="75"/>
    </row>
    <row r="108" spans="1:17" s="25" customFormat="1" ht="15">
      <c r="A108" s="23"/>
      <c r="B108" s="68" t="s">
        <v>206</v>
      </c>
      <c r="C108" s="68"/>
      <c r="D108" s="67" t="s">
        <v>207</v>
      </c>
      <c r="E108" s="70">
        <f>E109</f>
        <v>198694.54</v>
      </c>
      <c r="F108" s="70">
        <f aca="true" t="shared" si="30" ref="F108:P108">F109</f>
        <v>198694.54</v>
      </c>
      <c r="G108" s="70">
        <f t="shared" si="30"/>
        <v>0</v>
      </c>
      <c r="H108" s="70">
        <f t="shared" si="30"/>
        <v>0</v>
      </c>
      <c r="I108" s="70">
        <f t="shared" si="30"/>
        <v>0</v>
      </c>
      <c r="J108" s="70">
        <f t="shared" si="30"/>
        <v>0</v>
      </c>
      <c r="K108" s="70">
        <f t="shared" si="30"/>
        <v>0</v>
      </c>
      <c r="L108" s="70">
        <f t="shared" si="30"/>
        <v>0</v>
      </c>
      <c r="M108" s="70">
        <f t="shared" si="30"/>
        <v>0</v>
      </c>
      <c r="N108" s="70">
        <f t="shared" si="30"/>
        <v>0</v>
      </c>
      <c r="O108" s="70">
        <f t="shared" si="30"/>
        <v>0</v>
      </c>
      <c r="P108" s="70">
        <f t="shared" si="30"/>
        <v>198694.54</v>
      </c>
      <c r="Q108" s="75"/>
    </row>
    <row r="109" spans="1:17" s="25" customFormat="1" ht="15">
      <c r="A109" s="23"/>
      <c r="B109" s="26" t="s">
        <v>206</v>
      </c>
      <c r="C109" s="26" t="s">
        <v>214</v>
      </c>
      <c r="D109" s="27" t="s">
        <v>207</v>
      </c>
      <c r="E109" s="35">
        <f>F109+I109</f>
        <v>198694.54</v>
      </c>
      <c r="F109" s="35">
        <f>'дод. 4'!F150</f>
        <v>198694.54</v>
      </c>
      <c r="G109" s="35">
        <f>'дод. 4'!G150</f>
        <v>0</v>
      </c>
      <c r="H109" s="35">
        <f>'дод. 4'!H150</f>
        <v>0</v>
      </c>
      <c r="I109" s="35">
        <f>'дод. 4'!I150</f>
        <v>0</v>
      </c>
      <c r="J109" s="35">
        <f>K109+N109</f>
        <v>0</v>
      </c>
      <c r="K109" s="35">
        <f>'дод. 4'!K150</f>
        <v>0</v>
      </c>
      <c r="L109" s="35">
        <f>'дод. 4'!L150</f>
        <v>0</v>
      </c>
      <c r="M109" s="35">
        <f>'дод. 4'!M150</f>
        <v>0</v>
      </c>
      <c r="N109" s="35">
        <f>'дод. 4'!N150</f>
        <v>0</v>
      </c>
      <c r="O109" s="35">
        <f>'дод. 4'!O150</f>
        <v>0</v>
      </c>
      <c r="P109" s="35">
        <f>E109+J109</f>
        <v>198694.54</v>
      </c>
      <c r="Q109" s="75"/>
    </row>
    <row r="110" spans="1:17" s="25" customFormat="1" ht="15">
      <c r="A110" s="23"/>
      <c r="B110" s="66" t="s">
        <v>242</v>
      </c>
      <c r="C110" s="67"/>
      <c r="D110" s="67" t="s">
        <v>243</v>
      </c>
      <c r="E110" s="70">
        <f>E111+E112+E113+E114+E115</f>
        <v>0</v>
      </c>
      <c r="F110" s="70">
        <f aca="true" t="shared" si="31" ref="F110:P110">F111+F112+F113+F114+F115</f>
        <v>0</v>
      </c>
      <c r="G110" s="70">
        <f t="shared" si="31"/>
        <v>0</v>
      </c>
      <c r="H110" s="70">
        <f t="shared" si="31"/>
        <v>0</v>
      </c>
      <c r="I110" s="70">
        <f t="shared" si="31"/>
        <v>0</v>
      </c>
      <c r="J110" s="70">
        <f t="shared" si="31"/>
        <v>3472943</v>
      </c>
      <c r="K110" s="70">
        <f t="shared" si="31"/>
        <v>1988743</v>
      </c>
      <c r="L110" s="70">
        <f t="shared" si="31"/>
        <v>0</v>
      </c>
      <c r="M110" s="70">
        <f t="shared" si="31"/>
        <v>0</v>
      </c>
      <c r="N110" s="70">
        <f t="shared" si="31"/>
        <v>1484200</v>
      </c>
      <c r="O110" s="70">
        <f t="shared" si="31"/>
        <v>0</v>
      </c>
      <c r="P110" s="70">
        <f t="shared" si="31"/>
        <v>3472943</v>
      </c>
      <c r="Q110" s="75"/>
    </row>
    <row r="111" spans="1:17" s="25" customFormat="1" ht="30">
      <c r="A111" s="23"/>
      <c r="B111" s="26" t="s">
        <v>127</v>
      </c>
      <c r="C111" s="26" t="s">
        <v>177</v>
      </c>
      <c r="D111" s="27" t="s">
        <v>128</v>
      </c>
      <c r="E111" s="35">
        <f>F111+I111</f>
        <v>0</v>
      </c>
      <c r="F111" s="35">
        <f>'дод. 4'!F118+'дод. 4'!F135</f>
        <v>0</v>
      </c>
      <c r="G111" s="35">
        <f>'дод. 4'!G118+'дод. 4'!G135</f>
        <v>0</v>
      </c>
      <c r="H111" s="35">
        <f>'дод. 4'!H118+'дод. 4'!H135</f>
        <v>0</v>
      </c>
      <c r="I111" s="35">
        <f>'дод. 4'!I118+'дод. 4'!I135</f>
        <v>0</v>
      </c>
      <c r="J111" s="35">
        <f>K111+N111</f>
        <v>1714200</v>
      </c>
      <c r="K111" s="35">
        <f>'дод. 4'!K118+'дод. 4'!K135</f>
        <v>350000</v>
      </c>
      <c r="L111" s="35">
        <f>'дод. 4'!L118+'дод. 4'!L135</f>
        <v>0</v>
      </c>
      <c r="M111" s="35">
        <f>'дод. 4'!M118+'дод. 4'!M135</f>
        <v>0</v>
      </c>
      <c r="N111" s="35">
        <f>'дод. 4'!N118+'дод. 4'!N135</f>
        <v>1364200</v>
      </c>
      <c r="O111" s="35">
        <f>'дод. 4'!O118+'дод. 4'!O135</f>
        <v>0</v>
      </c>
      <c r="P111" s="35">
        <f>E111+J111</f>
        <v>1714200</v>
      </c>
      <c r="Q111" s="75"/>
    </row>
    <row r="112" spans="1:17" s="25" customFormat="1" ht="15">
      <c r="A112" s="23"/>
      <c r="B112" s="26" t="s">
        <v>264</v>
      </c>
      <c r="C112" s="26" t="s">
        <v>265</v>
      </c>
      <c r="D112" s="27" t="s">
        <v>266</v>
      </c>
      <c r="E112" s="35">
        <f>F112+I112</f>
        <v>0</v>
      </c>
      <c r="F112" s="35">
        <f>'дод. 4'!F119</f>
        <v>0</v>
      </c>
      <c r="G112" s="35">
        <f>'дод. 4'!G119</f>
        <v>0</v>
      </c>
      <c r="H112" s="35">
        <f>'дод. 4'!H119</f>
        <v>0</v>
      </c>
      <c r="I112" s="35">
        <f>'дод. 4'!I119</f>
        <v>0</v>
      </c>
      <c r="J112" s="35">
        <f>K112+N112</f>
        <v>250000</v>
      </c>
      <c r="K112" s="35">
        <f>'дод. 4'!K119</f>
        <v>250000</v>
      </c>
      <c r="L112" s="35">
        <f>'дод. 4'!L119</f>
        <v>0</v>
      </c>
      <c r="M112" s="35">
        <f>'дод. 4'!M119</f>
        <v>0</v>
      </c>
      <c r="N112" s="35">
        <f>'дод. 4'!N119</f>
        <v>0</v>
      </c>
      <c r="O112" s="35">
        <f>'дод. 4'!O119</f>
        <v>0</v>
      </c>
      <c r="P112" s="35">
        <f>E112+J112</f>
        <v>250000</v>
      </c>
      <c r="Q112" s="75"/>
    </row>
    <row r="113" spans="1:17" s="25" customFormat="1" ht="30">
      <c r="A113" s="23"/>
      <c r="B113" s="26" t="s">
        <v>267</v>
      </c>
      <c r="C113" s="26" t="s">
        <v>148</v>
      </c>
      <c r="D113" s="27" t="s">
        <v>268</v>
      </c>
      <c r="E113" s="35">
        <f>F113+I113</f>
        <v>0</v>
      </c>
      <c r="F113" s="35">
        <f>'дод. 4'!F120+'дод. 4'!F60</f>
        <v>0</v>
      </c>
      <c r="G113" s="35">
        <f>'дод. 4'!G120+'дод. 4'!G60</f>
        <v>0</v>
      </c>
      <c r="H113" s="35">
        <f>'дод. 4'!H120+'дод. 4'!H60</f>
        <v>0</v>
      </c>
      <c r="I113" s="35">
        <f>'дод. 4'!I120+'дод. 4'!I60</f>
        <v>0</v>
      </c>
      <c r="J113" s="35">
        <f>K113+N113</f>
        <v>88000</v>
      </c>
      <c r="K113" s="35">
        <f>'дод. 4'!K120+'дод. 4'!K60</f>
        <v>58000</v>
      </c>
      <c r="L113" s="35">
        <f>'дод. 4'!L120+'дод. 4'!L60</f>
        <v>0</v>
      </c>
      <c r="M113" s="35">
        <f>'дод. 4'!M120+'дод. 4'!M60</f>
        <v>0</v>
      </c>
      <c r="N113" s="35">
        <f>'дод. 4'!N120+'дод. 4'!N60</f>
        <v>30000</v>
      </c>
      <c r="O113" s="35">
        <f>'дод. 4'!O120+'дод. 4'!O60</f>
        <v>0</v>
      </c>
      <c r="P113" s="35">
        <f>E113+J113</f>
        <v>88000</v>
      </c>
      <c r="Q113" s="75"/>
    </row>
    <row r="114" spans="1:17" s="25" customFormat="1" ht="15">
      <c r="A114" s="23"/>
      <c r="B114" s="26" t="s">
        <v>269</v>
      </c>
      <c r="C114" s="26" t="s">
        <v>156</v>
      </c>
      <c r="D114" s="27" t="s">
        <v>81</v>
      </c>
      <c r="E114" s="35">
        <f>F114+I114</f>
        <v>0</v>
      </c>
      <c r="F114" s="35">
        <f>'дод. 4'!F121+'дод. 4'!F61</f>
        <v>0</v>
      </c>
      <c r="G114" s="35">
        <f>'дод. 4'!G121+'дод. 4'!G61</f>
        <v>0</v>
      </c>
      <c r="H114" s="35">
        <f>'дод. 4'!H121+'дод. 4'!H61</f>
        <v>0</v>
      </c>
      <c r="I114" s="35">
        <f>'дод. 4'!I121+'дод. 4'!I61</f>
        <v>0</v>
      </c>
      <c r="J114" s="35">
        <f>K114+N114</f>
        <v>501200</v>
      </c>
      <c r="K114" s="35">
        <f>'дод. 4'!K121+'дод. 4'!K61</f>
        <v>411200</v>
      </c>
      <c r="L114" s="35">
        <f>'дод. 4'!L121+'дод. 4'!L61</f>
        <v>0</v>
      </c>
      <c r="M114" s="35">
        <f>'дод. 4'!M121+'дод. 4'!M61</f>
        <v>0</v>
      </c>
      <c r="N114" s="35">
        <f>'дод. 4'!N121+'дод. 4'!N61</f>
        <v>90000</v>
      </c>
      <c r="O114" s="35">
        <f>'дод. 4'!O121+'дод. 4'!O61</f>
        <v>0</v>
      </c>
      <c r="P114" s="35">
        <f>E114+J114</f>
        <v>501200</v>
      </c>
      <c r="Q114" s="75"/>
    </row>
    <row r="115" spans="1:17" s="25" customFormat="1" ht="60">
      <c r="A115" s="23"/>
      <c r="B115" s="26" t="s">
        <v>56</v>
      </c>
      <c r="C115" s="26" t="s">
        <v>149</v>
      </c>
      <c r="D115" s="27" t="s">
        <v>57</v>
      </c>
      <c r="E115" s="35">
        <f>F115+I115</f>
        <v>0</v>
      </c>
      <c r="F115" s="35">
        <f>'дод. 4'!F38+'дод. 4'!F122+'дод. 4'!F141</f>
        <v>0</v>
      </c>
      <c r="G115" s="35">
        <f>'дод. 4'!G38+'дод. 4'!G122+'дод. 4'!G141</f>
        <v>0</v>
      </c>
      <c r="H115" s="35">
        <f>'дод. 4'!H38+'дод. 4'!H122+'дод. 4'!H141</f>
        <v>0</v>
      </c>
      <c r="I115" s="35">
        <f>'дод. 4'!I38+'дод. 4'!I122+'дод. 4'!I141</f>
        <v>0</v>
      </c>
      <c r="J115" s="35">
        <f>K115+N115</f>
        <v>919543</v>
      </c>
      <c r="K115" s="35">
        <f>'дод. 4'!K38+'дод. 4'!K122+'дод. 4'!K141</f>
        <v>919543</v>
      </c>
      <c r="L115" s="35">
        <f>'дод. 4'!L38+'дод. 4'!L122+'дод. 4'!L141</f>
        <v>0</v>
      </c>
      <c r="M115" s="35">
        <f>'дод. 4'!M38+'дод. 4'!M122+'дод. 4'!M141</f>
        <v>0</v>
      </c>
      <c r="N115" s="35">
        <f>'дод. 4'!N38+'дод. 4'!N122+'дод. 4'!N141</f>
        <v>0</v>
      </c>
      <c r="O115" s="35">
        <f>'дод. 4'!O38+'дод. 4'!O122+'дод. 4'!O141</f>
        <v>0</v>
      </c>
      <c r="P115" s="35">
        <f>E115+J115</f>
        <v>919543</v>
      </c>
      <c r="Q115" s="75"/>
    </row>
    <row r="116" spans="1:17" s="25" customFormat="1" ht="28.5">
      <c r="A116" s="23"/>
      <c r="B116" s="66" t="s">
        <v>244</v>
      </c>
      <c r="C116" s="67"/>
      <c r="D116" s="67" t="s">
        <v>245</v>
      </c>
      <c r="E116" s="70">
        <f>E117+E118+E119</f>
        <v>16281005.46</v>
      </c>
      <c r="F116" s="70">
        <f aca="true" t="shared" si="32" ref="F116:P116">F117+F118+F119</f>
        <v>4953428</v>
      </c>
      <c r="G116" s="70">
        <f t="shared" si="32"/>
        <v>0</v>
      </c>
      <c r="H116" s="70">
        <f t="shared" si="32"/>
        <v>268820</v>
      </c>
      <c r="I116" s="70">
        <f t="shared" si="32"/>
        <v>0</v>
      </c>
      <c r="J116" s="70">
        <f t="shared" si="32"/>
        <v>144069</v>
      </c>
      <c r="K116" s="70">
        <f t="shared" si="32"/>
        <v>30069</v>
      </c>
      <c r="L116" s="70">
        <f t="shared" si="32"/>
        <v>0</v>
      </c>
      <c r="M116" s="70">
        <f t="shared" si="32"/>
        <v>0</v>
      </c>
      <c r="N116" s="70">
        <f t="shared" si="32"/>
        <v>114000</v>
      </c>
      <c r="O116" s="70">
        <f t="shared" si="32"/>
        <v>114000</v>
      </c>
      <c r="P116" s="70">
        <f t="shared" si="32"/>
        <v>16425074.46</v>
      </c>
      <c r="Q116" s="75"/>
    </row>
    <row r="117" spans="1:17" s="25" customFormat="1" ht="15">
      <c r="A117" s="23"/>
      <c r="B117" s="26" t="s">
        <v>133</v>
      </c>
      <c r="C117" s="26" t="s">
        <v>149</v>
      </c>
      <c r="D117" s="27" t="s">
        <v>134</v>
      </c>
      <c r="E117" s="35">
        <f>'дод. 4'!E152</f>
        <v>11327577.46</v>
      </c>
      <c r="F117" s="35">
        <f>'дод. 4'!F152</f>
        <v>0</v>
      </c>
      <c r="G117" s="35">
        <f>'дод. 4'!G152</f>
        <v>0</v>
      </c>
      <c r="H117" s="35">
        <f>'дод. 4'!H152</f>
        <v>0</v>
      </c>
      <c r="I117" s="35">
        <f>'дод. 4'!I152</f>
        <v>0</v>
      </c>
      <c r="J117" s="35">
        <f>K117+N117</f>
        <v>0</v>
      </c>
      <c r="K117" s="35">
        <f>'дод. 4'!K152</f>
        <v>0</v>
      </c>
      <c r="L117" s="35">
        <f>'дод. 4'!L152</f>
        <v>0</v>
      </c>
      <c r="M117" s="35">
        <f>'дод. 4'!M152</f>
        <v>0</v>
      </c>
      <c r="N117" s="35">
        <f>'дод. 4'!N152</f>
        <v>0</v>
      </c>
      <c r="O117" s="35">
        <f>'дод. 4'!O152</f>
        <v>0</v>
      </c>
      <c r="P117" s="35">
        <f>E117+J117</f>
        <v>11327577.46</v>
      </c>
      <c r="Q117" s="75"/>
    </row>
    <row r="118" spans="1:17" s="25" customFormat="1" ht="15">
      <c r="A118" s="23"/>
      <c r="B118" s="26" t="s">
        <v>58</v>
      </c>
      <c r="C118" s="26" t="s">
        <v>149</v>
      </c>
      <c r="D118" s="27" t="s">
        <v>26</v>
      </c>
      <c r="E118" s="35">
        <f>F118+I118</f>
        <v>4868523</v>
      </c>
      <c r="F118" s="35">
        <f>'дод. 4'!F39+'дод. 4'!F124+'дод. 4'!F128+'дод. 4'!F136+'дод. 4'!F142+'дод. 4'!F147</f>
        <v>4868523</v>
      </c>
      <c r="G118" s="35">
        <f>'дод. 4'!G39+'дод. 4'!G124+'дод. 4'!G128+'дод. 4'!G136+'дод. 4'!G142+'дод. 4'!G147</f>
        <v>0</v>
      </c>
      <c r="H118" s="35">
        <f>'дод. 4'!H39+'дод. 4'!H124+'дод. 4'!H128+'дод. 4'!H136+'дод. 4'!H142+'дод. 4'!H147</f>
        <v>268820</v>
      </c>
      <c r="I118" s="35">
        <f>'дод. 4'!I39+'дод. 4'!I124+'дод. 4'!I128+'дод. 4'!I136+'дод. 4'!I142+'дод. 4'!I147</f>
        <v>0</v>
      </c>
      <c r="J118" s="35">
        <f>K118+N118</f>
        <v>114000</v>
      </c>
      <c r="K118" s="35">
        <f>'дод. 4'!K39+'дод. 4'!K124+'дод. 4'!K128+'дод. 4'!K136+'дод. 4'!K142+'дод. 4'!K147</f>
        <v>0</v>
      </c>
      <c r="L118" s="35">
        <f>'дод. 4'!L39+'дод. 4'!L124+'дод. 4'!L128+'дод. 4'!L136+'дод. 4'!L142+'дод. 4'!L147</f>
        <v>0</v>
      </c>
      <c r="M118" s="35">
        <f>'дод. 4'!M39+'дод. 4'!M124+'дод. 4'!M128+'дод. 4'!M136+'дод. 4'!M142+'дод. 4'!M147</f>
        <v>0</v>
      </c>
      <c r="N118" s="35">
        <f>'дод. 4'!N39+'дод. 4'!N124+'дод. 4'!N128+'дод. 4'!N136+'дод. 4'!N142+'дод. 4'!N147</f>
        <v>114000</v>
      </c>
      <c r="O118" s="35">
        <f>'дод. 4'!O39+'дод. 4'!O124+'дод. 4'!O128+'дод. 4'!O136+'дод. 4'!O142+'дод. 4'!O147</f>
        <v>114000</v>
      </c>
      <c r="P118" s="35">
        <f>E118+J118</f>
        <v>4982523</v>
      </c>
      <c r="Q118" s="75"/>
    </row>
    <row r="119" spans="1:17" s="25" customFormat="1" ht="75">
      <c r="A119" s="23"/>
      <c r="B119" s="29" t="s">
        <v>131</v>
      </c>
      <c r="C119" s="29" t="s">
        <v>166</v>
      </c>
      <c r="D119" s="27" t="s">
        <v>132</v>
      </c>
      <c r="E119" s="35">
        <f>F119+I119</f>
        <v>84905</v>
      </c>
      <c r="F119" s="35">
        <f>'дод. 4'!F137</f>
        <v>84905</v>
      </c>
      <c r="G119" s="35">
        <f>'дод. 4'!G137</f>
        <v>0</v>
      </c>
      <c r="H119" s="35">
        <f>'дод. 4'!H137</f>
        <v>0</v>
      </c>
      <c r="I119" s="35">
        <f>'дод. 4'!I137</f>
        <v>0</v>
      </c>
      <c r="J119" s="35">
        <f>K119+N119</f>
        <v>30069</v>
      </c>
      <c r="K119" s="35">
        <f>'дод. 4'!K137</f>
        <v>30069</v>
      </c>
      <c r="L119" s="35">
        <f>'дод. 4'!L137</f>
        <v>0</v>
      </c>
      <c r="M119" s="35">
        <f>'дод. 4'!M137</f>
        <v>0</v>
      </c>
      <c r="N119" s="35">
        <f>'дод. 4'!N137</f>
        <v>0</v>
      </c>
      <c r="O119" s="35">
        <f>'дод. 4'!O137</f>
        <v>0</v>
      </c>
      <c r="P119" s="35">
        <f>E119+J119</f>
        <v>114974</v>
      </c>
      <c r="Q119" s="75"/>
    </row>
    <row r="120" spans="1:17" s="25" customFormat="1" ht="15">
      <c r="A120" s="23"/>
      <c r="B120" s="26"/>
      <c r="C120" s="26"/>
      <c r="D120" s="67" t="s">
        <v>2</v>
      </c>
      <c r="E120" s="70">
        <f aca="true" t="shared" si="33" ref="E120:P120">E11+E13+E30+E47+E67+E74+E79+E81+E88+E91+E93+E98+E103+E105+E108+E110+E116</f>
        <v>870708362</v>
      </c>
      <c r="F120" s="70">
        <f t="shared" si="33"/>
        <v>831775469.54</v>
      </c>
      <c r="G120" s="70">
        <f t="shared" si="33"/>
        <v>445012024</v>
      </c>
      <c r="H120" s="70">
        <f t="shared" si="33"/>
        <v>88766693</v>
      </c>
      <c r="I120" s="70">
        <f t="shared" si="33"/>
        <v>27605315</v>
      </c>
      <c r="J120" s="70">
        <f t="shared" si="33"/>
        <v>366945825.08</v>
      </c>
      <c r="K120" s="70">
        <f t="shared" si="33"/>
        <v>53995841</v>
      </c>
      <c r="L120" s="70">
        <f t="shared" si="33"/>
        <v>11345440</v>
      </c>
      <c r="M120" s="70">
        <f t="shared" si="33"/>
        <v>2148631</v>
      </c>
      <c r="N120" s="70">
        <f t="shared" si="33"/>
        <v>312949984.08</v>
      </c>
      <c r="O120" s="70">
        <f t="shared" si="33"/>
        <v>311055684.08</v>
      </c>
      <c r="P120" s="70">
        <f t="shared" si="33"/>
        <v>1237654187.08</v>
      </c>
      <c r="Q120" s="75"/>
    </row>
    <row r="121" spans="1:17" s="25" customFormat="1" ht="28.5">
      <c r="A121" s="23"/>
      <c r="B121" s="26"/>
      <c r="C121" s="26"/>
      <c r="D121" s="67" t="s">
        <v>215</v>
      </c>
      <c r="E121" s="70">
        <f>E14+E31</f>
        <v>370578000</v>
      </c>
      <c r="F121" s="70">
        <f aca="true" t="shared" si="34" ref="F121:P121">F14+F31</f>
        <v>370578000</v>
      </c>
      <c r="G121" s="70">
        <f t="shared" si="34"/>
        <v>252524683</v>
      </c>
      <c r="H121" s="70">
        <f t="shared" si="34"/>
        <v>39368515</v>
      </c>
      <c r="I121" s="70">
        <f t="shared" si="34"/>
        <v>0</v>
      </c>
      <c r="J121" s="70">
        <f t="shared" si="34"/>
        <v>0</v>
      </c>
      <c r="K121" s="70">
        <f t="shared" si="34"/>
        <v>0</v>
      </c>
      <c r="L121" s="70">
        <f t="shared" si="34"/>
        <v>0</v>
      </c>
      <c r="M121" s="70">
        <f t="shared" si="34"/>
        <v>0</v>
      </c>
      <c r="N121" s="70">
        <f t="shared" si="34"/>
        <v>0</v>
      </c>
      <c r="O121" s="70">
        <f t="shared" si="34"/>
        <v>0</v>
      </c>
      <c r="P121" s="70">
        <f t="shared" si="34"/>
        <v>370578000</v>
      </c>
      <c r="Q121" s="75"/>
    </row>
    <row r="122" spans="1:17" s="25" customFormat="1" ht="15">
      <c r="A122" s="23"/>
      <c r="B122" s="26"/>
      <c r="C122" s="26"/>
      <c r="D122" s="67" t="s">
        <v>246</v>
      </c>
      <c r="E122" s="70">
        <f>E123+E124+E125</f>
        <v>56962757</v>
      </c>
      <c r="F122" s="70">
        <f aca="true" t="shared" si="35" ref="F122:P122">F123+F124+F125</f>
        <v>56962757</v>
      </c>
      <c r="G122" s="70">
        <f t="shared" si="35"/>
        <v>0</v>
      </c>
      <c r="H122" s="70">
        <f t="shared" si="35"/>
        <v>0</v>
      </c>
      <c r="I122" s="70">
        <f t="shared" si="35"/>
        <v>0</v>
      </c>
      <c r="J122" s="70">
        <f t="shared" si="35"/>
        <v>1250500</v>
      </c>
      <c r="K122" s="70">
        <f t="shared" si="35"/>
        <v>0</v>
      </c>
      <c r="L122" s="70">
        <f t="shared" si="35"/>
        <v>0</v>
      </c>
      <c r="M122" s="70">
        <f t="shared" si="35"/>
        <v>0</v>
      </c>
      <c r="N122" s="70">
        <f t="shared" si="35"/>
        <v>1250500</v>
      </c>
      <c r="O122" s="70">
        <f t="shared" si="35"/>
        <v>1250500</v>
      </c>
      <c r="P122" s="70">
        <f t="shared" si="35"/>
        <v>58213257</v>
      </c>
      <c r="Q122" s="75"/>
    </row>
    <row r="123" spans="1:17" s="25" customFormat="1" ht="15">
      <c r="A123" s="23"/>
      <c r="B123" s="26" t="s">
        <v>185</v>
      </c>
      <c r="C123" s="26" t="s">
        <v>183</v>
      </c>
      <c r="D123" s="27" t="s">
        <v>186</v>
      </c>
      <c r="E123" s="35">
        <f>F123+I123</f>
        <v>56401300</v>
      </c>
      <c r="F123" s="35">
        <f>'дод. 4'!F153</f>
        <v>56401300</v>
      </c>
      <c r="G123" s="35">
        <f>'дод. 4'!G153</f>
        <v>0</v>
      </c>
      <c r="H123" s="35">
        <f>'дод. 4'!H153</f>
        <v>0</v>
      </c>
      <c r="I123" s="35">
        <f>'дод. 4'!I153</f>
        <v>0</v>
      </c>
      <c r="J123" s="35">
        <f>K123+N123</f>
        <v>0</v>
      </c>
      <c r="K123" s="35">
        <f>'дод. 4'!K153</f>
        <v>0</v>
      </c>
      <c r="L123" s="35">
        <f>'дод. 4'!L153</f>
        <v>0</v>
      </c>
      <c r="M123" s="35">
        <f>'дод. 4'!M153</f>
        <v>0</v>
      </c>
      <c r="N123" s="35">
        <f>'дод. 4'!N153</f>
        <v>0</v>
      </c>
      <c r="O123" s="35">
        <f>'дод. 4'!O153</f>
        <v>0</v>
      </c>
      <c r="P123" s="35">
        <f>E123+J123</f>
        <v>56401300</v>
      </c>
      <c r="Q123" s="75"/>
    </row>
    <row r="124" spans="1:17" s="25" customFormat="1" ht="15">
      <c r="A124" s="23"/>
      <c r="B124" s="26" t="s">
        <v>187</v>
      </c>
      <c r="C124" s="26" t="s">
        <v>183</v>
      </c>
      <c r="D124" s="27" t="s">
        <v>189</v>
      </c>
      <c r="E124" s="35">
        <f>F124+I124</f>
        <v>141957</v>
      </c>
      <c r="F124" s="35">
        <f>'дод. 4'!F154</f>
        <v>141957</v>
      </c>
      <c r="G124" s="35">
        <f>'дод. 4'!G154</f>
        <v>0</v>
      </c>
      <c r="H124" s="35">
        <f>'дод. 4'!H154</f>
        <v>0</v>
      </c>
      <c r="I124" s="35">
        <f>'дод. 4'!I154</f>
        <v>0</v>
      </c>
      <c r="J124" s="35">
        <f>K124+N124</f>
        <v>0</v>
      </c>
      <c r="K124" s="35">
        <f>'дод. 4'!K154</f>
        <v>0</v>
      </c>
      <c r="L124" s="35">
        <f>'дод. 4'!L154</f>
        <v>0</v>
      </c>
      <c r="M124" s="35">
        <f>'дод. 4'!M154</f>
        <v>0</v>
      </c>
      <c r="N124" s="35">
        <f>'дод. 4'!N154</f>
        <v>0</v>
      </c>
      <c r="O124" s="35">
        <f>'дод. 4'!O154</f>
        <v>0</v>
      </c>
      <c r="P124" s="35">
        <f>E124+J124</f>
        <v>141957</v>
      </c>
      <c r="Q124" s="75"/>
    </row>
    <row r="125" spans="1:17" s="25" customFormat="1" ht="15">
      <c r="A125" s="23"/>
      <c r="B125" s="26" t="s">
        <v>135</v>
      </c>
      <c r="C125" s="26" t="s">
        <v>183</v>
      </c>
      <c r="D125" s="34" t="s">
        <v>136</v>
      </c>
      <c r="E125" s="35">
        <f>F125+I125</f>
        <v>419500</v>
      </c>
      <c r="F125" s="35">
        <f>'дод. 4'!F155+'дод. 4'!F123</f>
        <v>419500</v>
      </c>
      <c r="G125" s="35">
        <f>'дод. 4'!G155+'дод. 4'!G123</f>
        <v>0</v>
      </c>
      <c r="H125" s="35">
        <f>'дод. 4'!H155+'дод. 4'!H123</f>
        <v>0</v>
      </c>
      <c r="I125" s="35">
        <f>'дод. 4'!I155+'дод. 4'!I123</f>
        <v>0</v>
      </c>
      <c r="J125" s="35">
        <f>K125+N125</f>
        <v>1250500</v>
      </c>
      <c r="K125" s="35">
        <f>'дод. 4'!K155+'дод. 4'!K123</f>
        <v>0</v>
      </c>
      <c r="L125" s="35">
        <f>'дод. 4'!L155+'дод. 4'!L123</f>
        <v>0</v>
      </c>
      <c r="M125" s="35">
        <f>'дод. 4'!M155+'дод. 4'!M123</f>
        <v>0</v>
      </c>
      <c r="N125" s="35">
        <f>'дод. 4'!N155+'дод. 4'!N123</f>
        <v>1250500</v>
      </c>
      <c r="O125" s="35">
        <f>'дод. 4'!O155+'дод. 4'!O123</f>
        <v>1250500</v>
      </c>
      <c r="P125" s="35">
        <f>E125+J125</f>
        <v>1670000</v>
      </c>
      <c r="Q125" s="75"/>
    </row>
    <row r="126" spans="1:17" s="25" customFormat="1" ht="15">
      <c r="A126" s="23"/>
      <c r="B126" s="30"/>
      <c r="C126" s="30"/>
      <c r="D126" s="31" t="s">
        <v>137</v>
      </c>
      <c r="E126" s="37">
        <f>E120+E122</f>
        <v>927671119</v>
      </c>
      <c r="F126" s="37">
        <f aca="true" t="shared" si="36" ref="F126:P126">F120+F122</f>
        <v>888738226.54</v>
      </c>
      <c r="G126" s="37">
        <f t="shared" si="36"/>
        <v>445012024</v>
      </c>
      <c r="H126" s="37">
        <f t="shared" si="36"/>
        <v>88766693</v>
      </c>
      <c r="I126" s="37">
        <f t="shared" si="36"/>
        <v>27605315</v>
      </c>
      <c r="J126" s="37">
        <f t="shared" si="36"/>
        <v>368196325.08</v>
      </c>
      <c r="K126" s="37">
        <f t="shared" si="36"/>
        <v>53995841</v>
      </c>
      <c r="L126" s="37">
        <f t="shared" si="36"/>
        <v>11345440</v>
      </c>
      <c r="M126" s="37">
        <f t="shared" si="36"/>
        <v>2148631</v>
      </c>
      <c r="N126" s="37">
        <f t="shared" si="36"/>
        <v>314200484.08</v>
      </c>
      <c r="O126" s="37">
        <f t="shared" si="36"/>
        <v>312306184.08</v>
      </c>
      <c r="P126" s="37">
        <f t="shared" si="36"/>
        <v>1295867444.08</v>
      </c>
      <c r="Q126" s="75"/>
    </row>
    <row r="127" spans="1:17" s="25" customFormat="1" ht="28.5">
      <c r="A127" s="23"/>
      <c r="B127" s="30"/>
      <c r="C127" s="30"/>
      <c r="D127" s="31" t="s">
        <v>215</v>
      </c>
      <c r="E127" s="37">
        <f>E121</f>
        <v>370578000</v>
      </c>
      <c r="F127" s="37">
        <f aca="true" t="shared" si="37" ref="F127:P127">F121</f>
        <v>370578000</v>
      </c>
      <c r="G127" s="37">
        <f t="shared" si="37"/>
        <v>252524683</v>
      </c>
      <c r="H127" s="37">
        <f t="shared" si="37"/>
        <v>39368515</v>
      </c>
      <c r="I127" s="37">
        <f t="shared" si="37"/>
        <v>0</v>
      </c>
      <c r="J127" s="37">
        <f t="shared" si="37"/>
        <v>0</v>
      </c>
      <c r="K127" s="37">
        <f t="shared" si="37"/>
        <v>0</v>
      </c>
      <c r="L127" s="37">
        <f t="shared" si="37"/>
        <v>0</v>
      </c>
      <c r="M127" s="37">
        <f t="shared" si="37"/>
        <v>0</v>
      </c>
      <c r="N127" s="37">
        <f t="shared" si="37"/>
        <v>0</v>
      </c>
      <c r="O127" s="37">
        <f t="shared" si="37"/>
        <v>0</v>
      </c>
      <c r="P127" s="37">
        <f t="shared" si="37"/>
        <v>370578000</v>
      </c>
      <c r="Q127" s="75"/>
    </row>
    <row r="128" spans="5:17" ht="15" customHeight="1"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75"/>
    </row>
    <row r="129" spans="5:17" ht="35.25" customHeight="1"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75"/>
    </row>
    <row r="130" spans="1:19" s="46" customFormat="1" ht="26.25">
      <c r="A130" s="43"/>
      <c r="B130" s="86" t="s">
        <v>278</v>
      </c>
      <c r="C130" s="86"/>
      <c r="D130" s="86"/>
      <c r="E130" s="86"/>
      <c r="F130" s="44"/>
      <c r="G130" s="44"/>
      <c r="H130" s="44"/>
      <c r="I130" s="44"/>
      <c r="J130" s="44"/>
      <c r="K130" s="44"/>
      <c r="L130" s="44"/>
      <c r="M130" s="85" t="s">
        <v>279</v>
      </c>
      <c r="N130" s="85"/>
      <c r="O130" s="85"/>
      <c r="P130" s="45"/>
      <c r="Q130" s="75"/>
      <c r="S130" s="59"/>
    </row>
    <row r="131" spans="1:19" s="10" customFormat="1" ht="39.75" customHeight="1">
      <c r="A131" s="8"/>
      <c r="B131" s="86"/>
      <c r="C131" s="86"/>
      <c r="D131" s="86"/>
      <c r="E131" s="86"/>
      <c r="F131" s="9"/>
      <c r="G131" s="9"/>
      <c r="H131" s="9"/>
      <c r="I131" s="9"/>
      <c r="J131" s="9"/>
      <c r="K131" s="9"/>
      <c r="L131" s="78"/>
      <c r="M131" s="78"/>
      <c r="N131" s="78"/>
      <c r="O131" s="78"/>
      <c r="P131" s="8"/>
      <c r="Q131" s="75"/>
      <c r="S131" s="60"/>
    </row>
    <row r="132" spans="1:19" s="10" customFormat="1" ht="23.25">
      <c r="A132" s="8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8"/>
      <c r="O132" s="8"/>
      <c r="P132" s="8"/>
      <c r="Q132" s="73" t="s">
        <v>286</v>
      </c>
      <c r="S132" s="60"/>
    </row>
    <row r="133" spans="1:20" s="56" customFormat="1" ht="26.25">
      <c r="A133" s="55"/>
      <c r="D133" s="57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73"/>
      <c r="R133" s="58"/>
      <c r="S133" s="59"/>
      <c r="T133" s="58"/>
    </row>
    <row r="134" spans="1:19" s="7" customFormat="1" ht="26.25">
      <c r="A134" s="6"/>
      <c r="B134" s="1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73"/>
      <c r="S134" s="59"/>
    </row>
    <row r="135" ht="26.25">
      <c r="S135" s="59"/>
    </row>
    <row r="136" ht="26.25">
      <c r="S136" s="59"/>
    </row>
    <row r="137" ht="26.25">
      <c r="S137" s="59"/>
    </row>
  </sheetData>
  <sheetProtection/>
  <mergeCells count="30">
    <mergeCell ref="L3:P3"/>
    <mergeCell ref="N8:N10"/>
    <mergeCell ref="G8:H8"/>
    <mergeCell ref="D7:D10"/>
    <mergeCell ref="E8:E10"/>
    <mergeCell ref="K8:K10"/>
    <mergeCell ref="I8:I10"/>
    <mergeCell ref="O9:O10"/>
    <mergeCell ref="B130:E131"/>
    <mergeCell ref="L1:O1"/>
    <mergeCell ref="B5:P5"/>
    <mergeCell ref="B7:B10"/>
    <mergeCell ref="C7:C10"/>
    <mergeCell ref="J7:O7"/>
    <mergeCell ref="P7:P10"/>
    <mergeCell ref="L8:M8"/>
    <mergeCell ref="E7:I7"/>
    <mergeCell ref="H9:H10"/>
    <mergeCell ref="L131:O131"/>
    <mergeCell ref="J8:J10"/>
    <mergeCell ref="L9:L10"/>
    <mergeCell ref="F8:F10"/>
    <mergeCell ref="G9:G10"/>
    <mergeCell ref="M130:O130"/>
    <mergeCell ref="M9:M10"/>
    <mergeCell ref="Q104:Q131"/>
    <mergeCell ref="Q1:Q34"/>
    <mergeCell ref="Q35:Q58"/>
    <mergeCell ref="Q59:Q80"/>
    <mergeCell ref="Q81:Q103"/>
  </mergeCells>
  <printOptions horizontalCentered="1"/>
  <pageMargins left="0.1968503937007874" right="0.1968503937007874" top="1.0236220472440944" bottom="0.4330708661417323" header="0.35433070866141736" footer="0.2362204724409449"/>
  <pageSetup fitToHeight="18" horizontalDpi="600" verticalDpi="600" orientation="landscape" paperSize="9" scale="55" r:id="rId1"/>
  <headerFooter alignWithMargins="0">
    <oddHeader>&amp;R&amp;16Продовження додатку 3</oddHeader>
  </headerFooter>
  <rowBreaks count="1" manualBreakCount="1">
    <brk id="80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77"/>
  <sheetViews>
    <sheetView showGridLines="0" showZeros="0" tabSelected="1" view="pageBreakPreview" zoomScale="40" zoomScaleNormal="70" zoomScaleSheetLayoutView="40" zoomScalePageLayoutView="0" workbookViewId="0" topLeftCell="B125">
      <selection activeCell="Q141" sqref="Q141:Q161"/>
    </sheetView>
  </sheetViews>
  <sheetFormatPr defaultColWidth="9.16015625" defaultRowHeight="12.75"/>
  <cols>
    <col min="1" max="1" width="3.83203125" style="13" hidden="1" customWidth="1"/>
    <col min="2" max="3" width="11.66015625" style="13" customWidth="1"/>
    <col min="4" max="4" width="46" style="13" customWidth="1"/>
    <col min="5" max="5" width="19.33203125" style="13" customWidth="1"/>
    <col min="6" max="6" width="19.5" style="13" customWidth="1"/>
    <col min="7" max="7" width="20" style="13" customWidth="1"/>
    <col min="8" max="8" width="16.83203125" style="13" customWidth="1"/>
    <col min="9" max="9" width="17" style="13" customWidth="1"/>
    <col min="10" max="11" width="18" style="13" customWidth="1"/>
    <col min="12" max="12" width="15.83203125" style="13" customWidth="1"/>
    <col min="13" max="13" width="13.66015625" style="13" customWidth="1"/>
    <col min="14" max="14" width="17.66015625" style="13" customWidth="1"/>
    <col min="15" max="15" width="19.16015625" style="13" customWidth="1"/>
    <col min="16" max="16" width="19.66015625" style="13" customWidth="1"/>
    <col min="17" max="17" width="7.83203125" style="73" customWidth="1"/>
    <col min="18" max="18" width="14.16015625" style="12" bestFit="1" customWidth="1"/>
    <col min="19" max="19" width="29.66015625" style="12" bestFit="1" customWidth="1"/>
    <col min="20" max="16384" width="9.16015625" style="12" customWidth="1"/>
  </cols>
  <sheetData>
    <row r="1" spans="1:17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7" t="s">
        <v>280</v>
      </c>
      <c r="M1" s="87"/>
      <c r="N1" s="87"/>
      <c r="O1" s="87"/>
      <c r="P1" s="42"/>
      <c r="Q1" s="76" t="s">
        <v>286</v>
      </c>
    </row>
    <row r="2" spans="1:17" ht="26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 t="s">
        <v>276</v>
      </c>
      <c r="M2" s="42"/>
      <c r="N2" s="42"/>
      <c r="O2" s="42"/>
      <c r="P2" s="42"/>
      <c r="Q2" s="76"/>
    </row>
    <row r="3" spans="1:17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92" t="s">
        <v>277</v>
      </c>
      <c r="M3" s="92"/>
      <c r="N3" s="92"/>
      <c r="O3" s="92"/>
      <c r="P3" s="92"/>
      <c r="Q3" s="76"/>
    </row>
    <row r="4" spans="1:17" ht="3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9"/>
      <c r="M4" s="49"/>
      <c r="N4" s="49"/>
      <c r="O4" s="49"/>
      <c r="P4" s="49"/>
      <c r="Q4" s="76"/>
    </row>
    <row r="5" spans="1:17" ht="45" customHeight="1">
      <c r="A5" s="15"/>
      <c r="B5" s="88" t="s">
        <v>250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76"/>
    </row>
    <row r="6" spans="2:17" ht="18.75">
      <c r="B6" s="36"/>
      <c r="C6" s="36"/>
      <c r="D6" s="36"/>
      <c r="E6" s="36"/>
      <c r="F6" s="36"/>
      <c r="G6" s="5"/>
      <c r="H6" s="2"/>
      <c r="I6" s="2"/>
      <c r="J6" s="3"/>
      <c r="K6" s="4"/>
      <c r="L6" s="4"/>
      <c r="M6" s="4"/>
      <c r="N6" s="4"/>
      <c r="O6" s="4"/>
      <c r="P6" s="41" t="s">
        <v>14</v>
      </c>
      <c r="Q6" s="76"/>
    </row>
    <row r="7" spans="1:17" s="19" customFormat="1" ht="21.75" customHeight="1">
      <c r="A7" s="17"/>
      <c r="B7" s="79" t="s">
        <v>13</v>
      </c>
      <c r="C7" s="79" t="s">
        <v>10</v>
      </c>
      <c r="D7" s="79" t="s">
        <v>188</v>
      </c>
      <c r="E7" s="89" t="s">
        <v>0</v>
      </c>
      <c r="F7" s="90"/>
      <c r="G7" s="90"/>
      <c r="H7" s="90"/>
      <c r="I7" s="91"/>
      <c r="J7" s="89" t="s">
        <v>1</v>
      </c>
      <c r="K7" s="90"/>
      <c r="L7" s="90"/>
      <c r="M7" s="90"/>
      <c r="N7" s="90"/>
      <c r="O7" s="91"/>
      <c r="P7" s="79" t="s">
        <v>2</v>
      </c>
      <c r="Q7" s="76"/>
    </row>
    <row r="8" spans="1:17" s="19" customFormat="1" ht="16.5" customHeight="1">
      <c r="A8" s="20"/>
      <c r="B8" s="80"/>
      <c r="C8" s="80"/>
      <c r="D8" s="80"/>
      <c r="E8" s="79" t="s">
        <v>3</v>
      </c>
      <c r="F8" s="82" t="s">
        <v>4</v>
      </c>
      <c r="G8" s="89" t="s">
        <v>5</v>
      </c>
      <c r="H8" s="91"/>
      <c r="I8" s="82" t="s">
        <v>6</v>
      </c>
      <c r="J8" s="79" t="s">
        <v>3</v>
      </c>
      <c r="K8" s="82" t="s">
        <v>4</v>
      </c>
      <c r="L8" s="89" t="s">
        <v>5</v>
      </c>
      <c r="M8" s="91"/>
      <c r="N8" s="82" t="s">
        <v>6</v>
      </c>
      <c r="O8" s="18" t="s">
        <v>5</v>
      </c>
      <c r="P8" s="80"/>
      <c r="Q8" s="76"/>
    </row>
    <row r="9" spans="1:17" s="19" customFormat="1" ht="20.25" customHeight="1">
      <c r="A9" s="21"/>
      <c r="B9" s="80"/>
      <c r="C9" s="80"/>
      <c r="D9" s="80"/>
      <c r="E9" s="80"/>
      <c r="F9" s="83"/>
      <c r="G9" s="79" t="s">
        <v>7</v>
      </c>
      <c r="H9" s="79" t="s">
        <v>8</v>
      </c>
      <c r="I9" s="83"/>
      <c r="J9" s="80"/>
      <c r="K9" s="83"/>
      <c r="L9" s="79" t="s">
        <v>7</v>
      </c>
      <c r="M9" s="79" t="s">
        <v>8</v>
      </c>
      <c r="N9" s="83"/>
      <c r="O9" s="79" t="s">
        <v>12</v>
      </c>
      <c r="P9" s="80"/>
      <c r="Q9" s="76"/>
    </row>
    <row r="10" spans="1:17" s="19" customFormat="1" ht="110.25" customHeight="1">
      <c r="A10" s="22"/>
      <c r="B10" s="81"/>
      <c r="C10" s="81"/>
      <c r="D10" s="81"/>
      <c r="E10" s="81"/>
      <c r="F10" s="84"/>
      <c r="G10" s="81"/>
      <c r="H10" s="81"/>
      <c r="I10" s="84"/>
      <c r="J10" s="81"/>
      <c r="K10" s="84"/>
      <c r="L10" s="81"/>
      <c r="M10" s="81"/>
      <c r="N10" s="84"/>
      <c r="O10" s="81"/>
      <c r="P10" s="81"/>
      <c r="Q10" s="76"/>
    </row>
    <row r="11" spans="1:17" s="25" customFormat="1" ht="28.5">
      <c r="A11" s="23"/>
      <c r="B11" s="52"/>
      <c r="C11" s="52"/>
      <c r="D11" s="24" t="s">
        <v>15</v>
      </c>
      <c r="E11" s="37">
        <f>E12+E13+E14+E15+E16+E17+E18+E19+E20+E21+E22+E23+E24+E25+E26+E27+E29+E30+E31+E32+E33+E34+E35+E36+E37+E38+E39+E28</f>
        <v>56856414</v>
      </c>
      <c r="F11" s="37">
        <f aca="true" t="shared" si="0" ref="F11:P11">F12+F13+F14+F15+F16+F17+F18+F19+F20+F21+F22+F23+F24+F25+F26+F27+F29+F30+F31+F32+F33+F34+F35+F36+F37+F38+F39+F28</f>
        <v>49606814</v>
      </c>
      <c r="G11" s="37">
        <f t="shared" si="0"/>
        <v>25015688</v>
      </c>
      <c r="H11" s="37">
        <f t="shared" si="0"/>
        <v>2907608</v>
      </c>
      <c r="I11" s="37">
        <f t="shared" si="0"/>
        <v>7249600</v>
      </c>
      <c r="J11" s="37">
        <f t="shared" si="0"/>
        <v>48779476</v>
      </c>
      <c r="K11" s="37">
        <f t="shared" si="0"/>
        <v>441957</v>
      </c>
      <c r="L11" s="37">
        <f t="shared" si="0"/>
        <v>144491</v>
      </c>
      <c r="M11" s="37">
        <f t="shared" si="0"/>
        <v>98348</v>
      </c>
      <c r="N11" s="37">
        <f t="shared" si="0"/>
        <v>48337519</v>
      </c>
      <c r="O11" s="37">
        <f t="shared" si="0"/>
        <v>48337519</v>
      </c>
      <c r="P11" s="37">
        <f t="shared" si="0"/>
        <v>105635890</v>
      </c>
      <c r="Q11" s="76"/>
    </row>
    <row r="12" spans="1:17" s="25" customFormat="1" ht="15">
      <c r="A12" s="23"/>
      <c r="B12" s="26" t="s">
        <v>11</v>
      </c>
      <c r="C12" s="26" t="s">
        <v>9</v>
      </c>
      <c r="D12" s="27" t="s">
        <v>16</v>
      </c>
      <c r="E12" s="35">
        <f>F12+I12</f>
        <v>27284910</v>
      </c>
      <c r="F12" s="35">
        <v>27284910</v>
      </c>
      <c r="G12" s="35">
        <f>16195850+1873700</f>
        <v>18069550</v>
      </c>
      <c r="H12" s="35">
        <v>1520550</v>
      </c>
      <c r="I12" s="35"/>
      <c r="J12" s="35">
        <f>K12+N12</f>
        <v>1100000</v>
      </c>
      <c r="K12" s="35"/>
      <c r="L12" s="35"/>
      <c r="M12" s="35"/>
      <c r="N12" s="35">
        <v>1100000</v>
      </c>
      <c r="O12" s="35">
        <v>1100000</v>
      </c>
      <c r="P12" s="35">
        <f>E12+J12</f>
        <v>28384910</v>
      </c>
      <c r="Q12" s="76"/>
    </row>
    <row r="13" spans="1:17" s="25" customFormat="1" ht="30">
      <c r="A13" s="23"/>
      <c r="B13" s="26" t="s">
        <v>17</v>
      </c>
      <c r="C13" s="26" t="s">
        <v>138</v>
      </c>
      <c r="D13" s="27" t="s">
        <v>18</v>
      </c>
      <c r="E13" s="35">
        <f aca="true" t="shared" si="1" ref="E13:E39">F13+I13</f>
        <v>143404</v>
      </c>
      <c r="F13" s="35">
        <v>143404</v>
      </c>
      <c r="G13" s="37"/>
      <c r="H13" s="37"/>
      <c r="I13" s="37"/>
      <c r="J13" s="35">
        <f aca="true" t="shared" si="2" ref="J13:J39">K13+N13</f>
        <v>0</v>
      </c>
      <c r="K13" s="37"/>
      <c r="L13" s="37"/>
      <c r="M13" s="37"/>
      <c r="N13" s="37"/>
      <c r="O13" s="37"/>
      <c r="P13" s="35">
        <f aca="true" t="shared" si="3" ref="P13:P39">E13+J13</f>
        <v>143404</v>
      </c>
      <c r="Q13" s="76"/>
    </row>
    <row r="14" spans="1:17" s="25" customFormat="1" ht="30">
      <c r="A14" s="23"/>
      <c r="B14" s="26" t="s">
        <v>19</v>
      </c>
      <c r="C14" s="26" t="s">
        <v>139</v>
      </c>
      <c r="D14" s="27" t="s">
        <v>20</v>
      </c>
      <c r="E14" s="35">
        <f t="shared" si="1"/>
        <v>687000</v>
      </c>
      <c r="F14" s="35">
        <f>847250-160250</f>
        <v>687000</v>
      </c>
      <c r="G14" s="35">
        <f>564500-71550</f>
        <v>492950</v>
      </c>
      <c r="H14" s="35">
        <v>55897</v>
      </c>
      <c r="I14" s="35"/>
      <c r="J14" s="35">
        <f t="shared" si="2"/>
        <v>0</v>
      </c>
      <c r="K14" s="35"/>
      <c r="L14" s="35"/>
      <c r="M14" s="35"/>
      <c r="N14" s="35"/>
      <c r="O14" s="35"/>
      <c r="P14" s="35">
        <f t="shared" si="3"/>
        <v>687000</v>
      </c>
      <c r="Q14" s="76"/>
    </row>
    <row r="15" spans="1:17" s="25" customFormat="1" ht="30">
      <c r="A15" s="23"/>
      <c r="B15" s="26" t="s">
        <v>21</v>
      </c>
      <c r="C15" s="26" t="s">
        <v>139</v>
      </c>
      <c r="D15" s="27" t="s">
        <v>22</v>
      </c>
      <c r="E15" s="35">
        <f t="shared" si="1"/>
        <v>40000</v>
      </c>
      <c r="F15" s="35">
        <v>40000</v>
      </c>
      <c r="G15" s="35"/>
      <c r="H15" s="35"/>
      <c r="I15" s="35"/>
      <c r="J15" s="35">
        <f t="shared" si="2"/>
        <v>0</v>
      </c>
      <c r="K15" s="35"/>
      <c r="L15" s="35"/>
      <c r="M15" s="35"/>
      <c r="N15" s="35"/>
      <c r="O15" s="35"/>
      <c r="P15" s="35">
        <f t="shared" si="3"/>
        <v>40000</v>
      </c>
      <c r="Q15" s="76"/>
    </row>
    <row r="16" spans="1:17" s="25" customFormat="1" ht="30">
      <c r="A16" s="23"/>
      <c r="B16" s="26" t="s">
        <v>23</v>
      </c>
      <c r="C16" s="26" t="s">
        <v>139</v>
      </c>
      <c r="D16" s="27" t="s">
        <v>24</v>
      </c>
      <c r="E16" s="35">
        <f t="shared" si="1"/>
        <v>605000</v>
      </c>
      <c r="F16" s="35">
        <f>105000+500000</f>
        <v>605000</v>
      </c>
      <c r="G16" s="35"/>
      <c r="H16" s="35"/>
      <c r="I16" s="35"/>
      <c r="J16" s="35">
        <f t="shared" si="2"/>
        <v>0</v>
      </c>
      <c r="K16" s="35"/>
      <c r="L16" s="35"/>
      <c r="M16" s="35"/>
      <c r="N16" s="35"/>
      <c r="O16" s="35"/>
      <c r="P16" s="35">
        <f t="shared" si="3"/>
        <v>605000</v>
      </c>
      <c r="Q16" s="76"/>
    </row>
    <row r="17" spans="1:17" s="25" customFormat="1" ht="15">
      <c r="A17" s="23"/>
      <c r="B17" s="26" t="s">
        <v>25</v>
      </c>
      <c r="C17" s="26" t="s">
        <v>139</v>
      </c>
      <c r="D17" s="27" t="s">
        <v>26</v>
      </c>
      <c r="E17" s="35">
        <f t="shared" si="1"/>
        <v>509900</v>
      </c>
      <c r="F17" s="35">
        <f>582100-72200</f>
        <v>509900</v>
      </c>
      <c r="G17" s="35">
        <f>354900-17600</f>
        <v>337300</v>
      </c>
      <c r="H17" s="35">
        <v>72433</v>
      </c>
      <c r="I17" s="35"/>
      <c r="J17" s="35">
        <f t="shared" si="2"/>
        <v>9645</v>
      </c>
      <c r="K17" s="35"/>
      <c r="L17" s="35"/>
      <c r="M17" s="35"/>
      <c r="N17" s="35">
        <v>9645</v>
      </c>
      <c r="O17" s="35">
        <v>9645</v>
      </c>
      <c r="P17" s="35">
        <f t="shared" si="3"/>
        <v>519545</v>
      </c>
      <c r="Q17" s="76"/>
    </row>
    <row r="18" spans="1:17" s="25" customFormat="1" ht="75">
      <c r="A18" s="23"/>
      <c r="B18" s="26" t="s">
        <v>27</v>
      </c>
      <c r="C18" s="26" t="s">
        <v>139</v>
      </c>
      <c r="D18" s="28" t="s">
        <v>28</v>
      </c>
      <c r="E18" s="35">
        <f t="shared" si="1"/>
        <v>189000</v>
      </c>
      <c r="F18" s="35">
        <v>189000</v>
      </c>
      <c r="G18" s="35"/>
      <c r="H18" s="35"/>
      <c r="I18" s="35"/>
      <c r="J18" s="35">
        <f t="shared" si="2"/>
        <v>0</v>
      </c>
      <c r="K18" s="35"/>
      <c r="L18" s="35"/>
      <c r="M18" s="35"/>
      <c r="N18" s="35"/>
      <c r="O18" s="35"/>
      <c r="P18" s="35">
        <f t="shared" si="3"/>
        <v>189000</v>
      </c>
      <c r="Q18" s="76"/>
    </row>
    <row r="19" spans="1:17" s="25" customFormat="1" ht="15">
      <c r="A19" s="23"/>
      <c r="B19" s="26" t="s">
        <v>29</v>
      </c>
      <c r="C19" s="26" t="s">
        <v>140</v>
      </c>
      <c r="D19" s="27" t="s">
        <v>30</v>
      </c>
      <c r="E19" s="35">
        <f t="shared" si="1"/>
        <v>125140</v>
      </c>
      <c r="F19" s="35">
        <v>125140</v>
      </c>
      <c r="G19" s="35"/>
      <c r="H19" s="35">
        <v>124940</v>
      </c>
      <c r="I19" s="35"/>
      <c r="J19" s="35">
        <f t="shared" si="2"/>
        <v>0</v>
      </c>
      <c r="K19" s="35"/>
      <c r="L19" s="35"/>
      <c r="M19" s="35"/>
      <c r="N19" s="35"/>
      <c r="O19" s="35"/>
      <c r="P19" s="35">
        <f t="shared" si="3"/>
        <v>125140</v>
      </c>
      <c r="Q19" s="76"/>
    </row>
    <row r="20" spans="1:17" s="25" customFormat="1" ht="15">
      <c r="A20" s="23"/>
      <c r="B20" s="26" t="s">
        <v>31</v>
      </c>
      <c r="C20" s="26" t="s">
        <v>141</v>
      </c>
      <c r="D20" s="27" t="s">
        <v>32</v>
      </c>
      <c r="E20" s="35">
        <f t="shared" si="1"/>
        <v>1531656</v>
      </c>
      <c r="F20" s="35">
        <f>1692120-160464</f>
        <v>1531656</v>
      </c>
      <c r="G20" s="35">
        <f>1009375-13215</f>
        <v>996160</v>
      </c>
      <c r="H20" s="35">
        <v>91785</v>
      </c>
      <c r="I20" s="37"/>
      <c r="J20" s="35">
        <f t="shared" si="2"/>
        <v>70000</v>
      </c>
      <c r="K20" s="35"/>
      <c r="L20" s="35"/>
      <c r="M20" s="35"/>
      <c r="N20" s="35">
        <v>70000</v>
      </c>
      <c r="O20" s="35">
        <v>70000</v>
      </c>
      <c r="P20" s="35">
        <f t="shared" si="3"/>
        <v>1601656</v>
      </c>
      <c r="Q20" s="76"/>
    </row>
    <row r="21" spans="1:17" s="25" customFormat="1" ht="15">
      <c r="A21" s="23"/>
      <c r="B21" s="26" t="s">
        <v>193</v>
      </c>
      <c r="C21" s="26" t="s">
        <v>195</v>
      </c>
      <c r="D21" s="27" t="s">
        <v>194</v>
      </c>
      <c r="E21" s="35">
        <f t="shared" si="1"/>
        <v>90300</v>
      </c>
      <c r="F21" s="35">
        <v>90300</v>
      </c>
      <c r="G21" s="35"/>
      <c r="H21" s="35"/>
      <c r="I21" s="37"/>
      <c r="J21" s="35">
        <f t="shared" si="2"/>
        <v>0</v>
      </c>
      <c r="K21" s="35"/>
      <c r="L21" s="35"/>
      <c r="M21" s="35"/>
      <c r="N21" s="35"/>
      <c r="O21" s="35"/>
      <c r="P21" s="35">
        <f t="shared" si="3"/>
        <v>90300</v>
      </c>
      <c r="Q21" s="76"/>
    </row>
    <row r="22" spans="1:17" s="25" customFormat="1" ht="30">
      <c r="A22" s="23"/>
      <c r="B22" s="26" t="s">
        <v>33</v>
      </c>
      <c r="C22" s="26" t="s">
        <v>142</v>
      </c>
      <c r="D22" s="27" t="s">
        <v>34</v>
      </c>
      <c r="E22" s="35">
        <f t="shared" si="1"/>
        <v>500000</v>
      </c>
      <c r="F22" s="35">
        <v>500000</v>
      </c>
      <c r="G22" s="35"/>
      <c r="H22" s="35"/>
      <c r="I22" s="37"/>
      <c r="J22" s="35">
        <f t="shared" si="2"/>
        <v>0</v>
      </c>
      <c r="K22" s="35"/>
      <c r="L22" s="35"/>
      <c r="M22" s="35"/>
      <c r="N22" s="35"/>
      <c r="O22" s="35"/>
      <c r="P22" s="35">
        <f t="shared" si="3"/>
        <v>500000</v>
      </c>
      <c r="Q22" s="76"/>
    </row>
    <row r="23" spans="1:17" s="25" customFormat="1" ht="44.25" customHeight="1">
      <c r="A23" s="23"/>
      <c r="B23" s="26" t="s">
        <v>35</v>
      </c>
      <c r="C23" s="26" t="s">
        <v>142</v>
      </c>
      <c r="D23" s="27" t="s">
        <v>36</v>
      </c>
      <c r="E23" s="35">
        <f t="shared" si="1"/>
        <v>500000</v>
      </c>
      <c r="F23" s="35">
        <v>500000</v>
      </c>
      <c r="G23" s="35"/>
      <c r="H23" s="35"/>
      <c r="I23" s="37"/>
      <c r="J23" s="35">
        <f t="shared" si="2"/>
        <v>0</v>
      </c>
      <c r="K23" s="35"/>
      <c r="L23" s="35"/>
      <c r="M23" s="35"/>
      <c r="N23" s="35"/>
      <c r="O23" s="35"/>
      <c r="P23" s="35">
        <f t="shared" si="3"/>
        <v>500000</v>
      </c>
      <c r="Q23" s="76"/>
    </row>
    <row r="24" spans="1:17" s="25" customFormat="1" ht="45" customHeight="1">
      <c r="A24" s="23"/>
      <c r="B24" s="26" t="s">
        <v>37</v>
      </c>
      <c r="C24" s="26" t="s">
        <v>142</v>
      </c>
      <c r="D24" s="27" t="s">
        <v>38</v>
      </c>
      <c r="E24" s="35">
        <f t="shared" si="1"/>
        <v>5084691</v>
      </c>
      <c r="F24" s="35">
        <f>5633420-548729</f>
        <v>5084691</v>
      </c>
      <c r="G24" s="35">
        <f>3602473-51151</f>
        <v>3551322</v>
      </c>
      <c r="H24" s="35">
        <v>410216</v>
      </c>
      <c r="I24" s="37"/>
      <c r="J24" s="35">
        <f t="shared" si="2"/>
        <v>200000</v>
      </c>
      <c r="K24" s="37"/>
      <c r="L24" s="37"/>
      <c r="M24" s="37"/>
      <c r="N24" s="35">
        <v>200000</v>
      </c>
      <c r="O24" s="35">
        <v>200000</v>
      </c>
      <c r="P24" s="35">
        <f t="shared" si="3"/>
        <v>5284691</v>
      </c>
      <c r="Q24" s="76"/>
    </row>
    <row r="25" spans="1:17" s="25" customFormat="1" ht="15">
      <c r="A25" s="23"/>
      <c r="B25" s="26" t="s">
        <v>39</v>
      </c>
      <c r="C25" s="26" t="s">
        <v>142</v>
      </c>
      <c r="D25" s="27" t="s">
        <v>26</v>
      </c>
      <c r="E25" s="35">
        <f t="shared" si="1"/>
        <v>2347168</v>
      </c>
      <c r="F25" s="35">
        <f>2545380-198212</f>
        <v>2347168</v>
      </c>
      <c r="G25" s="35"/>
      <c r="H25" s="35"/>
      <c r="I25" s="37"/>
      <c r="J25" s="35">
        <f t="shared" si="2"/>
        <v>0</v>
      </c>
      <c r="K25" s="37"/>
      <c r="L25" s="37"/>
      <c r="M25" s="37"/>
      <c r="N25" s="35"/>
      <c r="O25" s="35"/>
      <c r="P25" s="35">
        <f t="shared" si="3"/>
        <v>2347168</v>
      </c>
      <c r="Q25" s="76"/>
    </row>
    <row r="26" spans="1:17" s="25" customFormat="1" ht="30">
      <c r="A26" s="23"/>
      <c r="B26" s="26" t="s">
        <v>40</v>
      </c>
      <c r="C26" s="26" t="s">
        <v>142</v>
      </c>
      <c r="D26" s="27" t="s">
        <v>41</v>
      </c>
      <c r="E26" s="35">
        <f t="shared" si="1"/>
        <v>1687339</v>
      </c>
      <c r="F26" s="35">
        <f>1995340-308001</f>
        <v>1687339</v>
      </c>
      <c r="G26" s="35">
        <f>1058675-128369</f>
        <v>930306</v>
      </c>
      <c r="H26" s="35">
        <v>384290</v>
      </c>
      <c r="I26" s="37"/>
      <c r="J26" s="35">
        <f t="shared" si="2"/>
        <v>817714</v>
      </c>
      <c r="K26" s="35">
        <v>317714</v>
      </c>
      <c r="L26" s="35">
        <v>144491</v>
      </c>
      <c r="M26" s="35">
        <v>97628</v>
      </c>
      <c r="N26" s="35">
        <v>500000</v>
      </c>
      <c r="O26" s="35">
        <v>500000</v>
      </c>
      <c r="P26" s="35">
        <f t="shared" si="3"/>
        <v>2505053</v>
      </c>
      <c r="Q26" s="76"/>
    </row>
    <row r="27" spans="1:17" s="25" customFormat="1" ht="79.5" customHeight="1">
      <c r="A27" s="23"/>
      <c r="B27" s="26" t="s">
        <v>42</v>
      </c>
      <c r="C27" s="26" t="s">
        <v>142</v>
      </c>
      <c r="D27" s="27" t="s">
        <v>43</v>
      </c>
      <c r="E27" s="35">
        <f t="shared" si="1"/>
        <v>4086218</v>
      </c>
      <c r="F27" s="35">
        <f>4485660-399442</f>
        <v>4086218</v>
      </c>
      <c r="G27" s="35"/>
      <c r="H27" s="35"/>
      <c r="I27" s="37"/>
      <c r="J27" s="35">
        <f t="shared" si="2"/>
        <v>0</v>
      </c>
      <c r="K27" s="37"/>
      <c r="L27" s="37"/>
      <c r="M27" s="37"/>
      <c r="N27" s="35"/>
      <c r="O27" s="35"/>
      <c r="P27" s="35">
        <f t="shared" si="3"/>
        <v>4086218</v>
      </c>
      <c r="Q27" s="77" t="s">
        <v>287</v>
      </c>
    </row>
    <row r="28" spans="1:17" s="25" customFormat="1" ht="30">
      <c r="A28" s="23"/>
      <c r="B28" s="26" t="s">
        <v>196</v>
      </c>
      <c r="C28" s="26" t="s">
        <v>198</v>
      </c>
      <c r="D28" s="27" t="s">
        <v>197</v>
      </c>
      <c r="E28" s="35">
        <f t="shared" si="1"/>
        <v>99000</v>
      </c>
      <c r="F28" s="35">
        <v>99000</v>
      </c>
      <c r="G28" s="35"/>
      <c r="H28" s="35"/>
      <c r="I28" s="37"/>
      <c r="J28" s="35">
        <f t="shared" si="2"/>
        <v>0</v>
      </c>
      <c r="K28" s="37"/>
      <c r="L28" s="37"/>
      <c r="M28" s="37"/>
      <c r="N28" s="35"/>
      <c r="O28" s="35"/>
      <c r="P28" s="35">
        <f t="shared" si="3"/>
        <v>99000</v>
      </c>
      <c r="Q28" s="77"/>
    </row>
    <row r="29" spans="1:17" s="25" customFormat="1" ht="30">
      <c r="A29" s="23"/>
      <c r="B29" s="26" t="s">
        <v>200</v>
      </c>
      <c r="C29" s="26" t="s">
        <v>203</v>
      </c>
      <c r="D29" s="27" t="s">
        <v>202</v>
      </c>
      <c r="E29" s="35">
        <f t="shared" si="1"/>
        <v>1642000</v>
      </c>
      <c r="F29" s="35"/>
      <c r="G29" s="35"/>
      <c r="H29" s="35"/>
      <c r="I29" s="35">
        <v>1642000</v>
      </c>
      <c r="J29" s="35">
        <f t="shared" si="2"/>
        <v>0</v>
      </c>
      <c r="K29" s="37"/>
      <c r="L29" s="37"/>
      <c r="M29" s="37"/>
      <c r="N29" s="35"/>
      <c r="O29" s="35"/>
      <c r="P29" s="35">
        <f t="shared" si="3"/>
        <v>1642000</v>
      </c>
      <c r="Q29" s="77"/>
    </row>
    <row r="30" spans="1:17" s="25" customFormat="1" ht="30">
      <c r="A30" s="23"/>
      <c r="B30" s="26" t="s">
        <v>201</v>
      </c>
      <c r="C30" s="26" t="s">
        <v>205</v>
      </c>
      <c r="D30" s="27" t="s">
        <v>204</v>
      </c>
      <c r="E30" s="35">
        <f t="shared" si="1"/>
        <v>3607600</v>
      </c>
      <c r="F30" s="35"/>
      <c r="G30" s="35"/>
      <c r="H30" s="35"/>
      <c r="I30" s="35">
        <v>3607600</v>
      </c>
      <c r="J30" s="35">
        <f t="shared" si="2"/>
        <v>0</v>
      </c>
      <c r="K30" s="37"/>
      <c r="L30" s="37"/>
      <c r="M30" s="37"/>
      <c r="N30" s="35"/>
      <c r="O30" s="35"/>
      <c r="P30" s="35">
        <f t="shared" si="3"/>
        <v>3607600</v>
      </c>
      <c r="Q30" s="77"/>
    </row>
    <row r="31" spans="1:17" s="25" customFormat="1" ht="45">
      <c r="A31" s="23"/>
      <c r="B31" s="26" t="s">
        <v>107</v>
      </c>
      <c r="C31" s="26" t="s">
        <v>165</v>
      </c>
      <c r="D31" s="27" t="s">
        <v>108</v>
      </c>
      <c r="E31" s="35">
        <f t="shared" si="1"/>
        <v>32500</v>
      </c>
      <c r="F31" s="35">
        <v>32500</v>
      </c>
      <c r="G31" s="35"/>
      <c r="H31" s="35"/>
      <c r="I31" s="37"/>
      <c r="J31" s="35">
        <f t="shared" si="2"/>
        <v>0</v>
      </c>
      <c r="K31" s="37"/>
      <c r="L31" s="37"/>
      <c r="M31" s="37"/>
      <c r="N31" s="35"/>
      <c r="O31" s="35"/>
      <c r="P31" s="35">
        <f t="shared" si="3"/>
        <v>32500</v>
      </c>
      <c r="Q31" s="77"/>
    </row>
    <row r="32" spans="1:17" s="25" customFormat="1" ht="15">
      <c r="A32" s="23"/>
      <c r="B32" s="26" t="s">
        <v>44</v>
      </c>
      <c r="C32" s="26" t="s">
        <v>143</v>
      </c>
      <c r="D32" s="27" t="s">
        <v>45</v>
      </c>
      <c r="E32" s="35">
        <f t="shared" si="1"/>
        <v>2000000</v>
      </c>
      <c r="F32" s="35"/>
      <c r="G32" s="37"/>
      <c r="H32" s="37"/>
      <c r="I32" s="53">
        <v>2000000</v>
      </c>
      <c r="J32" s="35">
        <f t="shared" si="2"/>
        <v>0</v>
      </c>
      <c r="K32" s="35"/>
      <c r="L32" s="35"/>
      <c r="M32" s="35"/>
      <c r="N32" s="35"/>
      <c r="O32" s="35"/>
      <c r="P32" s="35">
        <f t="shared" si="3"/>
        <v>2000000</v>
      </c>
      <c r="Q32" s="77"/>
    </row>
    <row r="33" spans="1:17" s="25" customFormat="1" ht="30">
      <c r="A33" s="23"/>
      <c r="B33" s="26" t="s">
        <v>46</v>
      </c>
      <c r="C33" s="26" t="s">
        <v>144</v>
      </c>
      <c r="D33" s="27" t="s">
        <v>47</v>
      </c>
      <c r="E33" s="35">
        <f t="shared" si="1"/>
        <v>85000</v>
      </c>
      <c r="F33" s="35">
        <v>85000</v>
      </c>
      <c r="G33" s="37"/>
      <c r="H33" s="37"/>
      <c r="I33" s="37"/>
      <c r="J33" s="35">
        <f t="shared" si="2"/>
        <v>0</v>
      </c>
      <c r="K33" s="37"/>
      <c r="L33" s="37"/>
      <c r="M33" s="37"/>
      <c r="N33" s="35"/>
      <c r="O33" s="35"/>
      <c r="P33" s="35">
        <f t="shared" si="3"/>
        <v>85000</v>
      </c>
      <c r="Q33" s="77"/>
    </row>
    <row r="34" spans="1:17" s="25" customFormat="1" ht="66.75" customHeight="1">
      <c r="A34" s="23"/>
      <c r="B34" s="26" t="s">
        <v>48</v>
      </c>
      <c r="C34" s="26" t="s">
        <v>145</v>
      </c>
      <c r="D34" s="27" t="s">
        <v>49</v>
      </c>
      <c r="E34" s="35">
        <f t="shared" si="1"/>
        <v>0</v>
      </c>
      <c r="F34" s="37"/>
      <c r="G34" s="37"/>
      <c r="H34" s="37"/>
      <c r="I34" s="37"/>
      <c r="J34" s="35">
        <f t="shared" si="2"/>
        <v>46000000</v>
      </c>
      <c r="K34" s="37"/>
      <c r="L34" s="37"/>
      <c r="M34" s="37"/>
      <c r="N34" s="35">
        <v>46000000</v>
      </c>
      <c r="O34" s="35">
        <v>46000000</v>
      </c>
      <c r="P34" s="35">
        <f t="shared" si="3"/>
        <v>46000000</v>
      </c>
      <c r="Q34" s="77"/>
    </row>
    <row r="35" spans="1:17" s="25" customFormat="1" ht="30">
      <c r="A35" s="23"/>
      <c r="B35" s="26" t="s">
        <v>50</v>
      </c>
      <c r="C35" s="26" t="s">
        <v>144</v>
      </c>
      <c r="D35" s="27" t="s">
        <v>51</v>
      </c>
      <c r="E35" s="35">
        <f t="shared" si="1"/>
        <v>837300</v>
      </c>
      <c r="F35" s="35">
        <f>737300+100000</f>
        <v>837300</v>
      </c>
      <c r="G35" s="37"/>
      <c r="H35" s="37"/>
      <c r="I35" s="37"/>
      <c r="J35" s="35">
        <f t="shared" si="2"/>
        <v>0</v>
      </c>
      <c r="K35" s="37"/>
      <c r="L35" s="37"/>
      <c r="M35" s="37"/>
      <c r="N35" s="37"/>
      <c r="O35" s="37"/>
      <c r="P35" s="35">
        <f t="shared" si="3"/>
        <v>837300</v>
      </c>
      <c r="Q35" s="77"/>
    </row>
    <row r="36" spans="1:17" s="25" customFormat="1" ht="45">
      <c r="A36" s="23"/>
      <c r="B36" s="26" t="s">
        <v>52</v>
      </c>
      <c r="C36" s="26" t="s">
        <v>146</v>
      </c>
      <c r="D36" s="27" t="s">
        <v>53</v>
      </c>
      <c r="E36" s="35">
        <f t="shared" si="1"/>
        <v>162726</v>
      </c>
      <c r="F36" s="35">
        <f>6600+156126</f>
        <v>162726</v>
      </c>
      <c r="G36" s="37"/>
      <c r="H36" s="35">
        <v>4300</v>
      </c>
      <c r="I36" s="37"/>
      <c r="J36" s="35">
        <f t="shared" si="2"/>
        <v>343874</v>
      </c>
      <c r="K36" s="35"/>
      <c r="L36" s="35"/>
      <c r="M36" s="35"/>
      <c r="N36" s="35">
        <v>343874</v>
      </c>
      <c r="O36" s="35">
        <v>343874</v>
      </c>
      <c r="P36" s="35">
        <f t="shared" si="3"/>
        <v>506600</v>
      </c>
      <c r="Q36" s="77"/>
    </row>
    <row r="37" spans="1:17" s="25" customFormat="1" ht="15">
      <c r="A37" s="23"/>
      <c r="B37" s="29" t="s">
        <v>54</v>
      </c>
      <c r="C37" s="29" t="s">
        <v>147</v>
      </c>
      <c r="D37" s="27" t="s">
        <v>55</v>
      </c>
      <c r="E37" s="35">
        <f t="shared" si="1"/>
        <v>867100</v>
      </c>
      <c r="F37" s="35">
        <f>1027600-160500</f>
        <v>867100</v>
      </c>
      <c r="G37" s="35">
        <f>690800-52700</f>
        <v>638100</v>
      </c>
      <c r="H37" s="35">
        <v>46377</v>
      </c>
      <c r="I37" s="35"/>
      <c r="J37" s="35">
        <f t="shared" si="2"/>
        <v>4700</v>
      </c>
      <c r="K37" s="35">
        <v>4700</v>
      </c>
      <c r="L37" s="35"/>
      <c r="M37" s="35">
        <v>720</v>
      </c>
      <c r="N37" s="35"/>
      <c r="O37" s="35"/>
      <c r="P37" s="35">
        <f t="shared" si="3"/>
        <v>871800</v>
      </c>
      <c r="Q37" s="77"/>
    </row>
    <row r="38" spans="1:17" s="25" customFormat="1" ht="60">
      <c r="A38" s="23"/>
      <c r="B38" s="26" t="s">
        <v>56</v>
      </c>
      <c r="C38" s="26" t="s">
        <v>149</v>
      </c>
      <c r="D38" s="27" t="s">
        <v>57</v>
      </c>
      <c r="E38" s="35">
        <f t="shared" si="1"/>
        <v>0</v>
      </c>
      <c r="F38" s="35"/>
      <c r="G38" s="35"/>
      <c r="H38" s="35"/>
      <c r="I38" s="35"/>
      <c r="J38" s="35">
        <f t="shared" si="2"/>
        <v>119543</v>
      </c>
      <c r="K38" s="35">
        <v>119543</v>
      </c>
      <c r="L38" s="35"/>
      <c r="M38" s="35"/>
      <c r="N38" s="35"/>
      <c r="O38" s="35"/>
      <c r="P38" s="35">
        <f t="shared" si="3"/>
        <v>119543</v>
      </c>
      <c r="Q38" s="77"/>
    </row>
    <row r="39" spans="1:17" s="25" customFormat="1" ht="15">
      <c r="A39" s="23"/>
      <c r="B39" s="26" t="s">
        <v>58</v>
      </c>
      <c r="C39" s="26" t="s">
        <v>149</v>
      </c>
      <c r="D39" s="27" t="s">
        <v>26</v>
      </c>
      <c r="E39" s="35">
        <f t="shared" si="1"/>
        <v>2111462</v>
      </c>
      <c r="F39" s="35">
        <f>952700+602640+80580+303921+268723-97102</f>
        <v>2111462</v>
      </c>
      <c r="G39" s="35"/>
      <c r="H39" s="35">
        <v>196820</v>
      </c>
      <c r="I39" s="37"/>
      <c r="J39" s="35">
        <f t="shared" si="2"/>
        <v>114000</v>
      </c>
      <c r="K39" s="37"/>
      <c r="L39" s="37"/>
      <c r="M39" s="37"/>
      <c r="N39" s="53">
        <f>89000+25000</f>
        <v>114000</v>
      </c>
      <c r="O39" s="53">
        <f>89000+25000</f>
        <v>114000</v>
      </c>
      <c r="P39" s="35">
        <f t="shared" si="3"/>
        <v>2225462</v>
      </c>
      <c r="Q39" s="77"/>
    </row>
    <row r="40" spans="1:17" s="25" customFormat="1" ht="28.5">
      <c r="A40" s="23"/>
      <c r="B40" s="30"/>
      <c r="C40" s="30"/>
      <c r="D40" s="31" t="s">
        <v>150</v>
      </c>
      <c r="E40" s="37">
        <f>E42+E43+E44+E46+E48+E50+E51+E52+E53+E54+E55+E56+E57+E58+E59+E60+E61</f>
        <v>420830936</v>
      </c>
      <c r="F40" s="37">
        <f aca="true" t="shared" si="4" ref="F40:P40">F42+F43+F44+F46+F48+F50+F51+F52+F53+F54+F55+F56+F57+F58+F59+F60+F61</f>
        <v>420830936</v>
      </c>
      <c r="G40" s="37">
        <f t="shared" si="4"/>
        <v>249253969</v>
      </c>
      <c r="H40" s="37">
        <f t="shared" si="4"/>
        <v>59900211</v>
      </c>
      <c r="I40" s="37">
        <f t="shared" si="4"/>
        <v>0</v>
      </c>
      <c r="J40" s="37">
        <f t="shared" si="4"/>
        <v>50076117</v>
      </c>
      <c r="K40" s="37">
        <f t="shared" si="4"/>
        <v>36441117</v>
      </c>
      <c r="L40" s="37">
        <f t="shared" si="4"/>
        <v>2470383</v>
      </c>
      <c r="M40" s="37">
        <f t="shared" si="4"/>
        <v>1518188</v>
      </c>
      <c r="N40" s="37">
        <f t="shared" si="4"/>
        <v>13635000</v>
      </c>
      <c r="O40" s="37">
        <f t="shared" si="4"/>
        <v>13210000</v>
      </c>
      <c r="P40" s="37">
        <f t="shared" si="4"/>
        <v>470907053</v>
      </c>
      <c r="Q40" s="77"/>
    </row>
    <row r="41" spans="1:17" s="51" customFormat="1" ht="15">
      <c r="A41" s="50"/>
      <c r="B41" s="47"/>
      <c r="C41" s="47"/>
      <c r="D41" s="40" t="s">
        <v>213</v>
      </c>
      <c r="E41" s="35">
        <f>F41+I41</f>
        <v>192447200</v>
      </c>
      <c r="F41" s="53">
        <f>F45+F47+F49</f>
        <v>192447200</v>
      </c>
      <c r="G41" s="53">
        <f aca="true" t="shared" si="5" ref="G41:O41">G45+G47+G49</f>
        <v>132708061</v>
      </c>
      <c r="H41" s="53">
        <f t="shared" si="5"/>
        <v>20877870</v>
      </c>
      <c r="I41" s="53">
        <f t="shared" si="5"/>
        <v>0</v>
      </c>
      <c r="J41" s="35">
        <f>K41+N41</f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35">
        <f>E41+J41</f>
        <v>192447200</v>
      </c>
      <c r="Q41" s="77"/>
    </row>
    <row r="42" spans="1:17" s="25" customFormat="1" ht="15">
      <c r="A42" s="23"/>
      <c r="B42" s="26" t="s">
        <v>11</v>
      </c>
      <c r="C42" s="26" t="s">
        <v>9</v>
      </c>
      <c r="D42" s="27" t="s">
        <v>16</v>
      </c>
      <c r="E42" s="35">
        <f aca="true" t="shared" si="6" ref="E42:E61">F42+I42</f>
        <v>891270</v>
      </c>
      <c r="F42" s="35">
        <f>1009660-118390</f>
        <v>891270</v>
      </c>
      <c r="G42" s="35">
        <f>667920-18750</f>
        <v>649170</v>
      </c>
      <c r="H42" s="35">
        <v>24724</v>
      </c>
      <c r="I42" s="37"/>
      <c r="J42" s="35">
        <f>K42+N42</f>
        <v>170000</v>
      </c>
      <c r="K42" s="37"/>
      <c r="L42" s="37"/>
      <c r="M42" s="37"/>
      <c r="N42" s="35">
        <f>20000+150000</f>
        <v>170000</v>
      </c>
      <c r="O42" s="35">
        <f>20000+150000</f>
        <v>170000</v>
      </c>
      <c r="P42" s="35">
        <f aca="true" t="shared" si="7" ref="P42:P61">E42+J42</f>
        <v>1061270</v>
      </c>
      <c r="Q42" s="77"/>
    </row>
    <row r="43" spans="1:17" s="25" customFormat="1" ht="15">
      <c r="A43" s="23"/>
      <c r="B43" s="26" t="s">
        <v>59</v>
      </c>
      <c r="C43" s="26" t="s">
        <v>151</v>
      </c>
      <c r="D43" s="27" t="s">
        <v>60</v>
      </c>
      <c r="E43" s="35">
        <f t="shared" si="6"/>
        <v>109836820</v>
      </c>
      <c r="F43" s="35">
        <f>127615802+181800-17960782</f>
        <v>109836820</v>
      </c>
      <c r="G43" s="35">
        <f>70161106-6341216</f>
        <v>63819890</v>
      </c>
      <c r="H43" s="35">
        <v>19789563</v>
      </c>
      <c r="I43" s="37"/>
      <c r="J43" s="35">
        <f aca="true" t="shared" si="8" ref="J43:J61">K43+N43</f>
        <v>14884686</v>
      </c>
      <c r="K43" s="35">
        <v>11284686</v>
      </c>
      <c r="L43" s="35"/>
      <c r="M43" s="35"/>
      <c r="N43" s="35">
        <f>2750000+850000</f>
        <v>3600000</v>
      </c>
      <c r="O43" s="35">
        <f>2750000+850000</f>
        <v>3600000</v>
      </c>
      <c r="P43" s="35">
        <f t="shared" si="7"/>
        <v>124721506</v>
      </c>
      <c r="Q43" s="77"/>
    </row>
    <row r="44" spans="1:17" s="25" customFormat="1" ht="60">
      <c r="A44" s="23"/>
      <c r="B44" s="26" t="s">
        <v>61</v>
      </c>
      <c r="C44" s="26" t="s">
        <v>152</v>
      </c>
      <c r="D44" s="27" t="s">
        <v>62</v>
      </c>
      <c r="E44" s="35">
        <f t="shared" si="6"/>
        <v>226643741</v>
      </c>
      <c r="F44" s="35">
        <f>241356212+318200+8795512-31986943+4220760+3940000</f>
        <v>226643741</v>
      </c>
      <c r="G44" s="35">
        <f>142701242+16080119-18252562</f>
        <v>140528799</v>
      </c>
      <c r="H44" s="35">
        <f>31014749+1000000-1000000</f>
        <v>31014749</v>
      </c>
      <c r="I44" s="37"/>
      <c r="J44" s="35">
        <f t="shared" si="8"/>
        <v>26927171</v>
      </c>
      <c r="K44" s="35">
        <v>18497171</v>
      </c>
      <c r="L44" s="35">
        <v>740455</v>
      </c>
      <c r="M44" s="35">
        <v>47940</v>
      </c>
      <c r="N44" s="35">
        <f>6090000+2150000+190000</f>
        <v>8430000</v>
      </c>
      <c r="O44" s="35">
        <f>6090000+2150000+190000</f>
        <v>8430000</v>
      </c>
      <c r="P44" s="35">
        <f t="shared" si="7"/>
        <v>253570912</v>
      </c>
      <c r="Q44" s="77"/>
    </row>
    <row r="45" spans="1:17" s="25" customFormat="1" ht="15">
      <c r="A45" s="23"/>
      <c r="B45" s="26"/>
      <c r="C45" s="26"/>
      <c r="D45" s="40" t="s">
        <v>213</v>
      </c>
      <c r="E45" s="35">
        <f t="shared" si="6"/>
        <v>187894811</v>
      </c>
      <c r="F45" s="35">
        <f>179099299+8795512</f>
        <v>187894811</v>
      </c>
      <c r="G45" s="35">
        <f>113504164+16080119</f>
        <v>129584283</v>
      </c>
      <c r="H45" s="35">
        <f>19360798+1000000</f>
        <v>20360798</v>
      </c>
      <c r="I45" s="37"/>
      <c r="J45" s="35">
        <f t="shared" si="8"/>
        <v>0</v>
      </c>
      <c r="K45" s="35"/>
      <c r="L45" s="35"/>
      <c r="M45" s="35"/>
      <c r="N45" s="35"/>
      <c r="O45" s="35"/>
      <c r="P45" s="35">
        <f t="shared" si="7"/>
        <v>187894811</v>
      </c>
      <c r="Q45" s="77"/>
    </row>
    <row r="46" spans="1:17" s="25" customFormat="1" ht="15">
      <c r="A46" s="23"/>
      <c r="B46" s="26" t="s">
        <v>63</v>
      </c>
      <c r="C46" s="26" t="s">
        <v>152</v>
      </c>
      <c r="D46" s="27" t="s">
        <v>64</v>
      </c>
      <c r="E46" s="35">
        <f t="shared" si="6"/>
        <v>357724</v>
      </c>
      <c r="F46" s="35">
        <f>372150+25184-39610</f>
        <v>357724</v>
      </c>
      <c r="G46" s="35">
        <f>277448+45301-29836</f>
        <v>292913</v>
      </c>
      <c r="H46" s="35"/>
      <c r="I46" s="37"/>
      <c r="J46" s="35">
        <f t="shared" si="8"/>
        <v>0</v>
      </c>
      <c r="K46" s="35"/>
      <c r="L46" s="35"/>
      <c r="M46" s="35"/>
      <c r="N46" s="35"/>
      <c r="O46" s="35"/>
      <c r="P46" s="35">
        <f t="shared" si="7"/>
        <v>357724</v>
      </c>
      <c r="Q46" s="77"/>
    </row>
    <row r="47" spans="1:17" s="25" customFormat="1" ht="15">
      <c r="A47" s="23"/>
      <c r="B47" s="26"/>
      <c r="C47" s="26"/>
      <c r="D47" s="40" t="s">
        <v>213</v>
      </c>
      <c r="E47" s="35">
        <f t="shared" si="6"/>
        <v>357354</v>
      </c>
      <c r="F47" s="35">
        <f>332170+25184</f>
        <v>357354</v>
      </c>
      <c r="G47" s="35">
        <f>247612+45301</f>
        <v>292913</v>
      </c>
      <c r="H47" s="35"/>
      <c r="I47" s="37"/>
      <c r="J47" s="35">
        <f t="shared" si="8"/>
        <v>0</v>
      </c>
      <c r="K47" s="35"/>
      <c r="L47" s="35"/>
      <c r="M47" s="35"/>
      <c r="N47" s="35"/>
      <c r="O47" s="35"/>
      <c r="P47" s="35">
        <f t="shared" si="7"/>
        <v>357354</v>
      </c>
      <c r="Q47" s="77"/>
    </row>
    <row r="48" spans="1:17" s="25" customFormat="1" ht="60">
      <c r="A48" s="23"/>
      <c r="B48" s="26" t="s">
        <v>65</v>
      </c>
      <c r="C48" s="26" t="s">
        <v>153</v>
      </c>
      <c r="D48" s="27" t="s">
        <v>66</v>
      </c>
      <c r="E48" s="35">
        <f t="shared" si="6"/>
        <v>4343883</v>
      </c>
      <c r="F48" s="35">
        <f>4650387+37304-453788+49980+60000</f>
        <v>4343883</v>
      </c>
      <c r="G48" s="35">
        <f>2854137+321793-345065</f>
        <v>2830865</v>
      </c>
      <c r="H48" s="35">
        <v>517072</v>
      </c>
      <c r="I48" s="37"/>
      <c r="J48" s="35">
        <f t="shared" si="8"/>
        <v>150000</v>
      </c>
      <c r="K48" s="35"/>
      <c r="L48" s="35"/>
      <c r="M48" s="35"/>
      <c r="N48" s="35">
        <v>150000</v>
      </c>
      <c r="O48" s="35">
        <v>150000</v>
      </c>
      <c r="P48" s="35">
        <f t="shared" si="7"/>
        <v>4493883</v>
      </c>
      <c r="Q48" s="77" t="s">
        <v>288</v>
      </c>
    </row>
    <row r="49" spans="1:17" s="25" customFormat="1" ht="15">
      <c r="A49" s="23"/>
      <c r="B49" s="26"/>
      <c r="C49" s="26"/>
      <c r="D49" s="40" t="s">
        <v>213</v>
      </c>
      <c r="E49" s="35">
        <f t="shared" si="6"/>
        <v>4195035</v>
      </c>
      <c r="F49" s="35">
        <f>4157731+37304</f>
        <v>4195035</v>
      </c>
      <c r="G49" s="35">
        <f>2509072+321793</f>
        <v>2830865</v>
      </c>
      <c r="H49" s="35">
        <v>517072</v>
      </c>
      <c r="I49" s="37"/>
      <c r="J49" s="35">
        <f t="shared" si="8"/>
        <v>0</v>
      </c>
      <c r="K49" s="35"/>
      <c r="L49" s="35"/>
      <c r="M49" s="35"/>
      <c r="N49" s="35"/>
      <c r="O49" s="35"/>
      <c r="P49" s="35">
        <f t="shared" si="7"/>
        <v>4195035</v>
      </c>
      <c r="Q49" s="77"/>
    </row>
    <row r="50" spans="1:17" s="25" customFormat="1" ht="30">
      <c r="A50" s="23"/>
      <c r="B50" s="26" t="s">
        <v>67</v>
      </c>
      <c r="C50" s="26" t="s">
        <v>154</v>
      </c>
      <c r="D50" s="27" t="s">
        <v>68</v>
      </c>
      <c r="E50" s="35">
        <f t="shared" si="6"/>
        <v>12192993</v>
      </c>
      <c r="F50" s="35">
        <f>14471495-2278502</f>
        <v>12192993</v>
      </c>
      <c r="G50" s="35">
        <f>9257594-784442</f>
        <v>8473152</v>
      </c>
      <c r="H50" s="35">
        <v>1785662</v>
      </c>
      <c r="I50" s="37"/>
      <c r="J50" s="35">
        <f t="shared" si="8"/>
        <v>525000</v>
      </c>
      <c r="K50" s="35"/>
      <c r="L50" s="35"/>
      <c r="M50" s="35"/>
      <c r="N50" s="35">
        <v>525000</v>
      </c>
      <c r="O50" s="35">
        <v>525000</v>
      </c>
      <c r="P50" s="35">
        <f t="shared" si="7"/>
        <v>12717993</v>
      </c>
      <c r="Q50" s="77"/>
    </row>
    <row r="51" spans="1:17" s="25" customFormat="1" ht="15">
      <c r="A51" s="23"/>
      <c r="B51" s="26" t="s">
        <v>272</v>
      </c>
      <c r="C51" s="26" t="s">
        <v>274</v>
      </c>
      <c r="D51" s="27" t="s">
        <v>273</v>
      </c>
      <c r="E51" s="35">
        <f t="shared" si="6"/>
        <v>55886018</v>
      </c>
      <c r="F51" s="35">
        <v>55886018</v>
      </c>
      <c r="G51" s="35">
        <v>26608329</v>
      </c>
      <c r="H51" s="35">
        <v>6083140</v>
      </c>
      <c r="I51" s="37"/>
      <c r="J51" s="35">
        <f t="shared" si="8"/>
        <v>6764260</v>
      </c>
      <c r="K51" s="35">
        <v>6459260</v>
      </c>
      <c r="L51" s="35">
        <v>1729928</v>
      </c>
      <c r="M51" s="35">
        <v>1470248</v>
      </c>
      <c r="N51" s="35">
        <v>305000</v>
      </c>
      <c r="O51" s="35"/>
      <c r="P51" s="35">
        <f t="shared" si="7"/>
        <v>62650278</v>
      </c>
      <c r="Q51" s="77"/>
    </row>
    <row r="52" spans="1:17" s="25" customFormat="1" ht="30">
      <c r="A52" s="23"/>
      <c r="B52" s="26" t="s">
        <v>69</v>
      </c>
      <c r="C52" s="26" t="s">
        <v>155</v>
      </c>
      <c r="D52" s="27" t="s">
        <v>70</v>
      </c>
      <c r="E52" s="35">
        <f t="shared" si="6"/>
        <v>1764624</v>
      </c>
      <c r="F52" s="35">
        <f>2094920-330296</f>
        <v>1764624</v>
      </c>
      <c r="G52" s="35">
        <f>1451158-100640</f>
        <v>1350518</v>
      </c>
      <c r="H52" s="35">
        <v>79885</v>
      </c>
      <c r="I52" s="37"/>
      <c r="J52" s="35">
        <f t="shared" si="8"/>
        <v>110000</v>
      </c>
      <c r="K52" s="35"/>
      <c r="L52" s="35"/>
      <c r="M52" s="35"/>
      <c r="N52" s="35">
        <v>110000</v>
      </c>
      <c r="O52" s="35">
        <v>110000</v>
      </c>
      <c r="P52" s="35">
        <f t="shared" si="7"/>
        <v>1874624</v>
      </c>
      <c r="Q52" s="77"/>
    </row>
    <row r="53" spans="1:17" s="25" customFormat="1" ht="30">
      <c r="A53" s="23"/>
      <c r="B53" s="26" t="s">
        <v>71</v>
      </c>
      <c r="C53" s="26" t="s">
        <v>155</v>
      </c>
      <c r="D53" s="27" t="s">
        <v>72</v>
      </c>
      <c r="E53" s="35">
        <f t="shared" si="6"/>
        <v>1540670</v>
      </c>
      <c r="F53" s="35">
        <f>1911767-371097</f>
        <v>1540670</v>
      </c>
      <c r="G53" s="35">
        <f>1242033-158595</f>
        <v>1083438</v>
      </c>
      <c r="H53" s="35">
        <v>82225</v>
      </c>
      <c r="I53" s="37"/>
      <c r="J53" s="35">
        <f t="shared" si="8"/>
        <v>75000</v>
      </c>
      <c r="K53" s="35"/>
      <c r="L53" s="35"/>
      <c r="M53" s="35"/>
      <c r="N53" s="35">
        <v>75000</v>
      </c>
      <c r="O53" s="35">
        <v>75000</v>
      </c>
      <c r="P53" s="35">
        <f t="shared" si="7"/>
        <v>1615670</v>
      </c>
      <c r="Q53" s="77"/>
    </row>
    <row r="54" spans="1:17" s="25" customFormat="1" ht="30">
      <c r="A54" s="23"/>
      <c r="B54" s="26" t="s">
        <v>73</v>
      </c>
      <c r="C54" s="26" t="s">
        <v>155</v>
      </c>
      <c r="D54" s="27" t="s">
        <v>74</v>
      </c>
      <c r="E54" s="35">
        <f t="shared" si="6"/>
        <v>162138</v>
      </c>
      <c r="F54" s="35">
        <f>206673-44535</f>
        <v>162138</v>
      </c>
      <c r="G54" s="35">
        <f>145804-19414</f>
        <v>126390</v>
      </c>
      <c r="H54" s="35">
        <v>5147</v>
      </c>
      <c r="I54" s="37"/>
      <c r="J54" s="35">
        <f t="shared" si="8"/>
        <v>0</v>
      </c>
      <c r="K54" s="35"/>
      <c r="L54" s="35"/>
      <c r="M54" s="35"/>
      <c r="N54" s="35"/>
      <c r="O54" s="35"/>
      <c r="P54" s="35">
        <f t="shared" si="7"/>
        <v>162138</v>
      </c>
      <c r="Q54" s="77"/>
    </row>
    <row r="55" spans="1:17" s="25" customFormat="1" ht="15">
      <c r="A55" s="23"/>
      <c r="B55" s="26" t="s">
        <v>75</v>
      </c>
      <c r="C55" s="26" t="s">
        <v>155</v>
      </c>
      <c r="D55" s="27" t="s">
        <v>76</v>
      </c>
      <c r="E55" s="35">
        <f t="shared" si="6"/>
        <v>2530123</v>
      </c>
      <c r="F55" s="35">
        <f>2955196-425073</f>
        <v>2530123</v>
      </c>
      <c r="G55" s="35">
        <f>1837478-145690</f>
        <v>1691788</v>
      </c>
      <c r="H55" s="35">
        <v>335643</v>
      </c>
      <c r="I55" s="37"/>
      <c r="J55" s="35">
        <f t="shared" si="8"/>
        <v>150000</v>
      </c>
      <c r="K55" s="35"/>
      <c r="L55" s="35"/>
      <c r="M55" s="35"/>
      <c r="N55" s="35">
        <v>150000</v>
      </c>
      <c r="O55" s="35">
        <v>150000</v>
      </c>
      <c r="P55" s="35">
        <f t="shared" si="7"/>
        <v>2680123</v>
      </c>
      <c r="Q55" s="77"/>
    </row>
    <row r="56" spans="1:17" s="25" customFormat="1" ht="15">
      <c r="A56" s="23"/>
      <c r="B56" s="26" t="s">
        <v>77</v>
      </c>
      <c r="C56" s="26" t="s">
        <v>155</v>
      </c>
      <c r="D56" s="27" t="s">
        <v>78</v>
      </c>
      <c r="E56" s="35">
        <f t="shared" si="6"/>
        <v>73148</v>
      </c>
      <c r="F56" s="35">
        <v>73148</v>
      </c>
      <c r="G56" s="35"/>
      <c r="H56" s="35"/>
      <c r="I56" s="37"/>
      <c r="J56" s="35">
        <f t="shared" si="8"/>
        <v>0</v>
      </c>
      <c r="K56" s="35"/>
      <c r="L56" s="35"/>
      <c r="M56" s="35"/>
      <c r="N56" s="35"/>
      <c r="O56" s="35"/>
      <c r="P56" s="35">
        <f t="shared" si="7"/>
        <v>73148</v>
      </c>
      <c r="Q56" s="77"/>
    </row>
    <row r="57" spans="1:17" s="25" customFormat="1" ht="45">
      <c r="A57" s="23"/>
      <c r="B57" s="26" t="s">
        <v>79</v>
      </c>
      <c r="C57" s="26" t="s">
        <v>155</v>
      </c>
      <c r="D57" s="27" t="s">
        <v>80</v>
      </c>
      <c r="E57" s="35">
        <f t="shared" si="6"/>
        <v>45250</v>
      </c>
      <c r="F57" s="35">
        <v>45250</v>
      </c>
      <c r="G57" s="35"/>
      <c r="H57" s="35"/>
      <c r="I57" s="37"/>
      <c r="J57" s="35">
        <f t="shared" si="8"/>
        <v>0</v>
      </c>
      <c r="K57" s="35"/>
      <c r="L57" s="35"/>
      <c r="M57" s="35"/>
      <c r="N57" s="35"/>
      <c r="O57" s="35"/>
      <c r="P57" s="35">
        <f t="shared" si="7"/>
        <v>45250</v>
      </c>
      <c r="Q57" s="77"/>
    </row>
    <row r="58" spans="1:17" s="25" customFormat="1" ht="75">
      <c r="A58" s="23"/>
      <c r="B58" s="26" t="s">
        <v>27</v>
      </c>
      <c r="C58" s="26" t="s">
        <v>139</v>
      </c>
      <c r="D58" s="28" t="s">
        <v>28</v>
      </c>
      <c r="E58" s="35">
        <f t="shared" si="6"/>
        <v>2000000</v>
      </c>
      <c r="F58" s="35">
        <v>2000000</v>
      </c>
      <c r="G58" s="35"/>
      <c r="H58" s="35"/>
      <c r="I58" s="37"/>
      <c r="J58" s="35">
        <f t="shared" si="8"/>
        <v>0</v>
      </c>
      <c r="K58" s="35"/>
      <c r="L58" s="35"/>
      <c r="M58" s="35"/>
      <c r="N58" s="35"/>
      <c r="O58" s="35"/>
      <c r="P58" s="35">
        <f t="shared" si="7"/>
        <v>2000000</v>
      </c>
      <c r="Q58" s="77"/>
    </row>
    <row r="59" spans="1:17" s="25" customFormat="1" ht="45">
      <c r="A59" s="23"/>
      <c r="B59" s="26" t="s">
        <v>37</v>
      </c>
      <c r="C59" s="26" t="s">
        <v>142</v>
      </c>
      <c r="D59" s="27" t="s">
        <v>38</v>
      </c>
      <c r="E59" s="35">
        <f t="shared" si="6"/>
        <v>2562534</v>
      </c>
      <c r="F59" s="35">
        <f>2940630-378096</f>
        <v>2562534</v>
      </c>
      <c r="G59" s="35">
        <f>1887404-88687</f>
        <v>1798717</v>
      </c>
      <c r="H59" s="35">
        <v>182401</v>
      </c>
      <c r="I59" s="37"/>
      <c r="J59" s="35">
        <f t="shared" si="8"/>
        <v>0</v>
      </c>
      <c r="K59" s="37"/>
      <c r="L59" s="37"/>
      <c r="M59" s="37"/>
      <c r="N59" s="37"/>
      <c r="O59" s="37"/>
      <c r="P59" s="35">
        <f t="shared" si="7"/>
        <v>2562534</v>
      </c>
      <c r="Q59" s="77"/>
    </row>
    <row r="60" spans="1:17" s="25" customFormat="1" ht="30">
      <c r="A60" s="23"/>
      <c r="B60" s="26" t="s">
        <v>267</v>
      </c>
      <c r="C60" s="26" t="s">
        <v>148</v>
      </c>
      <c r="D60" s="27" t="s">
        <v>268</v>
      </c>
      <c r="E60" s="35">
        <f t="shared" si="6"/>
        <v>0</v>
      </c>
      <c r="F60" s="35"/>
      <c r="G60" s="35"/>
      <c r="H60" s="35"/>
      <c r="I60" s="37"/>
      <c r="J60" s="35">
        <f t="shared" si="8"/>
        <v>70000</v>
      </c>
      <c r="K60" s="53">
        <v>40000</v>
      </c>
      <c r="L60" s="53"/>
      <c r="M60" s="53"/>
      <c r="N60" s="53">
        <v>30000</v>
      </c>
      <c r="O60" s="37"/>
      <c r="P60" s="35">
        <f t="shared" si="7"/>
        <v>70000</v>
      </c>
      <c r="Q60" s="77"/>
    </row>
    <row r="61" spans="1:17" s="25" customFormat="1" ht="15">
      <c r="A61" s="23"/>
      <c r="B61" s="26" t="s">
        <v>269</v>
      </c>
      <c r="C61" s="26" t="s">
        <v>156</v>
      </c>
      <c r="D61" s="27" t="s">
        <v>81</v>
      </c>
      <c r="E61" s="35">
        <f t="shared" si="6"/>
        <v>0</v>
      </c>
      <c r="F61" s="35"/>
      <c r="G61" s="35"/>
      <c r="H61" s="35"/>
      <c r="I61" s="37"/>
      <c r="J61" s="35">
        <f t="shared" si="8"/>
        <v>250000</v>
      </c>
      <c r="K61" s="53">
        <v>160000</v>
      </c>
      <c r="L61" s="53"/>
      <c r="M61" s="53"/>
      <c r="N61" s="53">
        <v>90000</v>
      </c>
      <c r="O61" s="37"/>
      <c r="P61" s="35">
        <f t="shared" si="7"/>
        <v>250000</v>
      </c>
      <c r="Q61" s="77"/>
    </row>
    <row r="62" spans="1:17" s="25" customFormat="1" ht="28.5">
      <c r="A62" s="23"/>
      <c r="B62" s="30"/>
      <c r="C62" s="30"/>
      <c r="D62" s="31" t="s">
        <v>157</v>
      </c>
      <c r="E62" s="37">
        <f aca="true" t="shared" si="9" ref="E62:O62">E64+E65+E67+E69+E71+E73+E75+E77+E79</f>
        <v>209720625</v>
      </c>
      <c r="F62" s="37">
        <f t="shared" si="9"/>
        <v>209720625</v>
      </c>
      <c r="G62" s="37">
        <f t="shared" si="9"/>
        <v>120574204</v>
      </c>
      <c r="H62" s="37">
        <f t="shared" si="9"/>
        <v>18568595</v>
      </c>
      <c r="I62" s="37">
        <f t="shared" si="9"/>
        <v>0</v>
      </c>
      <c r="J62" s="37">
        <f t="shared" si="9"/>
        <v>28365414</v>
      </c>
      <c r="K62" s="37">
        <f t="shared" si="9"/>
        <v>11785214</v>
      </c>
      <c r="L62" s="37">
        <f t="shared" si="9"/>
        <v>6344242</v>
      </c>
      <c r="M62" s="37">
        <f t="shared" si="9"/>
        <v>481149</v>
      </c>
      <c r="N62" s="37">
        <f t="shared" si="9"/>
        <v>16580200</v>
      </c>
      <c r="O62" s="37">
        <f t="shared" si="9"/>
        <v>16580200</v>
      </c>
      <c r="P62" s="37">
        <f>P64+P65+P67+P69+P71+P73+P75+P77+P79</f>
        <v>238086039</v>
      </c>
      <c r="Q62" s="77"/>
    </row>
    <row r="63" spans="1:17" s="51" customFormat="1" ht="15">
      <c r="A63" s="50"/>
      <c r="B63" s="47"/>
      <c r="C63" s="47"/>
      <c r="D63" s="40" t="s">
        <v>213</v>
      </c>
      <c r="E63" s="35">
        <f>F63+I63</f>
        <v>178130800</v>
      </c>
      <c r="F63" s="53">
        <f>F66+F68+F70+F72+F74+F76+F78</f>
        <v>178130800</v>
      </c>
      <c r="G63" s="53">
        <f aca="true" t="shared" si="10" ref="G63:O63">G66+G68+G70+G72+G74+G76+G78</f>
        <v>119816622</v>
      </c>
      <c r="H63" s="53">
        <f t="shared" si="10"/>
        <v>18490645</v>
      </c>
      <c r="I63" s="53">
        <f t="shared" si="10"/>
        <v>0</v>
      </c>
      <c r="J63" s="35">
        <f>K63+N63</f>
        <v>0</v>
      </c>
      <c r="K63" s="53">
        <f t="shared" si="10"/>
        <v>0</v>
      </c>
      <c r="L63" s="53">
        <f t="shared" si="10"/>
        <v>0</v>
      </c>
      <c r="M63" s="53">
        <f t="shared" si="10"/>
        <v>0</v>
      </c>
      <c r="N63" s="53">
        <f t="shared" si="10"/>
        <v>0</v>
      </c>
      <c r="O63" s="53">
        <f t="shared" si="10"/>
        <v>0</v>
      </c>
      <c r="P63" s="35">
        <f>E63+J63</f>
        <v>178130800</v>
      </c>
      <c r="Q63" s="77"/>
    </row>
    <row r="64" spans="1:17" s="25" customFormat="1" ht="15">
      <c r="A64" s="23"/>
      <c r="B64" s="26" t="s">
        <v>11</v>
      </c>
      <c r="C64" s="26" t="s">
        <v>9</v>
      </c>
      <c r="D64" s="27" t="s">
        <v>16</v>
      </c>
      <c r="E64" s="35">
        <f aca="true" t="shared" si="11" ref="E64:E79">F64+I64</f>
        <v>465340</v>
      </c>
      <c r="F64" s="35">
        <f>501690-36350</f>
        <v>465340</v>
      </c>
      <c r="G64" s="35">
        <f>324260+3570</f>
        <v>327830</v>
      </c>
      <c r="H64" s="35">
        <v>18179</v>
      </c>
      <c r="I64" s="37"/>
      <c r="J64" s="35">
        <f aca="true" t="shared" si="12" ref="J64:J79">K64+N64</f>
        <v>320200</v>
      </c>
      <c r="K64" s="37"/>
      <c r="L64" s="37"/>
      <c r="M64" s="37"/>
      <c r="N64" s="53">
        <v>320200</v>
      </c>
      <c r="O64" s="53">
        <v>320200</v>
      </c>
      <c r="P64" s="35">
        <f aca="true" t="shared" si="13" ref="P64:P79">E64+J64</f>
        <v>785540</v>
      </c>
      <c r="Q64" s="77"/>
    </row>
    <row r="65" spans="1:17" s="25" customFormat="1" ht="15">
      <c r="A65" s="23"/>
      <c r="B65" s="26" t="s">
        <v>82</v>
      </c>
      <c r="C65" s="26" t="s">
        <v>158</v>
      </c>
      <c r="D65" s="27" t="s">
        <v>83</v>
      </c>
      <c r="E65" s="35">
        <f t="shared" si="11"/>
        <v>168502759</v>
      </c>
      <c r="F65" s="35">
        <f>185364829+8898601-3182667-22578004</f>
        <v>168502759</v>
      </c>
      <c r="G65" s="35">
        <f>111910141+7414009-15923234</f>
        <v>103400916</v>
      </c>
      <c r="H65" s="35">
        <v>15447851</v>
      </c>
      <c r="I65" s="37"/>
      <c r="J65" s="35">
        <f t="shared" si="12"/>
        <v>19844182</v>
      </c>
      <c r="K65" s="35">
        <v>7844182</v>
      </c>
      <c r="L65" s="35">
        <v>4083407</v>
      </c>
      <c r="M65" s="35">
        <v>177480</v>
      </c>
      <c r="N65" s="35">
        <f>11900000+100000</f>
        <v>12000000</v>
      </c>
      <c r="O65" s="35">
        <f>11900000+100000</f>
        <v>12000000</v>
      </c>
      <c r="P65" s="35">
        <f t="shared" si="13"/>
        <v>188346941</v>
      </c>
      <c r="Q65" s="77"/>
    </row>
    <row r="66" spans="1:17" s="25" customFormat="1" ht="15">
      <c r="A66" s="23"/>
      <c r="B66" s="26"/>
      <c r="C66" s="26"/>
      <c r="D66" s="40" t="s">
        <v>213</v>
      </c>
      <c r="E66" s="35">
        <f t="shared" si="11"/>
        <v>145594848</v>
      </c>
      <c r="F66" s="35">
        <f>148777515-3182667</f>
        <v>145594848</v>
      </c>
      <c r="G66" s="35">
        <f>95557155+7414009</f>
        <v>102971164</v>
      </c>
      <c r="H66" s="35">
        <v>15388080</v>
      </c>
      <c r="I66" s="37"/>
      <c r="J66" s="35">
        <f t="shared" si="12"/>
        <v>0</v>
      </c>
      <c r="K66" s="35"/>
      <c r="L66" s="35"/>
      <c r="M66" s="35"/>
      <c r="N66" s="35"/>
      <c r="O66" s="35"/>
      <c r="P66" s="35">
        <f t="shared" si="13"/>
        <v>145594848</v>
      </c>
      <c r="Q66" s="77"/>
    </row>
    <row r="67" spans="1:17" s="25" customFormat="1" ht="15" customHeight="1">
      <c r="A67" s="23"/>
      <c r="B67" s="32" t="s">
        <v>84</v>
      </c>
      <c r="C67" s="32" t="s">
        <v>159</v>
      </c>
      <c r="D67" s="33" t="s">
        <v>85</v>
      </c>
      <c r="E67" s="35">
        <f t="shared" si="11"/>
        <v>18265764</v>
      </c>
      <c r="F67" s="35">
        <f>21492078-514223-2712091</f>
        <v>18265764</v>
      </c>
      <c r="G67" s="35">
        <f>12880040+855030-1989840</f>
        <v>11745230</v>
      </c>
      <c r="H67" s="35">
        <v>2655803</v>
      </c>
      <c r="I67" s="37"/>
      <c r="J67" s="35">
        <f t="shared" si="12"/>
        <v>1525240</v>
      </c>
      <c r="K67" s="35">
        <v>25240</v>
      </c>
      <c r="L67" s="35">
        <v>9460</v>
      </c>
      <c r="M67" s="35">
        <v>4150</v>
      </c>
      <c r="N67" s="35">
        <v>1500000</v>
      </c>
      <c r="O67" s="35">
        <v>1500000</v>
      </c>
      <c r="P67" s="35">
        <f t="shared" si="13"/>
        <v>19791004</v>
      </c>
      <c r="Q67" s="77"/>
    </row>
    <row r="68" spans="1:17" s="25" customFormat="1" ht="15" customHeight="1">
      <c r="A68" s="23"/>
      <c r="B68" s="32"/>
      <c r="C68" s="32"/>
      <c r="D68" s="40" t="s">
        <v>213</v>
      </c>
      <c r="E68" s="35">
        <f t="shared" si="11"/>
        <v>17242714</v>
      </c>
      <c r="F68" s="35">
        <f>17756937-514223</f>
        <v>17242714</v>
      </c>
      <c r="G68" s="35">
        <f>10890200+855030</f>
        <v>11745230</v>
      </c>
      <c r="H68" s="35">
        <v>2655803</v>
      </c>
      <c r="I68" s="37"/>
      <c r="J68" s="35">
        <f t="shared" si="12"/>
        <v>0</v>
      </c>
      <c r="K68" s="35"/>
      <c r="L68" s="35"/>
      <c r="M68" s="35"/>
      <c r="N68" s="35"/>
      <c r="O68" s="35"/>
      <c r="P68" s="35">
        <f t="shared" si="13"/>
        <v>17242714</v>
      </c>
      <c r="Q68" s="77"/>
    </row>
    <row r="69" spans="1:17" s="25" customFormat="1" ht="60">
      <c r="A69" s="23"/>
      <c r="B69" s="47" t="s">
        <v>190</v>
      </c>
      <c r="C69" s="47" t="s">
        <v>191</v>
      </c>
      <c r="D69" s="40" t="s">
        <v>192</v>
      </c>
      <c r="E69" s="35">
        <f t="shared" si="11"/>
        <v>1611438</v>
      </c>
      <c r="F69" s="35">
        <f>2196578-72487-512653</f>
        <v>1611438</v>
      </c>
      <c r="G69" s="35">
        <f>1538529+67981-378621</f>
        <v>1227889</v>
      </c>
      <c r="H69" s="35">
        <v>76813</v>
      </c>
      <c r="I69" s="37"/>
      <c r="J69" s="35">
        <f t="shared" si="12"/>
        <v>407000</v>
      </c>
      <c r="K69" s="35">
        <v>407000</v>
      </c>
      <c r="L69" s="35">
        <v>98000</v>
      </c>
      <c r="M69" s="35">
        <v>132800</v>
      </c>
      <c r="N69" s="35"/>
      <c r="O69" s="35"/>
      <c r="P69" s="35">
        <f t="shared" si="13"/>
        <v>2018438</v>
      </c>
      <c r="Q69" s="77"/>
    </row>
    <row r="70" spans="1:17" s="25" customFormat="1" ht="15">
      <c r="A70" s="23"/>
      <c r="B70" s="47"/>
      <c r="C70" s="47"/>
      <c r="D70" s="40" t="s">
        <v>213</v>
      </c>
      <c r="E70" s="35">
        <f t="shared" si="11"/>
        <v>1580988</v>
      </c>
      <c r="F70" s="35">
        <f>1653475-72487</f>
        <v>1580988</v>
      </c>
      <c r="G70" s="35">
        <f>1159908+67981</f>
        <v>1227889</v>
      </c>
      <c r="H70" s="35">
        <v>76813</v>
      </c>
      <c r="I70" s="37"/>
      <c r="J70" s="35">
        <f t="shared" si="12"/>
        <v>0</v>
      </c>
      <c r="K70" s="35"/>
      <c r="L70" s="35"/>
      <c r="M70" s="35"/>
      <c r="N70" s="35"/>
      <c r="O70" s="35"/>
      <c r="P70" s="35">
        <f t="shared" si="13"/>
        <v>1580988</v>
      </c>
      <c r="Q70" s="77"/>
    </row>
    <row r="71" spans="1:17" s="25" customFormat="1" ht="30">
      <c r="A71" s="23"/>
      <c r="B71" s="26" t="s">
        <v>86</v>
      </c>
      <c r="C71" s="26" t="s">
        <v>160</v>
      </c>
      <c r="D71" s="27" t="s">
        <v>87</v>
      </c>
      <c r="E71" s="35">
        <f t="shared" si="11"/>
        <v>4278280</v>
      </c>
      <c r="F71" s="35">
        <f>5135524-113812-743432</f>
        <v>4278280</v>
      </c>
      <c r="G71" s="35">
        <f>3329538+233048-545438</f>
        <v>3017148</v>
      </c>
      <c r="H71" s="35">
        <v>339954</v>
      </c>
      <c r="I71" s="37"/>
      <c r="J71" s="35">
        <f t="shared" si="12"/>
        <v>4353292</v>
      </c>
      <c r="K71" s="35">
        <v>3353292</v>
      </c>
      <c r="L71" s="35">
        <v>2153375</v>
      </c>
      <c r="M71" s="35">
        <v>166719</v>
      </c>
      <c r="N71" s="35">
        <v>1000000</v>
      </c>
      <c r="O71" s="35">
        <v>1000000</v>
      </c>
      <c r="P71" s="35">
        <f t="shared" si="13"/>
        <v>8631572</v>
      </c>
      <c r="Q71" s="77" t="s">
        <v>289</v>
      </c>
    </row>
    <row r="72" spans="1:17" s="25" customFormat="1" ht="15">
      <c r="A72" s="23"/>
      <c r="B72" s="26"/>
      <c r="C72" s="26"/>
      <c r="D72" s="40" t="s">
        <v>213</v>
      </c>
      <c r="E72" s="35">
        <f t="shared" si="11"/>
        <v>4098275</v>
      </c>
      <c r="F72" s="35">
        <f>4212087-113812</f>
        <v>4098275</v>
      </c>
      <c r="G72" s="35">
        <f>2784100+233048</f>
        <v>3017148</v>
      </c>
      <c r="H72" s="35">
        <v>339954</v>
      </c>
      <c r="I72" s="37"/>
      <c r="J72" s="35">
        <f t="shared" si="12"/>
        <v>0</v>
      </c>
      <c r="K72" s="35"/>
      <c r="L72" s="35"/>
      <c r="M72" s="35"/>
      <c r="N72" s="35"/>
      <c r="O72" s="35"/>
      <c r="P72" s="35">
        <f t="shared" si="13"/>
        <v>4098275</v>
      </c>
      <c r="Q72" s="77"/>
    </row>
    <row r="73" spans="1:17" s="25" customFormat="1" ht="30">
      <c r="A73" s="23"/>
      <c r="B73" s="26" t="s">
        <v>88</v>
      </c>
      <c r="C73" s="26" t="s">
        <v>161</v>
      </c>
      <c r="D73" s="33" t="s">
        <v>89</v>
      </c>
      <c r="E73" s="35">
        <f t="shared" si="11"/>
        <v>9270774</v>
      </c>
      <c r="F73" s="35">
        <f>10647211-240883-1135554</f>
        <v>9270774</v>
      </c>
      <c r="G73" s="35"/>
      <c r="H73" s="35"/>
      <c r="I73" s="37"/>
      <c r="J73" s="35">
        <f t="shared" si="12"/>
        <v>1855500</v>
      </c>
      <c r="K73" s="35">
        <v>155500</v>
      </c>
      <c r="L73" s="35"/>
      <c r="M73" s="35"/>
      <c r="N73" s="35">
        <v>1700000</v>
      </c>
      <c r="O73" s="35">
        <v>1700000</v>
      </c>
      <c r="P73" s="35">
        <f t="shared" si="13"/>
        <v>11126274</v>
      </c>
      <c r="Q73" s="77"/>
    </row>
    <row r="74" spans="1:17" s="25" customFormat="1" ht="15">
      <c r="A74" s="23"/>
      <c r="B74" s="26"/>
      <c r="C74" s="26"/>
      <c r="D74" s="40" t="s">
        <v>213</v>
      </c>
      <c r="E74" s="35">
        <f t="shared" si="11"/>
        <v>8270640</v>
      </c>
      <c r="F74" s="35">
        <f>8511523-240883</f>
        <v>8270640</v>
      </c>
      <c r="G74" s="35"/>
      <c r="H74" s="35"/>
      <c r="I74" s="37"/>
      <c r="J74" s="35">
        <f t="shared" si="12"/>
        <v>0</v>
      </c>
      <c r="K74" s="35"/>
      <c r="L74" s="35"/>
      <c r="M74" s="35"/>
      <c r="N74" s="35"/>
      <c r="O74" s="35"/>
      <c r="P74" s="35">
        <f t="shared" si="13"/>
        <v>8270640</v>
      </c>
      <c r="Q74" s="77"/>
    </row>
    <row r="75" spans="1:17" s="25" customFormat="1" ht="15">
      <c r="A75" s="23"/>
      <c r="B75" s="26" t="s">
        <v>90</v>
      </c>
      <c r="C75" s="26" t="s">
        <v>162</v>
      </c>
      <c r="D75" s="27" t="s">
        <v>91</v>
      </c>
      <c r="E75" s="35">
        <f t="shared" si="11"/>
        <v>1829149</v>
      </c>
      <c r="F75" s="35">
        <f>1881157-9626-42382</f>
        <v>1829149</v>
      </c>
      <c r="G75" s="35">
        <f>415979+34677-31279</f>
        <v>419377</v>
      </c>
      <c r="H75" s="35">
        <v>11415</v>
      </c>
      <c r="I75" s="37"/>
      <c r="J75" s="35">
        <f t="shared" si="12"/>
        <v>20000</v>
      </c>
      <c r="K75" s="37"/>
      <c r="L75" s="37"/>
      <c r="M75" s="37"/>
      <c r="N75" s="35">
        <v>20000</v>
      </c>
      <c r="O75" s="35">
        <v>20000</v>
      </c>
      <c r="P75" s="35">
        <f t="shared" si="13"/>
        <v>1849149</v>
      </c>
      <c r="Q75" s="77"/>
    </row>
    <row r="76" spans="1:17" s="25" customFormat="1" ht="15">
      <c r="A76" s="23"/>
      <c r="B76" s="26"/>
      <c r="C76" s="26"/>
      <c r="D76" s="40" t="s">
        <v>213</v>
      </c>
      <c r="E76" s="35">
        <f t="shared" si="11"/>
        <v>768065</v>
      </c>
      <c r="F76" s="35">
        <f>777691-9626</f>
        <v>768065</v>
      </c>
      <c r="G76" s="35">
        <f>384700+34677</f>
        <v>419377</v>
      </c>
      <c r="H76" s="35">
        <v>11415</v>
      </c>
      <c r="I76" s="37"/>
      <c r="J76" s="35">
        <f t="shared" si="12"/>
        <v>0</v>
      </c>
      <c r="K76" s="37"/>
      <c r="L76" s="37"/>
      <c r="M76" s="37"/>
      <c r="N76" s="37"/>
      <c r="O76" s="37"/>
      <c r="P76" s="35">
        <f t="shared" si="13"/>
        <v>768065</v>
      </c>
      <c r="Q76" s="77"/>
    </row>
    <row r="77" spans="1:17" s="25" customFormat="1" ht="66" customHeight="1">
      <c r="A77" s="23"/>
      <c r="B77" s="32" t="s">
        <v>92</v>
      </c>
      <c r="C77" s="32" t="s">
        <v>162</v>
      </c>
      <c r="D77" s="33" t="s">
        <v>93</v>
      </c>
      <c r="E77" s="35">
        <f t="shared" si="11"/>
        <v>650274</v>
      </c>
      <c r="F77" s="35">
        <f>701177-6802-44101</f>
        <v>650274</v>
      </c>
      <c r="G77" s="35">
        <f>430788+37639-32613</f>
        <v>435814</v>
      </c>
      <c r="H77" s="35">
        <v>18580</v>
      </c>
      <c r="I77" s="37"/>
      <c r="J77" s="35">
        <f t="shared" si="12"/>
        <v>40000</v>
      </c>
      <c r="K77" s="37"/>
      <c r="L77" s="37"/>
      <c r="M77" s="37"/>
      <c r="N77" s="35">
        <v>40000</v>
      </c>
      <c r="O77" s="35">
        <v>40000</v>
      </c>
      <c r="P77" s="35">
        <f t="shared" si="13"/>
        <v>690274</v>
      </c>
      <c r="Q77" s="77"/>
    </row>
    <row r="78" spans="1:17" s="25" customFormat="1" ht="15">
      <c r="A78" s="23"/>
      <c r="B78" s="32"/>
      <c r="C78" s="32"/>
      <c r="D78" s="40" t="s">
        <v>213</v>
      </c>
      <c r="E78" s="35">
        <f t="shared" si="11"/>
        <v>575270</v>
      </c>
      <c r="F78" s="35">
        <f>582072-6802</f>
        <v>575270</v>
      </c>
      <c r="G78" s="35">
        <f>398175+37639</f>
        <v>435814</v>
      </c>
      <c r="H78" s="35">
        <v>18580</v>
      </c>
      <c r="I78" s="37"/>
      <c r="J78" s="35">
        <f t="shared" si="12"/>
        <v>0</v>
      </c>
      <c r="K78" s="37"/>
      <c r="L78" s="37"/>
      <c r="M78" s="37"/>
      <c r="N78" s="35"/>
      <c r="O78" s="35"/>
      <c r="P78" s="35">
        <f t="shared" si="13"/>
        <v>575270</v>
      </c>
      <c r="Q78" s="77"/>
    </row>
    <row r="79" spans="1:17" s="25" customFormat="1" ht="45">
      <c r="A79" s="23"/>
      <c r="B79" s="32" t="s">
        <v>256</v>
      </c>
      <c r="C79" s="32" t="s">
        <v>162</v>
      </c>
      <c r="D79" s="27" t="s">
        <v>257</v>
      </c>
      <c r="E79" s="35">
        <f t="shared" si="11"/>
        <v>4846847</v>
      </c>
      <c r="F79" s="35">
        <v>4846847</v>
      </c>
      <c r="G79" s="35"/>
      <c r="H79" s="35"/>
      <c r="I79" s="37"/>
      <c r="J79" s="35">
        <f t="shared" si="12"/>
        <v>0</v>
      </c>
      <c r="K79" s="37"/>
      <c r="L79" s="37"/>
      <c r="M79" s="37"/>
      <c r="N79" s="35"/>
      <c r="O79" s="35"/>
      <c r="P79" s="35">
        <f t="shared" si="13"/>
        <v>4846847</v>
      </c>
      <c r="Q79" s="77"/>
    </row>
    <row r="80" spans="1:18" s="25" customFormat="1" ht="28.5">
      <c r="A80" s="23"/>
      <c r="B80" s="30"/>
      <c r="C80" s="30"/>
      <c r="D80" s="31" t="s">
        <v>163</v>
      </c>
      <c r="E80" s="37">
        <f>E81+E82+E83+E84+E85+E86+E87+E88+E89+E90+E91+E92+E93+E94+E95</f>
        <v>29896325</v>
      </c>
      <c r="F80" s="37">
        <f aca="true" t="shared" si="14" ref="F80:P80">F81+F82+F83+F84+F85+F86+F87+F88+F89+F90+F91+F92+F93+F94+F95</f>
        <v>29896325</v>
      </c>
      <c r="G80" s="37">
        <f t="shared" si="14"/>
        <v>15723513</v>
      </c>
      <c r="H80" s="37">
        <f t="shared" si="14"/>
        <v>653269</v>
      </c>
      <c r="I80" s="37">
        <f t="shared" si="14"/>
        <v>0</v>
      </c>
      <c r="J80" s="37">
        <f t="shared" si="14"/>
        <v>724800</v>
      </c>
      <c r="K80" s="37">
        <f t="shared" si="14"/>
        <v>27800</v>
      </c>
      <c r="L80" s="37">
        <f t="shared" si="14"/>
        <v>18822</v>
      </c>
      <c r="M80" s="37">
        <f t="shared" si="14"/>
        <v>0</v>
      </c>
      <c r="N80" s="37">
        <f t="shared" si="14"/>
        <v>697000</v>
      </c>
      <c r="O80" s="37">
        <f t="shared" si="14"/>
        <v>697000</v>
      </c>
      <c r="P80" s="37">
        <f t="shared" si="14"/>
        <v>30621125</v>
      </c>
      <c r="Q80" s="77"/>
      <c r="R80" s="48"/>
    </row>
    <row r="81" spans="1:17" s="25" customFormat="1" ht="15">
      <c r="A81" s="23"/>
      <c r="B81" s="26" t="s">
        <v>11</v>
      </c>
      <c r="C81" s="26" t="s">
        <v>9</v>
      </c>
      <c r="D81" s="27" t="s">
        <v>94</v>
      </c>
      <c r="E81" s="35">
        <f>F81+I81</f>
        <v>14034040</v>
      </c>
      <c r="F81" s="35">
        <f>15846830-1812790</f>
        <v>14034040</v>
      </c>
      <c r="G81" s="35">
        <f>10990800-210790</f>
        <v>10780010</v>
      </c>
      <c r="H81" s="35">
        <v>369473</v>
      </c>
      <c r="I81" s="35"/>
      <c r="J81" s="35">
        <f>K81+N81</f>
        <v>200000</v>
      </c>
      <c r="K81" s="35"/>
      <c r="L81" s="35"/>
      <c r="M81" s="35"/>
      <c r="N81" s="35">
        <v>200000</v>
      </c>
      <c r="O81" s="35">
        <v>200000</v>
      </c>
      <c r="P81" s="35">
        <f>E81+J81</f>
        <v>14234040</v>
      </c>
      <c r="Q81" s="77"/>
    </row>
    <row r="82" spans="1:17" s="25" customFormat="1" ht="39.75" customHeight="1">
      <c r="A82" s="23"/>
      <c r="B82" s="26" t="s">
        <v>208</v>
      </c>
      <c r="C82" s="26" t="s">
        <v>165</v>
      </c>
      <c r="D82" s="27" t="s">
        <v>209</v>
      </c>
      <c r="E82" s="35">
        <f aca="true" t="shared" si="15" ref="E82:E95">F82+I82</f>
        <v>632700</v>
      </c>
      <c r="F82" s="35">
        <f>250000+382700</f>
        <v>632700</v>
      </c>
      <c r="G82" s="35"/>
      <c r="H82" s="35"/>
      <c r="I82" s="35"/>
      <c r="J82" s="35">
        <f aca="true" t="shared" si="16" ref="J82:J95">K82+N82</f>
        <v>0</v>
      </c>
      <c r="K82" s="35"/>
      <c r="L82" s="35"/>
      <c r="M82" s="35"/>
      <c r="N82" s="35"/>
      <c r="O82" s="35"/>
      <c r="P82" s="35">
        <f aca="true" t="shared" si="17" ref="P82:P95">E82+J82</f>
        <v>632700</v>
      </c>
      <c r="Q82" s="77"/>
    </row>
    <row r="83" spans="1:17" s="25" customFormat="1" ht="30">
      <c r="A83" s="23"/>
      <c r="B83" s="26" t="s">
        <v>17</v>
      </c>
      <c r="C83" s="26" t="s">
        <v>138</v>
      </c>
      <c r="D83" s="27" t="s">
        <v>18</v>
      </c>
      <c r="E83" s="35">
        <f t="shared" si="15"/>
        <v>2105751</v>
      </c>
      <c r="F83" s="35">
        <f>1730323+45128+330300</f>
        <v>2105751</v>
      </c>
      <c r="G83" s="35"/>
      <c r="H83" s="35"/>
      <c r="I83" s="35"/>
      <c r="J83" s="35">
        <f t="shared" si="16"/>
        <v>0</v>
      </c>
      <c r="K83" s="35"/>
      <c r="L83" s="35"/>
      <c r="M83" s="35"/>
      <c r="N83" s="35"/>
      <c r="O83" s="35"/>
      <c r="P83" s="35">
        <f t="shared" si="17"/>
        <v>2105751</v>
      </c>
      <c r="Q83" s="77"/>
    </row>
    <row r="84" spans="1:17" s="25" customFormat="1" ht="30">
      <c r="A84" s="23"/>
      <c r="B84" s="26" t="s">
        <v>95</v>
      </c>
      <c r="C84" s="26" t="s">
        <v>164</v>
      </c>
      <c r="D84" s="27" t="s">
        <v>96</v>
      </c>
      <c r="E84" s="35">
        <f t="shared" si="15"/>
        <v>991405</v>
      </c>
      <c r="F84" s="35">
        <f>902586+88819</f>
        <v>991405</v>
      </c>
      <c r="G84" s="35"/>
      <c r="H84" s="35"/>
      <c r="I84" s="35"/>
      <c r="J84" s="35">
        <f t="shared" si="16"/>
        <v>0</v>
      </c>
      <c r="K84" s="35"/>
      <c r="L84" s="35"/>
      <c r="M84" s="35"/>
      <c r="N84" s="35"/>
      <c r="O84" s="35"/>
      <c r="P84" s="35">
        <f t="shared" si="17"/>
        <v>991405</v>
      </c>
      <c r="Q84" s="77"/>
    </row>
    <row r="85" spans="1:17" s="25" customFormat="1" ht="30">
      <c r="A85" s="23"/>
      <c r="B85" s="26" t="s">
        <v>258</v>
      </c>
      <c r="C85" s="26" t="s">
        <v>164</v>
      </c>
      <c r="D85" s="27" t="s">
        <v>259</v>
      </c>
      <c r="E85" s="35">
        <f t="shared" si="15"/>
        <v>181400</v>
      </c>
      <c r="F85" s="35">
        <v>181400</v>
      </c>
      <c r="G85" s="35"/>
      <c r="H85" s="35"/>
      <c r="I85" s="35"/>
      <c r="J85" s="35">
        <f t="shared" si="16"/>
        <v>0</v>
      </c>
      <c r="K85" s="35"/>
      <c r="L85" s="35"/>
      <c r="M85" s="35"/>
      <c r="N85" s="35"/>
      <c r="O85" s="35"/>
      <c r="P85" s="35">
        <f t="shared" si="17"/>
        <v>181400</v>
      </c>
      <c r="Q85" s="77"/>
    </row>
    <row r="86" spans="1:17" s="25" customFormat="1" ht="30">
      <c r="A86" s="23"/>
      <c r="B86" s="26" t="s">
        <v>210</v>
      </c>
      <c r="C86" s="26" t="s">
        <v>211</v>
      </c>
      <c r="D86" s="27" t="s">
        <v>212</v>
      </c>
      <c r="E86" s="35">
        <f t="shared" si="15"/>
        <v>143598</v>
      </c>
      <c r="F86" s="35">
        <f>160429-16831</f>
        <v>143598</v>
      </c>
      <c r="G86" s="35">
        <v>117703</v>
      </c>
      <c r="H86" s="35"/>
      <c r="I86" s="35"/>
      <c r="J86" s="35">
        <f t="shared" si="16"/>
        <v>0</v>
      </c>
      <c r="K86" s="35"/>
      <c r="L86" s="35"/>
      <c r="M86" s="35"/>
      <c r="N86" s="35"/>
      <c r="O86" s="35"/>
      <c r="P86" s="35">
        <f t="shared" si="17"/>
        <v>143598</v>
      </c>
      <c r="Q86" s="77"/>
    </row>
    <row r="87" spans="1:17" s="25" customFormat="1" ht="45">
      <c r="A87" s="23"/>
      <c r="B87" s="26" t="s">
        <v>97</v>
      </c>
      <c r="C87" s="26" t="s">
        <v>168</v>
      </c>
      <c r="D87" s="27" t="s">
        <v>98</v>
      </c>
      <c r="E87" s="35">
        <f t="shared" si="15"/>
        <v>5505100</v>
      </c>
      <c r="F87" s="35">
        <f>6697900+170500-1363300</f>
        <v>5505100</v>
      </c>
      <c r="G87" s="35">
        <f>4614400+54100-591900</f>
        <v>4076600</v>
      </c>
      <c r="H87" s="35">
        <f>154005+2561</f>
        <v>156566</v>
      </c>
      <c r="I87" s="35"/>
      <c r="J87" s="35">
        <f t="shared" si="16"/>
        <v>324800</v>
      </c>
      <c r="K87" s="35">
        <v>27800</v>
      </c>
      <c r="L87" s="35">
        <v>18822</v>
      </c>
      <c r="M87" s="35"/>
      <c r="N87" s="35">
        <v>297000</v>
      </c>
      <c r="O87" s="35">
        <v>297000</v>
      </c>
      <c r="P87" s="35">
        <f t="shared" si="17"/>
        <v>5829900</v>
      </c>
      <c r="Q87" s="77"/>
    </row>
    <row r="88" spans="1:17" s="25" customFormat="1" ht="86.25" customHeight="1">
      <c r="A88" s="23"/>
      <c r="B88" s="26" t="s">
        <v>99</v>
      </c>
      <c r="C88" s="26" t="s">
        <v>167</v>
      </c>
      <c r="D88" s="27" t="s">
        <v>100</v>
      </c>
      <c r="E88" s="35">
        <f t="shared" si="15"/>
        <v>1397200</v>
      </c>
      <c r="F88" s="35">
        <v>1397200</v>
      </c>
      <c r="G88" s="35"/>
      <c r="H88" s="35"/>
      <c r="I88" s="35"/>
      <c r="J88" s="35">
        <f t="shared" si="16"/>
        <v>0</v>
      </c>
      <c r="K88" s="35"/>
      <c r="L88" s="35"/>
      <c r="M88" s="35"/>
      <c r="N88" s="35"/>
      <c r="O88" s="35"/>
      <c r="P88" s="35">
        <f t="shared" si="17"/>
        <v>1397200</v>
      </c>
      <c r="Q88" s="77"/>
    </row>
    <row r="89" spans="1:17" s="25" customFormat="1" ht="90" customHeight="1">
      <c r="A89" s="23"/>
      <c r="B89" s="26" t="s">
        <v>101</v>
      </c>
      <c r="C89" s="26" t="s">
        <v>166</v>
      </c>
      <c r="D89" s="27" t="s">
        <v>102</v>
      </c>
      <c r="E89" s="35">
        <f t="shared" si="15"/>
        <v>2482439</v>
      </c>
      <c r="F89" s="35">
        <f>2446698+35741</f>
        <v>2482439</v>
      </c>
      <c r="G89" s="35"/>
      <c r="H89" s="35"/>
      <c r="I89" s="35"/>
      <c r="J89" s="35">
        <f t="shared" si="16"/>
        <v>0</v>
      </c>
      <c r="K89" s="35"/>
      <c r="L89" s="35"/>
      <c r="M89" s="35"/>
      <c r="N89" s="35"/>
      <c r="O89" s="35"/>
      <c r="P89" s="35">
        <f t="shared" si="17"/>
        <v>2482439</v>
      </c>
      <c r="Q89" s="77"/>
    </row>
    <row r="90" spans="1:17" s="25" customFormat="1" ht="30">
      <c r="A90" s="23"/>
      <c r="B90" s="26" t="s">
        <v>103</v>
      </c>
      <c r="C90" s="26" t="s">
        <v>164</v>
      </c>
      <c r="D90" s="27" t="s">
        <v>104</v>
      </c>
      <c r="E90" s="35">
        <f t="shared" si="15"/>
        <v>798900</v>
      </c>
      <c r="F90" s="35">
        <v>798900</v>
      </c>
      <c r="G90" s="35"/>
      <c r="H90" s="35"/>
      <c r="I90" s="35"/>
      <c r="J90" s="35">
        <f t="shared" si="16"/>
        <v>0</v>
      </c>
      <c r="K90" s="35"/>
      <c r="L90" s="35"/>
      <c r="M90" s="35"/>
      <c r="N90" s="35"/>
      <c r="O90" s="35"/>
      <c r="P90" s="35">
        <f t="shared" si="17"/>
        <v>798900</v>
      </c>
      <c r="Q90" s="77"/>
    </row>
    <row r="91" spans="1:17" s="25" customFormat="1" ht="30">
      <c r="A91" s="23"/>
      <c r="B91" s="26" t="s">
        <v>254</v>
      </c>
      <c r="C91" s="26" t="s">
        <v>138</v>
      </c>
      <c r="D91" s="27" t="s">
        <v>255</v>
      </c>
      <c r="E91" s="35">
        <f t="shared" si="15"/>
        <v>111717</v>
      </c>
      <c r="F91" s="35">
        <f>54417+57300</f>
        <v>111717</v>
      </c>
      <c r="G91" s="35"/>
      <c r="H91" s="35"/>
      <c r="I91" s="35"/>
      <c r="J91" s="35">
        <f t="shared" si="16"/>
        <v>0</v>
      </c>
      <c r="K91" s="35"/>
      <c r="L91" s="35"/>
      <c r="M91" s="35"/>
      <c r="N91" s="35"/>
      <c r="O91" s="35"/>
      <c r="P91" s="35">
        <f t="shared" si="17"/>
        <v>111717</v>
      </c>
      <c r="Q91" s="94">
        <v>23</v>
      </c>
    </row>
    <row r="92" spans="1:17" s="25" customFormat="1" ht="21.75" customHeight="1">
      <c r="A92" s="23"/>
      <c r="B92" s="26" t="s">
        <v>105</v>
      </c>
      <c r="C92" s="26" t="s">
        <v>138</v>
      </c>
      <c r="D92" s="27" t="s">
        <v>106</v>
      </c>
      <c r="E92" s="35">
        <f t="shared" si="15"/>
        <v>1215000</v>
      </c>
      <c r="F92" s="35">
        <f>1424500-209500</f>
        <v>1215000</v>
      </c>
      <c r="G92" s="35">
        <f>826600-77400</f>
        <v>749200</v>
      </c>
      <c r="H92" s="35">
        <v>127230</v>
      </c>
      <c r="I92" s="35"/>
      <c r="J92" s="35">
        <f t="shared" si="16"/>
        <v>200000</v>
      </c>
      <c r="K92" s="35"/>
      <c r="L92" s="35"/>
      <c r="M92" s="35"/>
      <c r="N92" s="35">
        <v>200000</v>
      </c>
      <c r="O92" s="35">
        <v>200000</v>
      </c>
      <c r="P92" s="35">
        <f t="shared" si="17"/>
        <v>1415000</v>
      </c>
      <c r="Q92" s="94"/>
    </row>
    <row r="93" spans="1:17" s="25" customFormat="1" ht="45" customHeight="1">
      <c r="A93" s="23"/>
      <c r="B93" s="26" t="s">
        <v>260</v>
      </c>
      <c r="C93" s="26" t="s">
        <v>167</v>
      </c>
      <c r="D93" s="27" t="s">
        <v>261</v>
      </c>
      <c r="E93" s="35">
        <f t="shared" si="15"/>
        <v>162275</v>
      </c>
      <c r="F93" s="35">
        <v>162275</v>
      </c>
      <c r="G93" s="35"/>
      <c r="H93" s="35"/>
      <c r="I93" s="35"/>
      <c r="J93" s="35">
        <f t="shared" si="16"/>
        <v>0</v>
      </c>
      <c r="K93" s="35"/>
      <c r="L93" s="35"/>
      <c r="M93" s="35"/>
      <c r="N93" s="35"/>
      <c r="O93" s="35"/>
      <c r="P93" s="35">
        <f t="shared" si="17"/>
        <v>162275</v>
      </c>
      <c r="Q93" s="94"/>
    </row>
    <row r="94" spans="1:17" s="25" customFormat="1" ht="30">
      <c r="A94" s="23"/>
      <c r="B94" s="26" t="s">
        <v>262</v>
      </c>
      <c r="C94" s="26" t="s">
        <v>167</v>
      </c>
      <c r="D94" s="27" t="s">
        <v>263</v>
      </c>
      <c r="E94" s="35">
        <f t="shared" si="15"/>
        <v>4800</v>
      </c>
      <c r="F94" s="35">
        <v>4800</v>
      </c>
      <c r="G94" s="35"/>
      <c r="H94" s="35"/>
      <c r="I94" s="35"/>
      <c r="J94" s="35">
        <f t="shared" si="16"/>
        <v>0</v>
      </c>
      <c r="K94" s="35"/>
      <c r="L94" s="35"/>
      <c r="M94" s="35"/>
      <c r="N94" s="35"/>
      <c r="O94" s="35"/>
      <c r="P94" s="35">
        <f t="shared" si="17"/>
        <v>4800</v>
      </c>
      <c r="Q94" s="94"/>
    </row>
    <row r="95" spans="1:17" s="25" customFormat="1" ht="45">
      <c r="A95" s="23"/>
      <c r="B95" s="26" t="s">
        <v>107</v>
      </c>
      <c r="C95" s="26" t="s">
        <v>165</v>
      </c>
      <c r="D95" s="27" t="s">
        <v>108</v>
      </c>
      <c r="E95" s="35">
        <f t="shared" si="15"/>
        <v>130000</v>
      </c>
      <c r="F95" s="35">
        <v>130000</v>
      </c>
      <c r="G95" s="37"/>
      <c r="H95" s="37"/>
      <c r="I95" s="37"/>
      <c r="J95" s="35">
        <f t="shared" si="16"/>
        <v>0</v>
      </c>
      <c r="K95" s="37"/>
      <c r="L95" s="37"/>
      <c r="M95" s="37"/>
      <c r="N95" s="37"/>
      <c r="O95" s="37"/>
      <c r="P95" s="35">
        <f t="shared" si="17"/>
        <v>130000</v>
      </c>
      <c r="Q95" s="94"/>
    </row>
    <row r="96" spans="1:17" s="25" customFormat="1" ht="28.5">
      <c r="A96" s="23"/>
      <c r="B96" s="30"/>
      <c r="C96" s="30"/>
      <c r="D96" s="31" t="s">
        <v>169</v>
      </c>
      <c r="E96" s="37">
        <f>E97+E98</f>
        <v>1027450</v>
      </c>
      <c r="F96" s="37">
        <f aca="true" t="shared" si="18" ref="F96:P96">F97+F98</f>
        <v>1027450</v>
      </c>
      <c r="G96" s="37">
        <f t="shared" si="18"/>
        <v>749890</v>
      </c>
      <c r="H96" s="37">
        <f t="shared" si="18"/>
        <v>32719</v>
      </c>
      <c r="I96" s="37">
        <f t="shared" si="18"/>
        <v>0</v>
      </c>
      <c r="J96" s="37">
        <f t="shared" si="18"/>
        <v>18000</v>
      </c>
      <c r="K96" s="37">
        <f t="shared" si="18"/>
        <v>0</v>
      </c>
      <c r="L96" s="37">
        <f t="shared" si="18"/>
        <v>0</v>
      </c>
      <c r="M96" s="37">
        <f t="shared" si="18"/>
        <v>0</v>
      </c>
      <c r="N96" s="37">
        <f t="shared" si="18"/>
        <v>18000</v>
      </c>
      <c r="O96" s="37">
        <f t="shared" si="18"/>
        <v>18000</v>
      </c>
      <c r="P96" s="37">
        <f t="shared" si="18"/>
        <v>1045450</v>
      </c>
      <c r="Q96" s="94"/>
    </row>
    <row r="97" spans="1:17" s="25" customFormat="1" ht="22.5" customHeight="1">
      <c r="A97" s="23"/>
      <c r="B97" s="26" t="s">
        <v>11</v>
      </c>
      <c r="C97" s="26" t="s">
        <v>9</v>
      </c>
      <c r="D97" s="27" t="s">
        <v>94</v>
      </c>
      <c r="E97" s="35">
        <f>F97+I97</f>
        <v>977450</v>
      </c>
      <c r="F97" s="35">
        <f>1121770-144320</f>
        <v>977450</v>
      </c>
      <c r="G97" s="35">
        <f>782730-32840</f>
        <v>749890</v>
      </c>
      <c r="H97" s="35">
        <v>32719</v>
      </c>
      <c r="I97" s="35"/>
      <c r="J97" s="35">
        <f>K97+N97</f>
        <v>18000</v>
      </c>
      <c r="K97" s="35"/>
      <c r="L97" s="35"/>
      <c r="M97" s="35"/>
      <c r="N97" s="35">
        <v>18000</v>
      </c>
      <c r="O97" s="35">
        <v>18000</v>
      </c>
      <c r="P97" s="35">
        <f>E97+J97</f>
        <v>995450</v>
      </c>
      <c r="Q97" s="94"/>
    </row>
    <row r="98" spans="1:17" s="25" customFormat="1" ht="21.75" customHeight="1">
      <c r="A98" s="23"/>
      <c r="B98" s="26" t="s">
        <v>109</v>
      </c>
      <c r="C98" s="26" t="s">
        <v>139</v>
      </c>
      <c r="D98" s="27" t="s">
        <v>110</v>
      </c>
      <c r="E98" s="35">
        <f>F98+I98</f>
        <v>50000</v>
      </c>
      <c r="F98" s="35">
        <v>50000</v>
      </c>
      <c r="G98" s="37"/>
      <c r="H98" s="37"/>
      <c r="I98" s="37"/>
      <c r="J98" s="35">
        <f>K98+N98</f>
        <v>0</v>
      </c>
      <c r="K98" s="37"/>
      <c r="L98" s="37"/>
      <c r="M98" s="37"/>
      <c r="N98" s="37"/>
      <c r="O98" s="37"/>
      <c r="P98" s="35">
        <f>E98+J98</f>
        <v>50000</v>
      </c>
      <c r="Q98" s="94"/>
    </row>
    <row r="99" spans="1:17" s="25" customFormat="1" ht="28.5">
      <c r="A99" s="23"/>
      <c r="B99" s="30"/>
      <c r="C99" s="30"/>
      <c r="D99" s="31" t="s">
        <v>170</v>
      </c>
      <c r="E99" s="37">
        <f>E100+E101+E102+E103+E104</f>
        <v>29441679</v>
      </c>
      <c r="F99" s="37">
        <f aca="true" t="shared" si="19" ref="F99:P99">F100+F101+F102+F103+F104</f>
        <v>29441679</v>
      </c>
      <c r="G99" s="37">
        <f t="shared" si="19"/>
        <v>20982910</v>
      </c>
      <c r="H99" s="37">
        <f t="shared" si="19"/>
        <v>1776764</v>
      </c>
      <c r="I99" s="37">
        <f t="shared" si="19"/>
        <v>0</v>
      </c>
      <c r="J99" s="37">
        <f t="shared" si="19"/>
        <v>2344920</v>
      </c>
      <c r="K99" s="37">
        <f t="shared" si="19"/>
        <v>1320320</v>
      </c>
      <c r="L99" s="37">
        <f t="shared" si="19"/>
        <v>953732</v>
      </c>
      <c r="M99" s="37">
        <f t="shared" si="19"/>
        <v>0</v>
      </c>
      <c r="N99" s="37">
        <f t="shared" si="19"/>
        <v>1024600</v>
      </c>
      <c r="O99" s="37">
        <f t="shared" si="19"/>
        <v>1020000</v>
      </c>
      <c r="P99" s="37">
        <f t="shared" si="19"/>
        <v>31786599</v>
      </c>
      <c r="Q99" s="94"/>
    </row>
    <row r="100" spans="1:17" s="25" customFormat="1" ht="18" customHeight="1">
      <c r="A100" s="23"/>
      <c r="B100" s="26" t="s">
        <v>11</v>
      </c>
      <c r="C100" s="26" t="s">
        <v>9</v>
      </c>
      <c r="D100" s="27" t="s">
        <v>94</v>
      </c>
      <c r="E100" s="35">
        <f>F100+I100</f>
        <v>448680</v>
      </c>
      <c r="F100" s="35">
        <f>514810-66130</f>
        <v>448680</v>
      </c>
      <c r="G100" s="35">
        <f>324590-16160</f>
        <v>308430</v>
      </c>
      <c r="H100" s="35">
        <v>13469</v>
      </c>
      <c r="I100" s="35"/>
      <c r="J100" s="35">
        <f>K100+N100</f>
        <v>20000</v>
      </c>
      <c r="K100" s="35"/>
      <c r="L100" s="35"/>
      <c r="M100" s="35"/>
      <c r="N100" s="35">
        <v>20000</v>
      </c>
      <c r="O100" s="35">
        <v>20000</v>
      </c>
      <c r="P100" s="35">
        <f>E100+J100</f>
        <v>468680</v>
      </c>
      <c r="Q100" s="94"/>
    </row>
    <row r="101" spans="1:17" s="25" customFormat="1" ht="30" customHeight="1">
      <c r="A101" s="23"/>
      <c r="B101" s="26" t="s">
        <v>111</v>
      </c>
      <c r="C101" s="26" t="s">
        <v>171</v>
      </c>
      <c r="D101" s="27" t="s">
        <v>112</v>
      </c>
      <c r="E101" s="35">
        <f>F101+I101</f>
        <v>1000000</v>
      </c>
      <c r="F101" s="35">
        <v>1000000</v>
      </c>
      <c r="G101" s="35"/>
      <c r="H101" s="35"/>
      <c r="I101" s="35"/>
      <c r="J101" s="35">
        <f>K101+N101</f>
        <v>0</v>
      </c>
      <c r="K101" s="37"/>
      <c r="L101" s="37"/>
      <c r="M101" s="37"/>
      <c r="N101" s="37"/>
      <c r="O101" s="37"/>
      <c r="P101" s="35">
        <f>E101+J101</f>
        <v>1000000</v>
      </c>
      <c r="Q101" s="94"/>
    </row>
    <row r="102" spans="1:17" s="25" customFormat="1" ht="23.25" customHeight="1">
      <c r="A102" s="23"/>
      <c r="B102" s="26" t="s">
        <v>113</v>
      </c>
      <c r="C102" s="26" t="s">
        <v>172</v>
      </c>
      <c r="D102" s="27" t="s">
        <v>114</v>
      </c>
      <c r="E102" s="35">
        <f>F102+I102</f>
        <v>10340731</v>
      </c>
      <c r="F102" s="35">
        <f>11452250-1111519</f>
        <v>10340731</v>
      </c>
      <c r="G102" s="35">
        <f>7153760-76280</f>
        <v>7077480</v>
      </c>
      <c r="H102" s="35">
        <v>1039633</v>
      </c>
      <c r="I102" s="35"/>
      <c r="J102" s="35">
        <f>K102+N102</f>
        <v>555500</v>
      </c>
      <c r="K102" s="35">
        <v>21000</v>
      </c>
      <c r="L102" s="35">
        <v>5000</v>
      </c>
      <c r="M102" s="37"/>
      <c r="N102" s="35">
        <v>534500</v>
      </c>
      <c r="O102" s="35">
        <v>534500</v>
      </c>
      <c r="P102" s="35">
        <f>E102+J102</f>
        <v>10896231</v>
      </c>
      <c r="Q102" s="94"/>
    </row>
    <row r="103" spans="1:17" s="25" customFormat="1" ht="21.75" customHeight="1">
      <c r="A103" s="23"/>
      <c r="B103" s="26" t="s">
        <v>115</v>
      </c>
      <c r="C103" s="26" t="s">
        <v>154</v>
      </c>
      <c r="D103" s="27" t="s">
        <v>116</v>
      </c>
      <c r="E103" s="35">
        <f>F103+I103</f>
        <v>16900076</v>
      </c>
      <c r="F103" s="35">
        <f>18381740-1481664</f>
        <v>16900076</v>
      </c>
      <c r="G103" s="35">
        <f>12769020+299020</f>
        <v>13068040</v>
      </c>
      <c r="H103" s="35">
        <v>702306</v>
      </c>
      <c r="I103" s="35"/>
      <c r="J103" s="35">
        <f>K103+N103</f>
        <v>1739420</v>
      </c>
      <c r="K103" s="35">
        <v>1299320</v>
      </c>
      <c r="L103" s="35">
        <v>948732</v>
      </c>
      <c r="M103" s="35"/>
      <c r="N103" s="35">
        <f>4600+435500</f>
        <v>440100</v>
      </c>
      <c r="O103" s="35">
        <v>435500</v>
      </c>
      <c r="P103" s="35">
        <f>E103+J103</f>
        <v>18639496</v>
      </c>
      <c r="Q103" s="94"/>
    </row>
    <row r="104" spans="1:17" s="25" customFormat="1" ht="21.75" customHeight="1">
      <c r="A104" s="23"/>
      <c r="B104" s="26" t="s">
        <v>31</v>
      </c>
      <c r="C104" s="26" t="s">
        <v>141</v>
      </c>
      <c r="D104" s="27" t="s">
        <v>32</v>
      </c>
      <c r="E104" s="35">
        <f>F104+I104</f>
        <v>752192</v>
      </c>
      <c r="F104" s="35">
        <f>967780-215588</f>
        <v>752192</v>
      </c>
      <c r="G104" s="35">
        <f>631635-102675</f>
        <v>528960</v>
      </c>
      <c r="H104" s="35">
        <v>21356</v>
      </c>
      <c r="I104" s="35"/>
      <c r="J104" s="35">
        <f>K104+N104</f>
        <v>30000</v>
      </c>
      <c r="K104" s="37"/>
      <c r="L104" s="37"/>
      <c r="M104" s="37"/>
      <c r="N104" s="35">
        <v>30000</v>
      </c>
      <c r="O104" s="35">
        <v>30000</v>
      </c>
      <c r="P104" s="35">
        <f>E104+J104</f>
        <v>782192</v>
      </c>
      <c r="Q104" s="94"/>
    </row>
    <row r="105" spans="1:17" s="25" customFormat="1" ht="28.5">
      <c r="A105" s="23"/>
      <c r="B105" s="30"/>
      <c r="C105" s="30"/>
      <c r="D105" s="31" t="s">
        <v>173</v>
      </c>
      <c r="E105" s="37">
        <f>E106+E107+E108+E109+E110+E111+E112+E113+E114+E115+E116+E117+E118+E119+E120+E121+E122+E123+E124</f>
        <v>36549525</v>
      </c>
      <c r="F105" s="37">
        <f aca="true" t="shared" si="20" ref="F105:P105">F106+F107+F108+F109+F110+F111+F112+F113+F114+F115+F116+F117+F118+F119+F120+F121+F122+F123+F124</f>
        <v>16193810</v>
      </c>
      <c r="G105" s="37">
        <f t="shared" si="20"/>
        <v>2652480</v>
      </c>
      <c r="H105" s="37">
        <f t="shared" si="20"/>
        <v>4296375</v>
      </c>
      <c r="I105" s="37">
        <f t="shared" si="20"/>
        <v>20355715</v>
      </c>
      <c r="J105" s="37">
        <f t="shared" si="20"/>
        <v>81778523.14</v>
      </c>
      <c r="K105" s="37">
        <f t="shared" si="20"/>
        <v>944200</v>
      </c>
      <c r="L105" s="37">
        <f t="shared" si="20"/>
        <v>0</v>
      </c>
      <c r="M105" s="37">
        <f t="shared" si="20"/>
        <v>0</v>
      </c>
      <c r="N105" s="37">
        <f t="shared" si="20"/>
        <v>80834323.14</v>
      </c>
      <c r="O105" s="37">
        <f>O106+O107+O108+O109+O110+O111+O112+O113+O114+O115+O116+O117+O118+O119+O120+O121+O122+O123+O124</f>
        <v>79596123.14</v>
      </c>
      <c r="P105" s="37">
        <f t="shared" si="20"/>
        <v>118328048.14</v>
      </c>
      <c r="Q105" s="94"/>
    </row>
    <row r="106" spans="1:17" s="25" customFormat="1" ht="15">
      <c r="A106" s="23"/>
      <c r="B106" s="26" t="s">
        <v>11</v>
      </c>
      <c r="C106" s="26" t="s">
        <v>9</v>
      </c>
      <c r="D106" s="27" t="s">
        <v>94</v>
      </c>
      <c r="E106" s="35">
        <f>F106+I106</f>
        <v>3559170</v>
      </c>
      <c r="F106" s="35">
        <f>3961890-402720</f>
        <v>3559170</v>
      </c>
      <c r="G106" s="35">
        <f>2675410-22930</f>
        <v>2652480</v>
      </c>
      <c r="H106" s="35">
        <v>118075</v>
      </c>
      <c r="I106" s="35"/>
      <c r="J106" s="35">
        <f>K106+N106</f>
        <v>30000</v>
      </c>
      <c r="K106" s="35"/>
      <c r="L106" s="35"/>
      <c r="M106" s="35"/>
      <c r="N106" s="35">
        <v>30000</v>
      </c>
      <c r="O106" s="35">
        <v>30000</v>
      </c>
      <c r="P106" s="35">
        <f>E106+J106</f>
        <v>3589170</v>
      </c>
      <c r="Q106" s="94"/>
    </row>
    <row r="107" spans="1:17" s="25" customFormat="1" ht="15">
      <c r="A107" s="23"/>
      <c r="B107" s="26" t="s">
        <v>252</v>
      </c>
      <c r="C107" s="26" t="s">
        <v>174</v>
      </c>
      <c r="D107" s="27" t="s">
        <v>253</v>
      </c>
      <c r="E107" s="35">
        <f aca="true" t="shared" si="21" ref="E107:E124">F107+I107</f>
        <v>180000</v>
      </c>
      <c r="F107" s="35">
        <v>180000</v>
      </c>
      <c r="G107" s="35"/>
      <c r="H107" s="35"/>
      <c r="I107" s="35"/>
      <c r="J107" s="35">
        <f aca="true" t="shared" si="22" ref="J107:J124">K107+N107</f>
        <v>0</v>
      </c>
      <c r="K107" s="35"/>
      <c r="L107" s="35"/>
      <c r="M107" s="35"/>
      <c r="N107" s="35"/>
      <c r="O107" s="35"/>
      <c r="P107" s="35">
        <f aca="true" t="shared" si="23" ref="P107:P124">E107+J107</f>
        <v>180000</v>
      </c>
      <c r="Q107" s="94"/>
    </row>
    <row r="108" spans="1:17" s="25" customFormat="1" ht="36" customHeight="1">
      <c r="A108" s="23"/>
      <c r="B108" s="26" t="s">
        <v>117</v>
      </c>
      <c r="C108" s="26" t="s">
        <v>174</v>
      </c>
      <c r="D108" s="27" t="s">
        <v>118</v>
      </c>
      <c r="E108" s="35">
        <f t="shared" si="21"/>
        <v>195000</v>
      </c>
      <c r="F108" s="35">
        <v>195000</v>
      </c>
      <c r="G108" s="37"/>
      <c r="H108" s="37"/>
      <c r="I108" s="37"/>
      <c r="J108" s="35">
        <f t="shared" si="22"/>
        <v>38156285.14</v>
      </c>
      <c r="K108" s="37"/>
      <c r="L108" s="37"/>
      <c r="M108" s="37"/>
      <c r="N108" s="35">
        <f>30000000+6285.14-100000+250000+8000000</f>
        <v>38156285.14</v>
      </c>
      <c r="O108" s="35">
        <f>30000000+6285.14-100000+250000+8000000</f>
        <v>38156285.14</v>
      </c>
      <c r="P108" s="35">
        <f t="shared" si="23"/>
        <v>38351285.14</v>
      </c>
      <c r="Q108" s="94"/>
    </row>
    <row r="109" spans="1:17" s="25" customFormat="1" ht="45.75" customHeight="1">
      <c r="A109" s="23"/>
      <c r="B109" s="26" t="s">
        <v>119</v>
      </c>
      <c r="C109" s="26" t="s">
        <v>174</v>
      </c>
      <c r="D109" s="27" t="s">
        <v>120</v>
      </c>
      <c r="E109" s="35">
        <f t="shared" si="21"/>
        <v>0</v>
      </c>
      <c r="F109" s="37"/>
      <c r="G109" s="37"/>
      <c r="H109" s="37"/>
      <c r="I109" s="37"/>
      <c r="J109" s="35">
        <f t="shared" si="22"/>
        <v>2000000</v>
      </c>
      <c r="K109" s="35"/>
      <c r="L109" s="35"/>
      <c r="M109" s="35"/>
      <c r="N109" s="35">
        <v>2000000</v>
      </c>
      <c r="O109" s="35">
        <v>2000000</v>
      </c>
      <c r="P109" s="35">
        <f t="shared" si="23"/>
        <v>2000000</v>
      </c>
      <c r="Q109" s="94"/>
    </row>
    <row r="110" spans="1:17" s="25" customFormat="1" ht="28.5" customHeight="1">
      <c r="A110" s="23"/>
      <c r="B110" s="26" t="s">
        <v>121</v>
      </c>
      <c r="C110" s="26" t="s">
        <v>140</v>
      </c>
      <c r="D110" s="27" t="s">
        <v>122</v>
      </c>
      <c r="E110" s="35">
        <f t="shared" si="21"/>
        <v>2295103</v>
      </c>
      <c r="F110" s="35"/>
      <c r="G110" s="37"/>
      <c r="H110" s="54"/>
      <c r="I110" s="35">
        <f>1825100+120003+350000</f>
        <v>2295103</v>
      </c>
      <c r="J110" s="35">
        <f t="shared" si="22"/>
        <v>150000</v>
      </c>
      <c r="K110" s="37"/>
      <c r="L110" s="37"/>
      <c r="M110" s="37"/>
      <c r="N110" s="35">
        <v>150000</v>
      </c>
      <c r="O110" s="35">
        <v>150000</v>
      </c>
      <c r="P110" s="35">
        <f t="shared" si="23"/>
        <v>2445103</v>
      </c>
      <c r="Q110" s="94"/>
    </row>
    <row r="111" spans="1:17" s="25" customFormat="1" ht="20.25" customHeight="1">
      <c r="A111" s="23"/>
      <c r="B111" s="26" t="s">
        <v>29</v>
      </c>
      <c r="C111" s="26" t="s">
        <v>140</v>
      </c>
      <c r="D111" s="27" t="s">
        <v>30</v>
      </c>
      <c r="E111" s="35">
        <f t="shared" si="21"/>
        <v>27067912</v>
      </c>
      <c r="F111" s="35">
        <f>9272300+200000</f>
        <v>9472300</v>
      </c>
      <c r="G111" s="35"/>
      <c r="H111" s="35">
        <v>4106300</v>
      </c>
      <c r="I111" s="35">
        <f>15845612+50000+1700000</f>
        <v>17595612</v>
      </c>
      <c r="J111" s="35">
        <f t="shared" si="22"/>
        <v>22750000</v>
      </c>
      <c r="K111" s="35"/>
      <c r="L111" s="35"/>
      <c r="M111" s="35"/>
      <c r="N111" s="35">
        <f>16250000+6500000</f>
        <v>22750000</v>
      </c>
      <c r="O111" s="35">
        <f>16250000+6500000</f>
        <v>22750000</v>
      </c>
      <c r="P111" s="35">
        <f t="shared" si="23"/>
        <v>49817912</v>
      </c>
      <c r="Q111" s="94"/>
    </row>
    <row r="112" spans="1:17" s="25" customFormat="1" ht="45">
      <c r="A112" s="23"/>
      <c r="B112" s="26" t="s">
        <v>270</v>
      </c>
      <c r="C112" s="26" t="s">
        <v>140</v>
      </c>
      <c r="D112" s="27" t="s">
        <v>271</v>
      </c>
      <c r="E112" s="35">
        <f t="shared" si="21"/>
        <v>0</v>
      </c>
      <c r="F112" s="35"/>
      <c r="G112" s="35"/>
      <c r="H112" s="35"/>
      <c r="I112" s="35"/>
      <c r="J112" s="35">
        <f t="shared" si="22"/>
        <v>845938</v>
      </c>
      <c r="K112" s="35"/>
      <c r="L112" s="35"/>
      <c r="M112" s="35"/>
      <c r="N112" s="35">
        <v>845938</v>
      </c>
      <c r="O112" s="35">
        <v>845938</v>
      </c>
      <c r="P112" s="35">
        <f t="shared" si="23"/>
        <v>845938</v>
      </c>
      <c r="Q112" s="94"/>
    </row>
    <row r="113" spans="1:17" s="25" customFormat="1" ht="30">
      <c r="A113" s="23"/>
      <c r="B113" s="26" t="s">
        <v>196</v>
      </c>
      <c r="C113" s="26" t="s">
        <v>198</v>
      </c>
      <c r="D113" s="27" t="s">
        <v>197</v>
      </c>
      <c r="E113" s="35">
        <f t="shared" si="21"/>
        <v>465000</v>
      </c>
      <c r="F113" s="35"/>
      <c r="G113" s="37"/>
      <c r="H113" s="37"/>
      <c r="I113" s="53">
        <v>465000</v>
      </c>
      <c r="J113" s="35">
        <f t="shared" si="22"/>
        <v>0</v>
      </c>
      <c r="K113" s="53"/>
      <c r="L113" s="37"/>
      <c r="M113" s="37"/>
      <c r="N113" s="35"/>
      <c r="O113" s="35"/>
      <c r="P113" s="35">
        <f t="shared" si="23"/>
        <v>465000</v>
      </c>
      <c r="Q113" s="94"/>
    </row>
    <row r="114" spans="1:17" s="25" customFormat="1" ht="15">
      <c r="A114" s="23"/>
      <c r="B114" s="26" t="s">
        <v>123</v>
      </c>
      <c r="C114" s="26" t="s">
        <v>175</v>
      </c>
      <c r="D114" s="27" t="s">
        <v>124</v>
      </c>
      <c r="E114" s="35">
        <f t="shared" si="21"/>
        <v>180000</v>
      </c>
      <c r="F114" s="35">
        <v>180000</v>
      </c>
      <c r="G114" s="37"/>
      <c r="H114" s="37"/>
      <c r="I114" s="53"/>
      <c r="J114" s="35">
        <f t="shared" si="22"/>
        <v>0</v>
      </c>
      <c r="K114" s="53"/>
      <c r="L114" s="37"/>
      <c r="M114" s="37"/>
      <c r="N114" s="35"/>
      <c r="O114" s="35"/>
      <c r="P114" s="35">
        <f t="shared" si="23"/>
        <v>180000</v>
      </c>
      <c r="Q114" s="94"/>
    </row>
    <row r="115" spans="1:17" s="25" customFormat="1" ht="24" customHeight="1">
      <c r="A115" s="23"/>
      <c r="B115" s="26" t="s">
        <v>125</v>
      </c>
      <c r="C115" s="26" t="s">
        <v>176</v>
      </c>
      <c r="D115" s="27" t="s">
        <v>126</v>
      </c>
      <c r="E115" s="35">
        <f t="shared" si="21"/>
        <v>530000</v>
      </c>
      <c r="F115" s="35">
        <v>530000</v>
      </c>
      <c r="G115" s="37"/>
      <c r="H115" s="37"/>
      <c r="I115" s="37"/>
      <c r="J115" s="35">
        <f t="shared" si="22"/>
        <v>0</v>
      </c>
      <c r="K115" s="37"/>
      <c r="L115" s="37"/>
      <c r="M115" s="37"/>
      <c r="N115" s="37"/>
      <c r="O115" s="37"/>
      <c r="P115" s="35">
        <f t="shared" si="23"/>
        <v>530000</v>
      </c>
      <c r="Q115" s="94"/>
    </row>
    <row r="116" spans="1:17" s="25" customFormat="1" ht="60">
      <c r="A116" s="23"/>
      <c r="B116" s="26" t="s">
        <v>48</v>
      </c>
      <c r="C116" s="26" t="s">
        <v>145</v>
      </c>
      <c r="D116" s="27" t="s">
        <v>49</v>
      </c>
      <c r="E116" s="35">
        <f t="shared" si="21"/>
        <v>0</v>
      </c>
      <c r="F116" s="35"/>
      <c r="G116" s="37"/>
      <c r="H116" s="37"/>
      <c r="I116" s="37"/>
      <c r="J116" s="35">
        <f t="shared" si="22"/>
        <v>14913400</v>
      </c>
      <c r="K116" s="37"/>
      <c r="L116" s="37"/>
      <c r="M116" s="37"/>
      <c r="N116" s="35">
        <f>12363400+2550000</f>
        <v>14913400</v>
      </c>
      <c r="O116" s="35">
        <f>12363400+2550000</f>
        <v>14913400</v>
      </c>
      <c r="P116" s="35">
        <f t="shared" si="23"/>
        <v>14913400</v>
      </c>
      <c r="Q116" s="94">
        <v>24</v>
      </c>
    </row>
    <row r="117" spans="1:17" s="25" customFormat="1" ht="15" customHeight="1">
      <c r="A117" s="23"/>
      <c r="B117" s="26" t="s">
        <v>199</v>
      </c>
      <c r="C117" s="26" t="s">
        <v>156</v>
      </c>
      <c r="D117" s="27" t="s">
        <v>81</v>
      </c>
      <c r="E117" s="35">
        <f t="shared" si="21"/>
        <v>158800</v>
      </c>
      <c r="F117" s="35">
        <f>410000-251200</f>
        <v>158800</v>
      </c>
      <c r="G117" s="37"/>
      <c r="H117" s="37"/>
      <c r="I117" s="37"/>
      <c r="J117" s="35">
        <f t="shared" si="22"/>
        <v>0</v>
      </c>
      <c r="K117" s="37"/>
      <c r="L117" s="37"/>
      <c r="M117" s="37"/>
      <c r="N117" s="35"/>
      <c r="O117" s="35"/>
      <c r="P117" s="35">
        <f t="shared" si="23"/>
        <v>158800</v>
      </c>
      <c r="Q117" s="94"/>
    </row>
    <row r="118" spans="1:17" s="25" customFormat="1" ht="36" customHeight="1">
      <c r="A118" s="23"/>
      <c r="B118" s="26" t="s">
        <v>127</v>
      </c>
      <c r="C118" s="26" t="s">
        <v>177</v>
      </c>
      <c r="D118" s="27" t="s">
        <v>128</v>
      </c>
      <c r="E118" s="35">
        <f t="shared" si="21"/>
        <v>0</v>
      </c>
      <c r="F118" s="35"/>
      <c r="G118" s="35"/>
      <c r="H118" s="35"/>
      <c r="I118" s="35"/>
      <c r="J118" s="35">
        <f t="shared" si="22"/>
        <v>1588200</v>
      </c>
      <c r="K118" s="35">
        <v>350000</v>
      </c>
      <c r="L118" s="35"/>
      <c r="M118" s="35"/>
      <c r="N118" s="35">
        <f>54000+1184200</f>
        <v>1238200</v>
      </c>
      <c r="O118" s="35"/>
      <c r="P118" s="35">
        <f t="shared" si="23"/>
        <v>1588200</v>
      </c>
      <c r="Q118" s="94"/>
    </row>
    <row r="119" spans="1:17" s="25" customFormat="1" ht="15">
      <c r="A119" s="23"/>
      <c r="B119" s="26" t="s">
        <v>264</v>
      </c>
      <c r="C119" s="26" t="s">
        <v>265</v>
      </c>
      <c r="D119" s="27" t="s">
        <v>266</v>
      </c>
      <c r="E119" s="35">
        <f t="shared" si="21"/>
        <v>0</v>
      </c>
      <c r="F119" s="35"/>
      <c r="G119" s="35"/>
      <c r="H119" s="35"/>
      <c r="I119" s="35"/>
      <c r="J119" s="35">
        <f t="shared" si="22"/>
        <v>250000</v>
      </c>
      <c r="K119" s="35">
        <v>250000</v>
      </c>
      <c r="L119" s="35"/>
      <c r="M119" s="35"/>
      <c r="N119" s="35"/>
      <c r="O119" s="35"/>
      <c r="P119" s="35">
        <f t="shared" si="23"/>
        <v>250000</v>
      </c>
      <c r="Q119" s="94"/>
    </row>
    <row r="120" spans="1:17" s="25" customFormat="1" ht="36" customHeight="1">
      <c r="A120" s="23"/>
      <c r="B120" s="26" t="s">
        <v>267</v>
      </c>
      <c r="C120" s="26" t="s">
        <v>148</v>
      </c>
      <c r="D120" s="27" t="s">
        <v>268</v>
      </c>
      <c r="E120" s="35">
        <f t="shared" si="21"/>
        <v>0</v>
      </c>
      <c r="F120" s="35"/>
      <c r="G120" s="35"/>
      <c r="H120" s="35"/>
      <c r="I120" s="35"/>
      <c r="J120" s="35">
        <f t="shared" si="22"/>
        <v>18000</v>
      </c>
      <c r="K120" s="35">
        <v>18000</v>
      </c>
      <c r="L120" s="35"/>
      <c r="M120" s="35"/>
      <c r="N120" s="35"/>
      <c r="O120" s="35"/>
      <c r="P120" s="35">
        <f t="shared" si="23"/>
        <v>18000</v>
      </c>
      <c r="Q120" s="94"/>
    </row>
    <row r="121" spans="1:17" s="25" customFormat="1" ht="15">
      <c r="A121" s="23"/>
      <c r="B121" s="26" t="s">
        <v>269</v>
      </c>
      <c r="C121" s="26" t="s">
        <v>156</v>
      </c>
      <c r="D121" s="27" t="s">
        <v>81</v>
      </c>
      <c r="E121" s="35">
        <f t="shared" si="21"/>
        <v>0</v>
      </c>
      <c r="F121" s="35"/>
      <c r="G121" s="35"/>
      <c r="H121" s="35"/>
      <c r="I121" s="35"/>
      <c r="J121" s="35">
        <f t="shared" si="22"/>
        <v>251200</v>
      </c>
      <c r="K121" s="35">
        <v>251200</v>
      </c>
      <c r="L121" s="35"/>
      <c r="M121" s="35"/>
      <c r="N121" s="35"/>
      <c r="O121" s="35"/>
      <c r="P121" s="35">
        <f t="shared" si="23"/>
        <v>251200</v>
      </c>
      <c r="Q121" s="94"/>
    </row>
    <row r="122" spans="1:17" s="25" customFormat="1" ht="60">
      <c r="A122" s="23"/>
      <c r="B122" s="26" t="s">
        <v>56</v>
      </c>
      <c r="C122" s="26" t="s">
        <v>149</v>
      </c>
      <c r="D122" s="27" t="s">
        <v>57</v>
      </c>
      <c r="E122" s="35">
        <f t="shared" si="21"/>
        <v>0</v>
      </c>
      <c r="F122" s="35"/>
      <c r="G122" s="35"/>
      <c r="H122" s="35"/>
      <c r="I122" s="35"/>
      <c r="J122" s="35">
        <f t="shared" si="22"/>
        <v>75000</v>
      </c>
      <c r="K122" s="35">
        <v>75000</v>
      </c>
      <c r="L122" s="35"/>
      <c r="M122" s="35"/>
      <c r="N122" s="35"/>
      <c r="O122" s="37"/>
      <c r="P122" s="35">
        <f t="shared" si="23"/>
        <v>75000</v>
      </c>
      <c r="Q122" s="94"/>
    </row>
    <row r="123" spans="1:17" s="25" customFormat="1" ht="15">
      <c r="A123" s="23"/>
      <c r="B123" s="26" t="s">
        <v>135</v>
      </c>
      <c r="C123" s="26" t="s">
        <v>183</v>
      </c>
      <c r="D123" s="34" t="s">
        <v>136</v>
      </c>
      <c r="E123" s="35">
        <f t="shared" si="21"/>
        <v>229500</v>
      </c>
      <c r="F123" s="35">
        <v>229500</v>
      </c>
      <c r="G123" s="35"/>
      <c r="H123" s="35"/>
      <c r="I123" s="35"/>
      <c r="J123" s="35">
        <f t="shared" si="22"/>
        <v>750500</v>
      </c>
      <c r="K123" s="35"/>
      <c r="L123" s="35"/>
      <c r="M123" s="35"/>
      <c r="N123" s="35">
        <v>750500</v>
      </c>
      <c r="O123" s="35">
        <v>750500</v>
      </c>
      <c r="P123" s="35">
        <f t="shared" si="23"/>
        <v>980000</v>
      </c>
      <c r="Q123" s="94"/>
    </row>
    <row r="124" spans="1:17" s="25" customFormat="1" ht="15">
      <c r="A124" s="23"/>
      <c r="B124" s="26" t="s">
        <v>58</v>
      </c>
      <c r="C124" s="26" t="s">
        <v>149</v>
      </c>
      <c r="D124" s="27" t="s">
        <v>26</v>
      </c>
      <c r="E124" s="35">
        <f t="shared" si="21"/>
        <v>1689040</v>
      </c>
      <c r="F124" s="35">
        <f>1429000+258120+1920</f>
        <v>1689040</v>
      </c>
      <c r="G124" s="37"/>
      <c r="H124" s="53">
        <v>72000</v>
      </c>
      <c r="I124" s="37"/>
      <c r="J124" s="35">
        <f t="shared" si="22"/>
        <v>0</v>
      </c>
      <c r="K124" s="37"/>
      <c r="L124" s="37"/>
      <c r="M124" s="37"/>
      <c r="N124" s="37"/>
      <c r="O124" s="37"/>
      <c r="P124" s="35">
        <f t="shared" si="23"/>
        <v>1689040</v>
      </c>
      <c r="Q124" s="94"/>
    </row>
    <row r="125" spans="1:17" s="25" customFormat="1" ht="28.5">
      <c r="A125" s="23"/>
      <c r="B125" s="30"/>
      <c r="C125" s="30"/>
      <c r="D125" s="31" t="s">
        <v>178</v>
      </c>
      <c r="E125" s="37">
        <f>E126+E127+E128</f>
        <v>2750710</v>
      </c>
      <c r="F125" s="37">
        <f aca="true" t="shared" si="24" ref="F125:P125">F126+F127+F128</f>
        <v>2750710</v>
      </c>
      <c r="G125" s="37">
        <f t="shared" si="24"/>
        <v>1676660</v>
      </c>
      <c r="H125" s="37">
        <f t="shared" si="24"/>
        <v>154189</v>
      </c>
      <c r="I125" s="37">
        <f t="shared" si="24"/>
        <v>0</v>
      </c>
      <c r="J125" s="37">
        <f t="shared" si="24"/>
        <v>20000</v>
      </c>
      <c r="K125" s="37">
        <f t="shared" si="24"/>
        <v>0</v>
      </c>
      <c r="L125" s="37">
        <f t="shared" si="24"/>
        <v>0</v>
      </c>
      <c r="M125" s="37">
        <f t="shared" si="24"/>
        <v>0</v>
      </c>
      <c r="N125" s="37">
        <f t="shared" si="24"/>
        <v>20000</v>
      </c>
      <c r="O125" s="37">
        <f t="shared" si="24"/>
        <v>20000</v>
      </c>
      <c r="P125" s="37">
        <f t="shared" si="24"/>
        <v>2770710</v>
      </c>
      <c r="Q125" s="94"/>
    </row>
    <row r="126" spans="1:17" s="25" customFormat="1" ht="15">
      <c r="A126" s="23"/>
      <c r="B126" s="26" t="s">
        <v>11</v>
      </c>
      <c r="C126" s="26" t="s">
        <v>9</v>
      </c>
      <c r="D126" s="27" t="s">
        <v>16</v>
      </c>
      <c r="E126" s="35">
        <f>F126+I126</f>
        <v>2380210</v>
      </c>
      <c r="F126" s="35">
        <f>2737690-357480</f>
        <v>2380210</v>
      </c>
      <c r="G126" s="35">
        <f>1763030-86370</f>
        <v>1676660</v>
      </c>
      <c r="H126" s="35">
        <v>154189</v>
      </c>
      <c r="I126" s="35"/>
      <c r="J126" s="35">
        <f>K126+N126</f>
        <v>20000</v>
      </c>
      <c r="K126" s="35"/>
      <c r="L126" s="35"/>
      <c r="M126" s="35"/>
      <c r="N126" s="35">
        <v>20000</v>
      </c>
      <c r="O126" s="35">
        <v>20000</v>
      </c>
      <c r="P126" s="35">
        <f>E126+J126</f>
        <v>2400210</v>
      </c>
      <c r="Q126" s="94"/>
    </row>
    <row r="127" spans="1:17" s="25" customFormat="1" ht="15">
      <c r="A127" s="23"/>
      <c r="B127" s="26" t="s">
        <v>123</v>
      </c>
      <c r="C127" s="26" t="s">
        <v>175</v>
      </c>
      <c r="D127" s="27" t="s">
        <v>124</v>
      </c>
      <c r="E127" s="35">
        <f>F127+I127</f>
        <v>10500</v>
      </c>
      <c r="F127" s="35">
        <v>10500</v>
      </c>
      <c r="G127" s="37"/>
      <c r="H127" s="37"/>
      <c r="I127" s="37"/>
      <c r="J127" s="35">
        <f>K127+N127</f>
        <v>0</v>
      </c>
      <c r="K127" s="37"/>
      <c r="L127" s="37"/>
      <c r="M127" s="37"/>
      <c r="N127" s="37"/>
      <c r="O127" s="37"/>
      <c r="P127" s="35">
        <f>E127+J127</f>
        <v>10500</v>
      </c>
      <c r="Q127" s="94"/>
    </row>
    <row r="128" spans="1:17" s="25" customFormat="1" ht="15">
      <c r="A128" s="23"/>
      <c r="B128" s="26" t="s">
        <v>58</v>
      </c>
      <c r="C128" s="26" t="s">
        <v>149</v>
      </c>
      <c r="D128" s="27" t="s">
        <v>26</v>
      </c>
      <c r="E128" s="35">
        <f>F128+I128</f>
        <v>360000</v>
      </c>
      <c r="F128" s="35">
        <f>360000</f>
        <v>360000</v>
      </c>
      <c r="G128" s="37"/>
      <c r="H128" s="53"/>
      <c r="I128" s="37"/>
      <c r="J128" s="35">
        <f>K128+N128</f>
        <v>0</v>
      </c>
      <c r="K128" s="37"/>
      <c r="L128" s="37"/>
      <c r="M128" s="37"/>
      <c r="N128" s="37"/>
      <c r="O128" s="37"/>
      <c r="P128" s="35">
        <f>E128+J128</f>
        <v>360000</v>
      </c>
      <c r="Q128" s="94"/>
    </row>
    <row r="129" spans="1:17" s="25" customFormat="1" ht="42.75">
      <c r="A129" s="23"/>
      <c r="B129" s="30"/>
      <c r="C129" s="30"/>
      <c r="D129" s="31" t="s">
        <v>179</v>
      </c>
      <c r="E129" s="37">
        <f>E130+E131+E132+E133+E134+E135+E136+E137</f>
        <v>60272926</v>
      </c>
      <c r="F129" s="37">
        <f aca="true" t="shared" si="25" ref="F129:P129">F130+F131+F132+F133+F134+F135+F136+F137</f>
        <v>60272926</v>
      </c>
      <c r="G129" s="37">
        <f t="shared" si="25"/>
        <v>0</v>
      </c>
      <c r="H129" s="37">
        <f t="shared" si="25"/>
        <v>0</v>
      </c>
      <c r="I129" s="37">
        <f t="shared" si="25"/>
        <v>0</v>
      </c>
      <c r="J129" s="37">
        <f t="shared" si="25"/>
        <v>154261974.94</v>
      </c>
      <c r="K129" s="37">
        <f t="shared" si="25"/>
        <v>2310233</v>
      </c>
      <c r="L129" s="37">
        <f t="shared" si="25"/>
        <v>1413770</v>
      </c>
      <c r="M129" s="37">
        <f t="shared" si="25"/>
        <v>50946</v>
      </c>
      <c r="N129" s="37">
        <f t="shared" si="25"/>
        <v>151951741.94</v>
      </c>
      <c r="O129" s="37">
        <f t="shared" si="25"/>
        <v>151725241.94</v>
      </c>
      <c r="P129" s="37">
        <f t="shared" si="25"/>
        <v>214534900.94</v>
      </c>
      <c r="Q129" s="94"/>
    </row>
    <row r="130" spans="1:17" s="25" customFormat="1" ht="15">
      <c r="A130" s="23"/>
      <c r="B130" s="26" t="s">
        <v>11</v>
      </c>
      <c r="C130" s="26" t="s">
        <v>9</v>
      </c>
      <c r="D130" s="27" t="s">
        <v>94</v>
      </c>
      <c r="E130" s="35">
        <f>F130+I130</f>
        <v>0</v>
      </c>
      <c r="F130" s="35"/>
      <c r="G130" s="35"/>
      <c r="H130" s="35"/>
      <c r="I130" s="35"/>
      <c r="J130" s="35">
        <f>K130+N130</f>
        <v>2380664</v>
      </c>
      <c r="K130" s="35">
        <v>2280164</v>
      </c>
      <c r="L130" s="35">
        <v>1413770</v>
      </c>
      <c r="M130" s="35">
        <v>50946</v>
      </c>
      <c r="N130" s="35">
        <v>100500</v>
      </c>
      <c r="O130" s="35"/>
      <c r="P130" s="35">
        <f>E130+J130</f>
        <v>2380664</v>
      </c>
      <c r="Q130" s="94"/>
    </row>
    <row r="131" spans="1:17" s="25" customFormat="1" ht="15">
      <c r="A131" s="23"/>
      <c r="B131" s="26" t="s">
        <v>82</v>
      </c>
      <c r="C131" s="26" t="s">
        <v>158</v>
      </c>
      <c r="D131" s="27" t="s">
        <v>83</v>
      </c>
      <c r="E131" s="35">
        <f aca="true" t="shared" si="26" ref="E131:E137">F131+I131</f>
        <v>0</v>
      </c>
      <c r="F131" s="35"/>
      <c r="G131" s="35"/>
      <c r="H131" s="35"/>
      <c r="I131" s="35"/>
      <c r="J131" s="35">
        <f aca="true" t="shared" si="27" ref="J131:J137">K131+N131</f>
        <v>1724000</v>
      </c>
      <c r="K131" s="35"/>
      <c r="L131" s="35"/>
      <c r="M131" s="35"/>
      <c r="N131" s="35">
        <v>1724000</v>
      </c>
      <c r="O131" s="35">
        <v>1724000</v>
      </c>
      <c r="P131" s="35">
        <f aca="true" t="shared" si="28" ref="P131:P137">E131+J131</f>
        <v>1724000</v>
      </c>
      <c r="Q131" s="94"/>
    </row>
    <row r="132" spans="1:17" s="25" customFormat="1" ht="15">
      <c r="A132" s="23"/>
      <c r="B132" s="26" t="s">
        <v>29</v>
      </c>
      <c r="C132" s="26" t="s">
        <v>140</v>
      </c>
      <c r="D132" s="27" t="s">
        <v>30</v>
      </c>
      <c r="E132" s="35">
        <f t="shared" si="26"/>
        <v>60000000</v>
      </c>
      <c r="F132" s="35">
        <f>30000000+30000000</f>
        <v>60000000</v>
      </c>
      <c r="G132" s="37"/>
      <c r="H132" s="37"/>
      <c r="I132" s="37"/>
      <c r="J132" s="35">
        <f t="shared" si="27"/>
        <v>51252200</v>
      </c>
      <c r="K132" s="37"/>
      <c r="L132" s="37"/>
      <c r="M132" s="37"/>
      <c r="N132" s="35">
        <f>35000000+15974673+277527</f>
        <v>51252200</v>
      </c>
      <c r="O132" s="35">
        <f>35000000+15974673+277527</f>
        <v>51252200</v>
      </c>
      <c r="P132" s="35">
        <f t="shared" si="28"/>
        <v>111252200</v>
      </c>
      <c r="Q132" s="94"/>
    </row>
    <row r="133" spans="1:17" s="25" customFormat="1" ht="15">
      <c r="A133" s="23"/>
      <c r="B133" s="26" t="s">
        <v>129</v>
      </c>
      <c r="C133" s="26" t="s">
        <v>145</v>
      </c>
      <c r="D133" s="27" t="s">
        <v>130</v>
      </c>
      <c r="E133" s="35">
        <f t="shared" si="26"/>
        <v>0</v>
      </c>
      <c r="F133" s="37"/>
      <c r="G133" s="37"/>
      <c r="H133" s="37"/>
      <c r="I133" s="37"/>
      <c r="J133" s="35">
        <f t="shared" si="27"/>
        <v>91999041.94</v>
      </c>
      <c r="K133" s="35"/>
      <c r="L133" s="35"/>
      <c r="M133" s="35"/>
      <c r="N133" s="35">
        <f>67500000.94+9417041+15082000</f>
        <v>91999041.94</v>
      </c>
      <c r="O133" s="35">
        <f>67500000.94+9417041+15082000</f>
        <v>91999041.94</v>
      </c>
      <c r="P133" s="35">
        <f t="shared" si="28"/>
        <v>91999041.94</v>
      </c>
      <c r="Q133" s="94"/>
    </row>
    <row r="134" spans="1:17" s="25" customFormat="1" ht="60">
      <c r="A134" s="23"/>
      <c r="B134" s="26" t="s">
        <v>48</v>
      </c>
      <c r="C134" s="26" t="s">
        <v>145</v>
      </c>
      <c r="D134" s="27" t="s">
        <v>49</v>
      </c>
      <c r="E134" s="35">
        <f t="shared" si="26"/>
        <v>0</v>
      </c>
      <c r="F134" s="37"/>
      <c r="G134" s="37"/>
      <c r="H134" s="37"/>
      <c r="I134" s="37"/>
      <c r="J134" s="35">
        <f t="shared" si="27"/>
        <v>6750000</v>
      </c>
      <c r="K134" s="35"/>
      <c r="L134" s="35"/>
      <c r="M134" s="35"/>
      <c r="N134" s="35">
        <v>6750000</v>
      </c>
      <c r="O134" s="35">
        <v>6750000</v>
      </c>
      <c r="P134" s="35">
        <f t="shared" si="28"/>
        <v>6750000</v>
      </c>
      <c r="Q134" s="94"/>
    </row>
    <row r="135" spans="1:17" s="25" customFormat="1" ht="33" customHeight="1">
      <c r="A135" s="23"/>
      <c r="B135" s="26" t="s">
        <v>127</v>
      </c>
      <c r="C135" s="26" t="s">
        <v>177</v>
      </c>
      <c r="D135" s="27" t="s">
        <v>128</v>
      </c>
      <c r="E135" s="35">
        <f t="shared" si="26"/>
        <v>0</v>
      </c>
      <c r="F135" s="37"/>
      <c r="G135" s="37"/>
      <c r="H135" s="37"/>
      <c r="I135" s="37"/>
      <c r="J135" s="35">
        <f t="shared" si="27"/>
        <v>126000</v>
      </c>
      <c r="K135" s="35"/>
      <c r="L135" s="35"/>
      <c r="M135" s="35"/>
      <c r="N135" s="35">
        <v>126000</v>
      </c>
      <c r="O135" s="35"/>
      <c r="P135" s="35">
        <f t="shared" si="28"/>
        <v>126000</v>
      </c>
      <c r="Q135" s="94"/>
    </row>
    <row r="136" spans="1:17" s="25" customFormat="1" ht="15">
      <c r="A136" s="23"/>
      <c r="B136" s="26" t="s">
        <v>58</v>
      </c>
      <c r="C136" s="26" t="s">
        <v>149</v>
      </c>
      <c r="D136" s="27" t="s">
        <v>26</v>
      </c>
      <c r="E136" s="35">
        <f t="shared" si="26"/>
        <v>188021</v>
      </c>
      <c r="F136" s="53">
        <v>188021</v>
      </c>
      <c r="G136" s="37"/>
      <c r="H136" s="37"/>
      <c r="I136" s="37"/>
      <c r="J136" s="35">
        <f t="shared" si="27"/>
        <v>0</v>
      </c>
      <c r="K136" s="35"/>
      <c r="L136" s="35"/>
      <c r="M136" s="35"/>
      <c r="N136" s="35"/>
      <c r="O136" s="35"/>
      <c r="P136" s="35">
        <f t="shared" si="28"/>
        <v>188021</v>
      </c>
      <c r="Q136" s="94"/>
    </row>
    <row r="137" spans="1:17" s="25" customFormat="1" ht="82.5" customHeight="1">
      <c r="A137" s="23"/>
      <c r="B137" s="29" t="s">
        <v>131</v>
      </c>
      <c r="C137" s="29" t="s">
        <v>166</v>
      </c>
      <c r="D137" s="27" t="s">
        <v>132</v>
      </c>
      <c r="E137" s="35">
        <f t="shared" si="26"/>
        <v>84905</v>
      </c>
      <c r="F137" s="35">
        <v>84905</v>
      </c>
      <c r="G137" s="35"/>
      <c r="H137" s="35"/>
      <c r="I137" s="35"/>
      <c r="J137" s="35">
        <f t="shared" si="27"/>
        <v>30069</v>
      </c>
      <c r="K137" s="35">
        <v>30069</v>
      </c>
      <c r="L137" s="37"/>
      <c r="M137" s="37"/>
      <c r="N137" s="37"/>
      <c r="O137" s="37"/>
      <c r="P137" s="35">
        <f t="shared" si="28"/>
        <v>114974</v>
      </c>
      <c r="Q137" s="94"/>
    </row>
    <row r="138" spans="1:17" s="25" customFormat="1" ht="45" customHeight="1">
      <c r="A138" s="23"/>
      <c r="B138" s="30"/>
      <c r="C138" s="30"/>
      <c r="D138" s="31" t="s">
        <v>180</v>
      </c>
      <c r="E138" s="37">
        <f>E139+E140+E141+E142</f>
        <v>4263110</v>
      </c>
      <c r="F138" s="37">
        <f aca="true" t="shared" si="29" ref="F138:P138">F139+F140+F141+F142</f>
        <v>4263110</v>
      </c>
      <c r="G138" s="37">
        <f t="shared" si="29"/>
        <v>2986650</v>
      </c>
      <c r="H138" s="37">
        <f t="shared" si="29"/>
        <v>167498</v>
      </c>
      <c r="I138" s="37">
        <f t="shared" si="29"/>
        <v>0</v>
      </c>
      <c r="J138" s="37">
        <f t="shared" si="29"/>
        <v>1123000</v>
      </c>
      <c r="K138" s="37">
        <f t="shared" si="29"/>
        <v>725000</v>
      </c>
      <c r="L138" s="37">
        <f t="shared" si="29"/>
        <v>0</v>
      </c>
      <c r="M138" s="37">
        <f t="shared" si="29"/>
        <v>0</v>
      </c>
      <c r="N138" s="37">
        <f t="shared" si="29"/>
        <v>398000</v>
      </c>
      <c r="O138" s="37">
        <f t="shared" si="29"/>
        <v>398000</v>
      </c>
      <c r="P138" s="37">
        <f t="shared" si="29"/>
        <v>5386110</v>
      </c>
      <c r="Q138" s="94"/>
    </row>
    <row r="139" spans="1:17" s="25" customFormat="1" ht="21.75" customHeight="1">
      <c r="A139" s="23"/>
      <c r="B139" s="26" t="s">
        <v>11</v>
      </c>
      <c r="C139" s="26" t="s">
        <v>9</v>
      </c>
      <c r="D139" s="27" t="s">
        <v>16</v>
      </c>
      <c r="E139" s="35">
        <f>F139+I139</f>
        <v>4093110</v>
      </c>
      <c r="F139" s="35">
        <f>4520200-427090</f>
        <v>4093110</v>
      </c>
      <c r="G139" s="35">
        <v>2986650</v>
      </c>
      <c r="H139" s="35">
        <v>167498</v>
      </c>
      <c r="I139" s="35"/>
      <c r="J139" s="35">
        <f>K139+N139</f>
        <v>250000</v>
      </c>
      <c r="K139" s="35"/>
      <c r="L139" s="35"/>
      <c r="M139" s="35"/>
      <c r="N139" s="35">
        <v>250000</v>
      </c>
      <c r="O139" s="35">
        <v>250000</v>
      </c>
      <c r="P139" s="35">
        <f>E139+J139</f>
        <v>4343110</v>
      </c>
      <c r="Q139" s="94"/>
    </row>
    <row r="140" spans="1:17" s="25" customFormat="1" ht="24" customHeight="1">
      <c r="A140" s="23"/>
      <c r="B140" s="26" t="s">
        <v>123</v>
      </c>
      <c r="C140" s="26" t="s">
        <v>175</v>
      </c>
      <c r="D140" s="27" t="s">
        <v>124</v>
      </c>
      <c r="E140" s="35">
        <f>F140+I140</f>
        <v>0</v>
      </c>
      <c r="F140" s="37"/>
      <c r="G140" s="37"/>
      <c r="H140" s="37"/>
      <c r="I140" s="37"/>
      <c r="J140" s="35">
        <f>K140+N140</f>
        <v>148000</v>
      </c>
      <c r="K140" s="35"/>
      <c r="L140" s="35"/>
      <c r="M140" s="35"/>
      <c r="N140" s="35">
        <v>148000</v>
      </c>
      <c r="O140" s="35">
        <v>148000</v>
      </c>
      <c r="P140" s="35">
        <f>E140+J140</f>
        <v>148000</v>
      </c>
      <c r="Q140" s="94"/>
    </row>
    <row r="141" spans="1:17" s="25" customFormat="1" ht="55.5" customHeight="1">
      <c r="A141" s="23"/>
      <c r="B141" s="26" t="s">
        <v>56</v>
      </c>
      <c r="C141" s="26" t="s">
        <v>149</v>
      </c>
      <c r="D141" s="27" t="s">
        <v>57</v>
      </c>
      <c r="E141" s="35">
        <f>F141+I141</f>
        <v>0</v>
      </c>
      <c r="F141" s="37"/>
      <c r="G141" s="37"/>
      <c r="H141" s="37"/>
      <c r="I141" s="37"/>
      <c r="J141" s="35">
        <f>K141+N141</f>
        <v>725000</v>
      </c>
      <c r="K141" s="35">
        <v>725000</v>
      </c>
      <c r="L141" s="37"/>
      <c r="M141" s="37"/>
      <c r="N141" s="53"/>
      <c r="O141" s="37"/>
      <c r="P141" s="35">
        <f>E141+J141</f>
        <v>725000</v>
      </c>
      <c r="Q141" s="93">
        <v>25</v>
      </c>
    </row>
    <row r="142" spans="1:17" s="25" customFormat="1" ht="19.5" customHeight="1">
      <c r="A142" s="23"/>
      <c r="B142" s="26" t="s">
        <v>58</v>
      </c>
      <c r="C142" s="26" t="s">
        <v>149</v>
      </c>
      <c r="D142" s="27" t="s">
        <v>26</v>
      </c>
      <c r="E142" s="35">
        <f>F142+I142</f>
        <v>170000</v>
      </c>
      <c r="F142" s="35">
        <v>170000</v>
      </c>
      <c r="G142" s="37"/>
      <c r="H142" s="37"/>
      <c r="I142" s="37"/>
      <c r="J142" s="35">
        <f>K142+N142</f>
        <v>0</v>
      </c>
      <c r="K142" s="37"/>
      <c r="L142" s="37"/>
      <c r="M142" s="37"/>
      <c r="N142" s="37"/>
      <c r="O142" s="37"/>
      <c r="P142" s="35">
        <f>E142+J142</f>
        <v>170000</v>
      </c>
      <c r="Q142" s="93"/>
    </row>
    <row r="143" spans="1:17" s="25" customFormat="1" ht="47.25" customHeight="1">
      <c r="A143" s="23"/>
      <c r="B143" s="26"/>
      <c r="C143" s="38"/>
      <c r="D143" s="67" t="s">
        <v>251</v>
      </c>
      <c r="E143" s="37">
        <f>E144</f>
        <v>648620</v>
      </c>
      <c r="F143" s="37">
        <f aca="true" t="shared" si="30" ref="F143:P143">F144</f>
        <v>648620</v>
      </c>
      <c r="G143" s="37">
        <f t="shared" si="30"/>
        <v>433970</v>
      </c>
      <c r="H143" s="37">
        <f t="shared" si="30"/>
        <v>34232</v>
      </c>
      <c r="I143" s="37">
        <f t="shared" si="30"/>
        <v>0</v>
      </c>
      <c r="J143" s="37">
        <f t="shared" si="30"/>
        <v>134100</v>
      </c>
      <c r="K143" s="37">
        <f t="shared" si="30"/>
        <v>0</v>
      </c>
      <c r="L143" s="37">
        <f t="shared" si="30"/>
        <v>0</v>
      </c>
      <c r="M143" s="37">
        <f t="shared" si="30"/>
        <v>0</v>
      </c>
      <c r="N143" s="37">
        <f t="shared" si="30"/>
        <v>134100</v>
      </c>
      <c r="O143" s="37">
        <f t="shared" si="30"/>
        <v>134100</v>
      </c>
      <c r="P143" s="37">
        <f t="shared" si="30"/>
        <v>782720</v>
      </c>
      <c r="Q143" s="93"/>
    </row>
    <row r="144" spans="1:17" s="25" customFormat="1" ht="21" customHeight="1">
      <c r="A144" s="23"/>
      <c r="B144" s="26" t="s">
        <v>11</v>
      </c>
      <c r="C144" s="26" t="s">
        <v>9</v>
      </c>
      <c r="D144" s="27" t="s">
        <v>16</v>
      </c>
      <c r="E144" s="35">
        <f>F144+I144</f>
        <v>648620</v>
      </c>
      <c r="F144" s="35">
        <f>710680-62060</f>
        <v>648620</v>
      </c>
      <c r="G144" s="35">
        <v>433970</v>
      </c>
      <c r="H144" s="35">
        <v>34232</v>
      </c>
      <c r="I144" s="35"/>
      <c r="J144" s="35">
        <f>K144+N144</f>
        <v>134100</v>
      </c>
      <c r="K144" s="35"/>
      <c r="L144" s="35"/>
      <c r="M144" s="35"/>
      <c r="N144" s="35">
        <v>134100</v>
      </c>
      <c r="O144" s="35">
        <v>134100</v>
      </c>
      <c r="P144" s="35">
        <f>E144+J144</f>
        <v>782720</v>
      </c>
      <c r="Q144" s="93"/>
    </row>
    <row r="145" spans="1:17" s="25" customFormat="1" ht="47.25" customHeight="1">
      <c r="A145" s="23"/>
      <c r="B145" s="26"/>
      <c r="C145" s="38"/>
      <c r="D145" s="31" t="s">
        <v>184</v>
      </c>
      <c r="E145" s="37">
        <f>E146+E147</f>
        <v>1941570</v>
      </c>
      <c r="F145" s="37">
        <f aca="true" t="shared" si="31" ref="F145:P145">F146+F147</f>
        <v>1941570</v>
      </c>
      <c r="G145" s="37">
        <f t="shared" si="31"/>
        <v>1146200</v>
      </c>
      <c r="H145" s="37">
        <f t="shared" si="31"/>
        <v>83538</v>
      </c>
      <c r="I145" s="37">
        <f t="shared" si="31"/>
        <v>0</v>
      </c>
      <c r="J145" s="37">
        <f t="shared" si="31"/>
        <v>30000</v>
      </c>
      <c r="K145" s="37">
        <f t="shared" si="31"/>
        <v>0</v>
      </c>
      <c r="L145" s="37">
        <f t="shared" si="31"/>
        <v>0</v>
      </c>
      <c r="M145" s="37">
        <f t="shared" si="31"/>
        <v>0</v>
      </c>
      <c r="N145" s="37">
        <f t="shared" si="31"/>
        <v>30000</v>
      </c>
      <c r="O145" s="37">
        <f t="shared" si="31"/>
        <v>30000</v>
      </c>
      <c r="P145" s="37">
        <f t="shared" si="31"/>
        <v>1971570</v>
      </c>
      <c r="Q145" s="93"/>
    </row>
    <row r="146" spans="1:17" s="25" customFormat="1" ht="21" customHeight="1">
      <c r="A146" s="23"/>
      <c r="B146" s="26" t="s">
        <v>11</v>
      </c>
      <c r="C146" s="26" t="s">
        <v>9</v>
      </c>
      <c r="D146" s="27" t="s">
        <v>16</v>
      </c>
      <c r="E146" s="35">
        <f>F146+I146</f>
        <v>1591570</v>
      </c>
      <c r="F146" s="35">
        <f>1751970-160400</f>
        <v>1591570</v>
      </c>
      <c r="G146" s="35">
        <f>1143630+2570</f>
        <v>1146200</v>
      </c>
      <c r="H146" s="35">
        <v>83538</v>
      </c>
      <c r="I146" s="35"/>
      <c r="J146" s="35">
        <f>K146+N146</f>
        <v>30000</v>
      </c>
      <c r="K146" s="35"/>
      <c r="L146" s="35"/>
      <c r="M146" s="35"/>
      <c r="N146" s="35">
        <v>30000</v>
      </c>
      <c r="O146" s="35">
        <v>30000</v>
      </c>
      <c r="P146" s="35">
        <f>E146+J146</f>
        <v>1621570</v>
      </c>
      <c r="Q146" s="93"/>
    </row>
    <row r="147" spans="1:17" s="25" customFormat="1" ht="18.75" customHeight="1">
      <c r="A147" s="23"/>
      <c r="B147" s="26" t="s">
        <v>58</v>
      </c>
      <c r="C147" s="26" t="s">
        <v>149</v>
      </c>
      <c r="D147" s="27" t="s">
        <v>26</v>
      </c>
      <c r="E147" s="35">
        <f>F147+I147</f>
        <v>350000</v>
      </c>
      <c r="F147" s="35">
        <v>350000</v>
      </c>
      <c r="G147" s="37"/>
      <c r="H147" s="37"/>
      <c r="I147" s="37"/>
      <c r="J147" s="35">
        <f>K147+N147</f>
        <v>0</v>
      </c>
      <c r="K147" s="37"/>
      <c r="L147" s="37"/>
      <c r="M147" s="37"/>
      <c r="N147" s="37"/>
      <c r="O147" s="37"/>
      <c r="P147" s="35">
        <f>E147+J147</f>
        <v>350000</v>
      </c>
      <c r="Q147" s="93"/>
    </row>
    <row r="148" spans="1:17" s="25" customFormat="1" ht="51.75" customHeight="1">
      <c r="A148" s="23"/>
      <c r="B148" s="30"/>
      <c r="C148" s="30"/>
      <c r="D148" s="31" t="s">
        <v>181</v>
      </c>
      <c r="E148" s="37">
        <f>E149+E150</f>
        <v>5410394.54</v>
      </c>
      <c r="F148" s="37">
        <f aca="true" t="shared" si="32" ref="F148:P148">F149+F150</f>
        <v>5410394.54</v>
      </c>
      <c r="G148" s="37">
        <f t="shared" si="32"/>
        <v>3815890</v>
      </c>
      <c r="H148" s="37">
        <f t="shared" si="32"/>
        <v>191695</v>
      </c>
      <c r="I148" s="37">
        <f t="shared" si="32"/>
        <v>0</v>
      </c>
      <c r="J148" s="37">
        <f t="shared" si="32"/>
        <v>40000</v>
      </c>
      <c r="K148" s="37">
        <f t="shared" si="32"/>
        <v>0</v>
      </c>
      <c r="L148" s="37">
        <f t="shared" si="32"/>
        <v>0</v>
      </c>
      <c r="M148" s="37">
        <f t="shared" si="32"/>
        <v>0</v>
      </c>
      <c r="N148" s="37">
        <f t="shared" si="32"/>
        <v>40000</v>
      </c>
      <c r="O148" s="37">
        <f t="shared" si="32"/>
        <v>40000</v>
      </c>
      <c r="P148" s="37">
        <f t="shared" si="32"/>
        <v>5450394.54</v>
      </c>
      <c r="Q148" s="93"/>
    </row>
    <row r="149" spans="1:17" s="25" customFormat="1" ht="21" customHeight="1">
      <c r="A149" s="23"/>
      <c r="B149" s="26" t="s">
        <v>11</v>
      </c>
      <c r="C149" s="26" t="s">
        <v>9</v>
      </c>
      <c r="D149" s="27" t="s">
        <v>94</v>
      </c>
      <c r="E149" s="35">
        <f>F149+I149</f>
        <v>5211700</v>
      </c>
      <c r="F149" s="35">
        <f>5498000-286300</f>
        <v>5211700</v>
      </c>
      <c r="G149" s="35">
        <f>3629280+186610</f>
        <v>3815890</v>
      </c>
      <c r="H149" s="35">
        <v>191695</v>
      </c>
      <c r="I149" s="35"/>
      <c r="J149" s="35">
        <f>K149+N149</f>
        <v>40000</v>
      </c>
      <c r="K149" s="35"/>
      <c r="L149" s="35"/>
      <c r="M149" s="35"/>
      <c r="N149" s="35">
        <v>40000</v>
      </c>
      <c r="O149" s="35">
        <v>40000</v>
      </c>
      <c r="P149" s="35">
        <f>E149+J149</f>
        <v>5251700</v>
      </c>
      <c r="Q149" s="93"/>
    </row>
    <row r="150" spans="1:17" s="25" customFormat="1" ht="21" customHeight="1">
      <c r="A150" s="23"/>
      <c r="B150" s="26" t="s">
        <v>206</v>
      </c>
      <c r="C150" s="26" t="s">
        <v>214</v>
      </c>
      <c r="D150" s="27" t="s">
        <v>207</v>
      </c>
      <c r="E150" s="35">
        <f>F150+I150</f>
        <v>198694.54</v>
      </c>
      <c r="F150" s="35">
        <v>198694.54</v>
      </c>
      <c r="G150" s="35"/>
      <c r="H150" s="35"/>
      <c r="I150" s="35"/>
      <c r="J150" s="35">
        <f>K150+N150</f>
        <v>0</v>
      </c>
      <c r="K150" s="35"/>
      <c r="L150" s="35"/>
      <c r="M150" s="35"/>
      <c r="N150" s="35"/>
      <c r="O150" s="35"/>
      <c r="P150" s="35">
        <f>E150+J150</f>
        <v>198694.54</v>
      </c>
      <c r="Q150" s="93"/>
    </row>
    <row r="151" spans="1:17" s="25" customFormat="1" ht="67.5" customHeight="1">
      <c r="A151" s="23"/>
      <c r="B151" s="30"/>
      <c r="C151" s="30"/>
      <c r="D151" s="31" t="s">
        <v>182</v>
      </c>
      <c r="E151" s="37">
        <f>E152+E153+E154+E155</f>
        <v>68060834.46000001</v>
      </c>
      <c r="F151" s="37">
        <f aca="true" t="shared" si="33" ref="F151:P151">F152+F153+F154+F155</f>
        <v>56733257</v>
      </c>
      <c r="G151" s="37">
        <f t="shared" si="33"/>
        <v>0</v>
      </c>
      <c r="H151" s="37">
        <f t="shared" si="33"/>
        <v>0</v>
      </c>
      <c r="I151" s="37">
        <f t="shared" si="33"/>
        <v>0</v>
      </c>
      <c r="J151" s="37">
        <f t="shared" si="33"/>
        <v>500000</v>
      </c>
      <c r="K151" s="37">
        <f t="shared" si="33"/>
        <v>0</v>
      </c>
      <c r="L151" s="37">
        <f t="shared" si="33"/>
        <v>0</v>
      </c>
      <c r="M151" s="37">
        <f t="shared" si="33"/>
        <v>0</v>
      </c>
      <c r="N151" s="37">
        <f t="shared" si="33"/>
        <v>500000</v>
      </c>
      <c r="O151" s="37">
        <f t="shared" si="33"/>
        <v>500000</v>
      </c>
      <c r="P151" s="37">
        <f t="shared" si="33"/>
        <v>68560834.46000001</v>
      </c>
      <c r="Q151" s="93"/>
    </row>
    <row r="152" spans="1:17" s="25" customFormat="1" ht="15">
      <c r="A152" s="23"/>
      <c r="B152" s="26" t="s">
        <v>133</v>
      </c>
      <c r="C152" s="26" t="s">
        <v>149</v>
      </c>
      <c r="D152" s="27" t="s">
        <v>134</v>
      </c>
      <c r="E152" s="35">
        <f>9833216.06-80000-23542.6-134100-100000-670100-360000-3000000-1811608+12618382-254670-4690000</f>
        <v>11327577.46</v>
      </c>
      <c r="F152" s="35"/>
      <c r="G152" s="37"/>
      <c r="H152" s="37"/>
      <c r="I152" s="37"/>
      <c r="J152" s="35">
        <f>K152+N152</f>
        <v>0</v>
      </c>
      <c r="K152" s="37"/>
      <c r="L152" s="37"/>
      <c r="M152" s="37"/>
      <c r="N152" s="37"/>
      <c r="O152" s="37"/>
      <c r="P152" s="35">
        <f>E152+J152</f>
        <v>11327577.46</v>
      </c>
      <c r="Q152" s="93"/>
    </row>
    <row r="153" spans="1:17" s="25" customFormat="1" ht="15">
      <c r="A153" s="23"/>
      <c r="B153" s="26" t="s">
        <v>185</v>
      </c>
      <c r="C153" s="26" t="s">
        <v>183</v>
      </c>
      <c r="D153" s="27" t="s">
        <v>186</v>
      </c>
      <c r="E153" s="35">
        <f>F153+I153</f>
        <v>56401300</v>
      </c>
      <c r="F153" s="35">
        <f>55480900+920400</f>
        <v>56401300</v>
      </c>
      <c r="G153" s="37"/>
      <c r="H153" s="37"/>
      <c r="I153" s="37"/>
      <c r="J153" s="35">
        <f>K153+N153</f>
        <v>0</v>
      </c>
      <c r="K153" s="37"/>
      <c r="L153" s="37"/>
      <c r="M153" s="37"/>
      <c r="N153" s="37"/>
      <c r="O153" s="37"/>
      <c r="P153" s="35">
        <f>E153+J153</f>
        <v>56401300</v>
      </c>
      <c r="Q153" s="93"/>
    </row>
    <row r="154" spans="1:17" s="25" customFormat="1" ht="15">
      <c r="A154" s="23"/>
      <c r="B154" s="26" t="s">
        <v>187</v>
      </c>
      <c r="C154" s="26" t="s">
        <v>183</v>
      </c>
      <c r="D154" s="27" t="s">
        <v>189</v>
      </c>
      <c r="E154" s="35">
        <f>F154+I154</f>
        <v>141957</v>
      </c>
      <c r="F154" s="35">
        <f>164814-22857</f>
        <v>141957</v>
      </c>
      <c r="G154" s="37"/>
      <c r="H154" s="37"/>
      <c r="I154" s="37"/>
      <c r="J154" s="35">
        <f>K154+N154</f>
        <v>0</v>
      </c>
      <c r="K154" s="37"/>
      <c r="L154" s="37"/>
      <c r="M154" s="37"/>
      <c r="N154" s="37"/>
      <c r="O154" s="37"/>
      <c r="P154" s="35">
        <f>E154+J154</f>
        <v>141957</v>
      </c>
      <c r="Q154" s="93"/>
    </row>
    <row r="155" spans="1:17" s="25" customFormat="1" ht="15">
      <c r="A155" s="23"/>
      <c r="B155" s="26" t="s">
        <v>135</v>
      </c>
      <c r="C155" s="26" t="s">
        <v>183</v>
      </c>
      <c r="D155" s="34" t="s">
        <v>136</v>
      </c>
      <c r="E155" s="35">
        <f>F155+I155</f>
        <v>190000</v>
      </c>
      <c r="F155" s="35">
        <v>190000</v>
      </c>
      <c r="G155" s="37"/>
      <c r="H155" s="37"/>
      <c r="I155" s="37"/>
      <c r="J155" s="35">
        <f>K155+N155</f>
        <v>500000</v>
      </c>
      <c r="K155" s="37"/>
      <c r="L155" s="37"/>
      <c r="M155" s="37"/>
      <c r="N155" s="35">
        <v>500000</v>
      </c>
      <c r="O155" s="35">
        <v>500000</v>
      </c>
      <c r="P155" s="35">
        <f>E155+J155</f>
        <v>690000</v>
      </c>
      <c r="Q155" s="93"/>
    </row>
    <row r="156" spans="1:17" s="25" customFormat="1" ht="15">
      <c r="A156" s="23"/>
      <c r="B156" s="30"/>
      <c r="C156" s="30"/>
      <c r="D156" s="31" t="s">
        <v>137</v>
      </c>
      <c r="E156" s="37">
        <f aca="true" t="shared" si="34" ref="E156:P156">E11+E40+E62+E80+E96+E99+E105+E125+E129+E138+E145+E148+E151+E143</f>
        <v>927671119</v>
      </c>
      <c r="F156" s="37">
        <f t="shared" si="34"/>
        <v>888738226.54</v>
      </c>
      <c r="G156" s="37">
        <f t="shared" si="34"/>
        <v>445012024</v>
      </c>
      <c r="H156" s="37">
        <f t="shared" si="34"/>
        <v>88766693</v>
      </c>
      <c r="I156" s="37">
        <f t="shared" si="34"/>
        <v>27605315</v>
      </c>
      <c r="J156" s="37">
        <f t="shared" si="34"/>
        <v>368196325.08</v>
      </c>
      <c r="K156" s="37">
        <f t="shared" si="34"/>
        <v>53995841</v>
      </c>
      <c r="L156" s="37">
        <f t="shared" si="34"/>
        <v>11345440</v>
      </c>
      <c r="M156" s="37">
        <f t="shared" si="34"/>
        <v>2148631</v>
      </c>
      <c r="N156" s="37">
        <f t="shared" si="34"/>
        <v>314200484.08</v>
      </c>
      <c r="O156" s="37">
        <f t="shared" si="34"/>
        <v>312306184.08</v>
      </c>
      <c r="P156" s="37">
        <f t="shared" si="34"/>
        <v>1295867444.08</v>
      </c>
      <c r="Q156" s="93"/>
    </row>
    <row r="157" spans="1:17" s="25" customFormat="1" ht="28.5">
      <c r="A157" s="23"/>
      <c r="B157" s="30"/>
      <c r="C157" s="30"/>
      <c r="D157" s="31" t="s">
        <v>215</v>
      </c>
      <c r="E157" s="37">
        <f>E41+E63</f>
        <v>370578000</v>
      </c>
      <c r="F157" s="37">
        <f aca="true" t="shared" si="35" ref="F157:P157">F41+F63</f>
        <v>370578000</v>
      </c>
      <c r="G157" s="37">
        <f t="shared" si="35"/>
        <v>252524683</v>
      </c>
      <c r="H157" s="37">
        <f t="shared" si="35"/>
        <v>39368515</v>
      </c>
      <c r="I157" s="37">
        <f t="shared" si="35"/>
        <v>0</v>
      </c>
      <c r="J157" s="37">
        <f t="shared" si="35"/>
        <v>0</v>
      </c>
      <c r="K157" s="37">
        <f t="shared" si="35"/>
        <v>0</v>
      </c>
      <c r="L157" s="37">
        <f t="shared" si="35"/>
        <v>0</v>
      </c>
      <c r="M157" s="37">
        <f t="shared" si="35"/>
        <v>0</v>
      </c>
      <c r="N157" s="37">
        <f t="shared" si="35"/>
        <v>0</v>
      </c>
      <c r="O157" s="37">
        <f t="shared" si="35"/>
        <v>0</v>
      </c>
      <c r="P157" s="37">
        <f t="shared" si="35"/>
        <v>370578000</v>
      </c>
      <c r="Q157" s="93"/>
    </row>
    <row r="158" spans="1:17" s="14" customFormat="1" ht="12.75" customHeight="1">
      <c r="A158" s="15"/>
      <c r="B158" s="15"/>
      <c r="C158" s="15"/>
      <c r="D158" s="15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93"/>
    </row>
    <row r="159" spans="1:17" s="14" customFormat="1" ht="48.75" customHeight="1">
      <c r="A159" s="15"/>
      <c r="B159" s="15"/>
      <c r="C159" s="15"/>
      <c r="D159" s="15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93"/>
    </row>
    <row r="160" spans="1:19" s="46" customFormat="1" ht="26.25">
      <c r="A160" s="43"/>
      <c r="B160" s="86" t="s">
        <v>278</v>
      </c>
      <c r="C160" s="86"/>
      <c r="D160" s="86"/>
      <c r="E160" s="86"/>
      <c r="F160" s="44"/>
      <c r="G160" s="44"/>
      <c r="H160" s="44"/>
      <c r="I160" s="44"/>
      <c r="J160" s="44"/>
      <c r="K160" s="44"/>
      <c r="L160" s="44"/>
      <c r="M160" s="85" t="s">
        <v>279</v>
      </c>
      <c r="N160" s="85"/>
      <c r="O160" s="85"/>
      <c r="P160" s="45"/>
      <c r="Q160" s="93"/>
      <c r="S160" s="59"/>
    </row>
    <row r="161" spans="1:19" s="10" customFormat="1" ht="39.75" customHeight="1">
      <c r="A161" s="8"/>
      <c r="B161" s="86"/>
      <c r="C161" s="86"/>
      <c r="D161" s="86"/>
      <c r="E161" s="86"/>
      <c r="F161" s="9"/>
      <c r="G161" s="9"/>
      <c r="H161" s="9"/>
      <c r="I161" s="9"/>
      <c r="J161" s="9"/>
      <c r="K161" s="9"/>
      <c r="L161" s="78"/>
      <c r="M161" s="78"/>
      <c r="N161" s="78"/>
      <c r="O161" s="78"/>
      <c r="P161" s="8"/>
      <c r="Q161" s="93"/>
      <c r="S161" s="60"/>
    </row>
    <row r="162" spans="1:19" s="10" customFormat="1" ht="23.25">
      <c r="A162" s="8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8"/>
      <c r="O162" s="8"/>
      <c r="P162" s="8"/>
      <c r="Q162" s="74"/>
      <c r="S162" s="60"/>
    </row>
    <row r="163" spans="1:20" s="56" customFormat="1" ht="26.25">
      <c r="A163" s="55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74"/>
      <c r="R163" s="58"/>
      <c r="S163" s="59"/>
      <c r="T163" s="58"/>
    </row>
    <row r="164" spans="1:19" s="7" customFormat="1" ht="26.25">
      <c r="A164" s="6"/>
      <c r="B164" s="16"/>
      <c r="C164" s="8"/>
      <c r="D164" s="8"/>
      <c r="E164" s="8"/>
      <c r="F164" s="8"/>
      <c r="G164" s="8"/>
      <c r="H164" s="13"/>
      <c r="I164" s="8"/>
      <c r="J164" s="8"/>
      <c r="K164" s="8"/>
      <c r="L164" s="8"/>
      <c r="M164" s="8"/>
      <c r="N164" s="8"/>
      <c r="O164" s="8"/>
      <c r="P164" s="6"/>
      <c r="Q164" s="74"/>
      <c r="S164" s="59"/>
    </row>
    <row r="165" spans="17:19" ht="26.25">
      <c r="Q165" s="74"/>
      <c r="S165" s="59"/>
    </row>
    <row r="166" spans="17:19" ht="26.25">
      <c r="Q166" s="74"/>
      <c r="S166" s="59"/>
    </row>
    <row r="167" spans="17:19" ht="26.25">
      <c r="Q167" s="74"/>
      <c r="S167" s="59"/>
    </row>
    <row r="168" ht="12.75">
      <c r="Q168" s="74"/>
    </row>
    <row r="169" spans="8:17" ht="12.75">
      <c r="H169" s="72"/>
      <c r="Q169" s="74"/>
    </row>
    <row r="170" ht="12.75">
      <c r="Q170" s="74"/>
    </row>
    <row r="171" ht="12.75">
      <c r="Q171" s="74"/>
    </row>
    <row r="172" ht="12.75">
      <c r="Q172" s="74"/>
    </row>
    <row r="173" ht="12.75">
      <c r="Q173" s="74"/>
    </row>
    <row r="174" ht="12.75">
      <c r="Q174" s="74"/>
    </row>
    <row r="175" ht="12.75">
      <c r="Q175" s="74"/>
    </row>
    <row r="176" ht="12.75">
      <c r="Q176" s="74"/>
    </row>
    <row r="177" ht="12.75">
      <c r="Q177" s="74"/>
    </row>
  </sheetData>
  <sheetProtection/>
  <mergeCells count="32">
    <mergeCell ref="G9:G10"/>
    <mergeCell ref="M160:O160"/>
    <mergeCell ref="D7:D10"/>
    <mergeCell ref="E8:E10"/>
    <mergeCell ref="B160:E161"/>
    <mergeCell ref="L161:O161"/>
    <mergeCell ref="B5:P5"/>
    <mergeCell ref="B7:B10"/>
    <mergeCell ref="C7:C10"/>
    <mergeCell ref="J7:O7"/>
    <mergeCell ref="P7:P10"/>
    <mergeCell ref="L8:M8"/>
    <mergeCell ref="E7:I7"/>
    <mergeCell ref="H9:H10"/>
    <mergeCell ref="M9:M10"/>
    <mergeCell ref="F8:F10"/>
    <mergeCell ref="Q1:Q26"/>
    <mergeCell ref="L3:P3"/>
    <mergeCell ref="N8:N10"/>
    <mergeCell ref="G8:H8"/>
    <mergeCell ref="O9:O10"/>
    <mergeCell ref="K8:K10"/>
    <mergeCell ref="I8:I10"/>
    <mergeCell ref="J8:J10"/>
    <mergeCell ref="L9:L10"/>
    <mergeCell ref="L1:O1"/>
    <mergeCell ref="Q141:Q161"/>
    <mergeCell ref="Q48:Q70"/>
    <mergeCell ref="Q27:Q47"/>
    <mergeCell ref="Q71:Q90"/>
    <mergeCell ref="Q91:Q115"/>
    <mergeCell ref="Q116:Q140"/>
  </mergeCells>
  <printOptions horizontalCentered="1"/>
  <pageMargins left="0.1968503937007874" right="0.1968503937007874" top="1.0236220472440944" bottom="0.4330708661417323" header="0.35433070866141736" footer="0.2362204724409449"/>
  <pageSetup fitToHeight="18" horizontalDpi="600" verticalDpi="600" orientation="landscape" paperSize="9" scale="55" r:id="rId1"/>
  <headerFooter alignWithMargins="0">
    <oddHeader>&amp;R&amp;16Продовження додатку 4&amp;10
</oddHeader>
  </headerFooter>
  <rowBreaks count="2" manualBreakCount="2">
    <brk id="26" min="1" max="16" man="1"/>
    <brk id="70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2016-01-14T10:00:23Z</cp:lastPrinted>
  <dcterms:created xsi:type="dcterms:W3CDTF">2014-01-17T10:52:16Z</dcterms:created>
  <dcterms:modified xsi:type="dcterms:W3CDTF">2016-01-14T10:00:27Z</dcterms:modified>
  <cp:category/>
  <cp:version/>
  <cp:contentType/>
  <cp:contentStatus/>
</cp:coreProperties>
</file>