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65" windowWidth="12885" windowHeight="10320" activeTab="0"/>
  </bookViews>
  <sheets>
    <sheet name="дод. 3" sheetId="1" r:id="rId1"/>
    <sheet name="дод. 4" sheetId="2" r:id="rId2"/>
  </sheets>
  <definedNames>
    <definedName name="_xlfn.AGGREGATE" hidden="1">#NAME?</definedName>
    <definedName name="_xlnm.Print_Titles" localSheetId="0">'дод. 3'!$9:$12</definedName>
    <definedName name="_xlnm.Print_Titles" localSheetId="1">'дод. 4'!$9:$12</definedName>
    <definedName name="_xlnm.Print_Area" localSheetId="0">'дод. 3'!$B$1:$Q$195</definedName>
    <definedName name="_xlnm.Print_Area" localSheetId="1">'дод. 4'!$B$1:$Q$246</definedName>
  </definedNames>
  <calcPr fullCalcOnLoad="1"/>
</workbook>
</file>

<file path=xl/sharedStrings.xml><?xml version="1.0" encoding="utf-8"?>
<sst xmlns="http://schemas.openxmlformats.org/spreadsheetml/2006/main" count="1061" uniqueCount="375">
  <si>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</si>
  <si>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</si>
  <si>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</si>
  <si>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</si>
  <si>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</si>
  <si>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</si>
  <si>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</si>
  <si>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</si>
  <si>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</si>
  <si>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0111</t>
  </si>
  <si>
    <t>Код функціональної класифікації видатків та кредитування бюджету</t>
  </si>
  <si>
    <t>010116</t>
  </si>
  <si>
    <t>бюджет розвитку</t>
  </si>
  <si>
    <t>Код тимчасової класифікації видатків та кредитування місцевого бюджету</t>
  </si>
  <si>
    <t>грн.</t>
  </si>
  <si>
    <t>03 Виконавчий комітет Сумської міської ради</t>
  </si>
  <si>
    <t>Органи мiсцевого самоврядування</t>
  </si>
  <si>
    <t>090412</t>
  </si>
  <si>
    <t>Інші видатки на соціальний захист населення</t>
  </si>
  <si>
    <t>091101</t>
  </si>
  <si>
    <t>Утримання центрів соціальних служб для сім'ї, дітей та молоді</t>
  </si>
  <si>
    <t>091102</t>
  </si>
  <si>
    <t xml:space="preserve">Програми і заходи центрів соціальних служб для сім'ї, дітей та молоді </t>
  </si>
  <si>
    <t>091103</t>
  </si>
  <si>
    <t>Соціальні програми і заходи державних органів у справах молоді</t>
  </si>
  <si>
    <t>091106</t>
  </si>
  <si>
    <t>Інші видатки</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</si>
  <si>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</si>
  <si>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</si>
  <si>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100203</t>
  </si>
  <si>
    <t xml:space="preserve">Благоустрій міст, сіл, селищ </t>
  </si>
  <si>
    <t>110502</t>
  </si>
  <si>
    <t>Інші культурно-освітні заклади та заходи</t>
  </si>
  <si>
    <t>130102</t>
  </si>
  <si>
    <t>Проведення навчально-тренувальних зборів і змагань</t>
  </si>
  <si>
    <t>130106</t>
  </si>
  <si>
    <t>Проведення навчально-тренувальних зборів і змагань з неолімпійських видів спорту</t>
  </si>
  <si>
    <t>130107</t>
  </si>
  <si>
    <t>Утримання  та  навчально - тренувальна  робота дитячо-юнацьких спортивних шкіл</t>
  </si>
  <si>
    <t>130112</t>
  </si>
  <si>
    <t>130115</t>
  </si>
  <si>
    <t>Центри «Спорт для всіх» та заходи з фізичної культури</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</si>
  <si>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</si>
  <si>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</si>
  <si>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170603</t>
  </si>
  <si>
    <t>Інші заходи у сфері електротранспорту</t>
  </si>
  <si>
    <t>180404</t>
  </si>
  <si>
    <t>Підтримка малого і середнього підприємництва</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</si>
  <si>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</si>
  <si>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</si>
  <si>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180410</t>
  </si>
  <si>
    <t>Інші заходи, пов'язані з економічною діяльністю</t>
  </si>
  <si>
    <t>210106</t>
  </si>
  <si>
    <t xml:space="preserve">Заходи у сфері захисту населення і територій від надзвичайних ситуацій техногенного та природного характеру </t>
  </si>
  <si>
    <t>210110</t>
  </si>
  <si>
    <t>Заходи з організації рятування на водах</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</si>
  <si>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</si>
  <si>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</si>
  <si>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250404</t>
  </si>
  <si>
    <t>070101</t>
  </si>
  <si>
    <t>Дошкільні заклади освіти</t>
  </si>
  <si>
    <t>070201</t>
  </si>
  <si>
    <t>Загальноосвітні   школи  (в т.ч. школа - дитячий садок, інтернат при школі), спеціалізовані школи, ліцеї, гімназії, колегіуми</t>
  </si>
  <si>
    <t>070202</t>
  </si>
  <si>
    <t xml:space="preserve">Вечірні ( змінні ) школи </t>
  </si>
  <si>
    <t>070304</t>
  </si>
  <si>
    <t>Спеціальні загальноосвітні школи-інтернати, школи та інші заклади освіти для дітей  з  вадами  у  фізичному чи розумовому розвитку</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</si>
  <si>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</si>
  <si>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</si>
  <si>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</si>
  <si>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</si>
  <si>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</si>
  <si>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</si>
  <si>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</si>
  <si>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</si>
  <si>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</si>
  <si>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</si>
  <si>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070807</t>
  </si>
  <si>
    <t>Інші освітні програми</t>
  </si>
  <si>
    <t>070808</t>
  </si>
  <si>
    <t>Допомога дітям-сиротам та дітям, позбавленим батьківського піклування, яким виповнюється 18 років</t>
  </si>
  <si>
    <t>Збереження природно-заповідного фонду</t>
  </si>
  <si>
    <t>080101</t>
  </si>
  <si>
    <t>Лікарні</t>
  </si>
  <si>
    <t>080203</t>
  </si>
  <si>
    <t>Перинатальні центри, пологові будинки</t>
  </si>
  <si>
    <t>080500</t>
  </si>
  <si>
    <t>Загальні і спеціалізовані стоматологічні поліклініки</t>
  </si>
  <si>
    <t>080800</t>
  </si>
  <si>
    <t>Центри первинної медичної (медико-санітарної) допомоги</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</si>
  <si>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</si>
  <si>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</si>
  <si>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</si>
  <si>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</si>
  <si>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Органи місцевого самоврядування</t>
  </si>
  <si>
    <t>090416</t>
  </si>
  <si>
    <t>Інші видатки на соціальний захист ветеранів війни та праці</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</si>
  <si>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</si>
  <si>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</si>
  <si>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</si>
  <si>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</si>
  <si>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</si>
  <si>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</si>
  <si>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</si>
  <si>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</si>
  <si>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091214</t>
  </si>
  <si>
    <t>Інші установи та заклади</t>
  </si>
  <si>
    <t>170602</t>
  </si>
  <si>
    <t>Компенсаційні виплати на пільговий проїзд електротранспортом окремим категоріям громадян</t>
  </si>
  <si>
    <t>090802</t>
  </si>
  <si>
    <t>Інші програми соціального захисту дітей</t>
  </si>
  <si>
    <t>110103</t>
  </si>
  <si>
    <t xml:space="preserve">Філармонії, музичні колективи і ансамблі та інші мистецькі заклади та заходи  </t>
  </si>
  <si>
    <t>110201</t>
  </si>
  <si>
    <t>Бібліотеки</t>
  </si>
  <si>
    <t>110205</t>
  </si>
  <si>
    <t>Школи естетичного виховання дітей</t>
  </si>
  <si>
    <t>100102</t>
  </si>
  <si>
    <t>Капітальний ремонт житлового фонду місцевих органів влади</t>
  </si>
  <si>
    <t>100106</t>
  </si>
  <si>
    <t xml:space="preserve">Капітальний ремонт житлового фонду об'єднань співвласників багатоквартирних будинків  </t>
  </si>
  <si>
    <t>100202</t>
  </si>
  <si>
    <t>Водопровідно-каналізаційне господарство</t>
  </si>
  <si>
    <t>160101</t>
  </si>
  <si>
    <t>Землеустрій</t>
  </si>
  <si>
    <t>180107</t>
  </si>
  <si>
    <t xml:space="preserve">Фінансування енергозберігаючих заходів </t>
  </si>
  <si>
    <t>240601</t>
  </si>
  <si>
    <t>Охорона та раціональне використання природних ресурсів</t>
  </si>
  <si>
    <t>150101</t>
  </si>
  <si>
    <t>Капiтальнi вкладення</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</si>
  <si>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</si>
  <si>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</si>
  <si>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250102</t>
  </si>
  <si>
    <t>Резервний фонд</t>
  </si>
  <si>
    <t>250380</t>
  </si>
  <si>
    <t>Інші субвенції</t>
  </si>
  <si>
    <t>Всього видатків</t>
  </si>
  <si>
    <t>1090</t>
  </si>
  <si>
    <t>1040</t>
  </si>
  <si>
    <t>0620</t>
  </si>
  <si>
    <t>0829</t>
  </si>
  <si>
    <t>0810</t>
  </si>
  <si>
    <t>0455</t>
  </si>
  <si>
    <t>0411</t>
  </si>
  <si>
    <t>0490</t>
  </si>
  <si>
    <t>0220</t>
  </si>
  <si>
    <t>0320</t>
  </si>
  <si>
    <t>0540</t>
  </si>
  <si>
    <t>0133</t>
  </si>
  <si>
    <t>10 Управління  освіти і науки Сумської міської ради</t>
  </si>
  <si>
    <t>0910</t>
  </si>
  <si>
    <t>0921</t>
  </si>
  <si>
    <t>0922</t>
  </si>
  <si>
    <t>0960</t>
  </si>
  <si>
    <t>0990</t>
  </si>
  <si>
    <t>0520</t>
  </si>
  <si>
    <t xml:space="preserve">14 Відділ охорони здоров’я Сумської міської ради  </t>
  </si>
  <si>
    <t>0731</t>
  </si>
  <si>
    <t>0733</t>
  </si>
  <si>
    <t>0722</t>
  </si>
  <si>
    <t>0726</t>
  </si>
  <si>
    <t>0763</t>
  </si>
  <si>
    <t>1030</t>
  </si>
  <si>
    <t>1070</t>
  </si>
  <si>
    <t>1060</t>
  </si>
  <si>
    <t>1010</t>
  </si>
  <si>
    <t>1020</t>
  </si>
  <si>
    <t>20 Служба у справах дітей Сумської міської ради</t>
  </si>
  <si>
    <t>24 Відділ культури та туризму Сумської міської ради</t>
  </si>
  <si>
    <t>0822</t>
  </si>
  <si>
    <t>0824</t>
  </si>
  <si>
    <t>41 Департамент інфраструктури міста Сумської міської ради</t>
  </si>
  <si>
    <t>0610</t>
  </si>
  <si>
    <t>0421</t>
  </si>
  <si>
    <t>0470</t>
  </si>
  <si>
    <t>0511</t>
  </si>
  <si>
    <t>45 Управління майна комунальної власності Сумської міської ради</t>
  </si>
  <si>
    <t>47 Управління капітального будівництва та дорожнього господарства Сумської міської ради</t>
  </si>
  <si>
    <t>48 Департамент містобудування та земельних відносин Сумської міської ради</t>
  </si>
  <si>
    <t>0180</t>
  </si>
  <si>
    <t>50 Управління «Інспекція з благоустрою міста Суми» Сумської міської ради</t>
  </si>
  <si>
    <t>250301</t>
  </si>
  <si>
    <t>Реверсна дотація</t>
  </si>
  <si>
    <t>250315</t>
  </si>
  <si>
    <t>Найменування
згідно з типовою відомчою / тимчасовою класифікацією видатків та кредитування місцевого бюджету</t>
  </si>
  <si>
    <t>Інші додаткові дотації</t>
  </si>
  <si>
    <t>080300</t>
  </si>
  <si>
    <t>0721</t>
  </si>
  <si>
    <t>Поліклініки і амбулаторії (крім спеціалізованих поліклінік та загальних і спеціалізованих стоматологічних поліклінік)</t>
  </si>
  <si>
    <t>120300</t>
  </si>
  <si>
    <t>Книговидання</t>
  </si>
  <si>
    <t>0830</t>
  </si>
  <si>
    <t>150202</t>
  </si>
  <si>
    <t>Розробка схем та проектних рішень масового застосування</t>
  </si>
  <si>
    <t>0443</t>
  </si>
  <si>
    <t>200600</t>
  </si>
  <si>
    <t>170101</t>
  </si>
  <si>
    <t>170601</t>
  </si>
  <si>
    <t>Регулювання цін на послуги місцевого автотранспорту</t>
  </si>
  <si>
    <t>0451</t>
  </si>
  <si>
    <t>Регулювання цін на послуги міського електротранспорту</t>
  </si>
  <si>
    <t>0453</t>
  </si>
  <si>
    <t>230000</t>
  </si>
  <si>
    <t>Обслуговування боргу</t>
  </si>
  <si>
    <t>090212</t>
  </si>
  <si>
    <t>Пільги на медичне обслуговування громадян, які постраждали внаслідок Чорнобильської катастрофи</t>
  </si>
  <si>
    <t>090501</t>
  </si>
  <si>
    <t>1050</t>
  </si>
  <si>
    <t>Організація та проведення громадських робіт</t>
  </si>
  <si>
    <t>в тому числі субвенція</t>
  </si>
  <si>
    <t>0170</t>
  </si>
  <si>
    <t>в тому числі субвенції з державного бюджету</t>
  </si>
  <si>
    <t>010000</t>
  </si>
  <si>
    <t>Державне управління</t>
  </si>
  <si>
    <t>070000</t>
  </si>
  <si>
    <t>Освіта</t>
  </si>
  <si>
    <t>080000</t>
  </si>
  <si>
    <t xml:space="preserve">Охорона здоров’я </t>
  </si>
  <si>
    <t>090000</t>
  </si>
  <si>
    <t>Соціальний захист та соціальне забезпечення</t>
  </si>
  <si>
    <t>100000</t>
  </si>
  <si>
    <t>Житлово-комунальне господарство</t>
  </si>
  <si>
    <t>110000</t>
  </si>
  <si>
    <t xml:space="preserve"> Культура і мистецтво</t>
  </si>
  <si>
    <t>120000</t>
  </si>
  <si>
    <t>Засоби масової інформації</t>
  </si>
  <si>
    <t>130000</t>
  </si>
  <si>
    <t>Фізична культура і спорт</t>
  </si>
  <si>
    <t>150000</t>
  </si>
  <si>
    <t>Будівництво</t>
  </si>
  <si>
    <t>160000</t>
  </si>
  <si>
    <t>Сільське і лісове господарство, рибне господарство та мисливство</t>
  </si>
  <si>
    <t>170000</t>
  </si>
  <si>
    <t>Транспорт, дорожнє господарство, зв'язок, телекомунікації та інформатика</t>
  </si>
  <si>
    <t>180000</t>
  </si>
  <si>
    <t>Інші послуги, пов'язані з економічною діяльністю</t>
  </si>
  <si>
    <t>210000</t>
  </si>
  <si>
    <t>Запобігання та ліквідація надзвичайних ситуацій та наслідків стихійного лиха</t>
  </si>
  <si>
    <t>240000</t>
  </si>
  <si>
    <t>Цільові фонди</t>
  </si>
  <si>
    <t>250000</t>
  </si>
  <si>
    <t>Видатки, не віднесені до основних груп</t>
  </si>
  <si>
    <t>Міжбюджетні трансферти</t>
  </si>
  <si>
    <t>200000</t>
  </si>
  <si>
    <t>Охорона наволишнього природного середовища та ядерна безпека</t>
  </si>
  <si>
    <t>РОЗПОДІЛ
видатків міського бюджету  на 2016 рік за тимчасовою класифікацією видатків та кредитування місцевих бюджетів</t>
  </si>
  <si>
    <t>РОЗПОДІЛ
видатків міського бюджету  на 2016 рік  за головними розпорядниками  коштів</t>
  </si>
  <si>
    <t>100101</t>
  </si>
  <si>
    <t>Житлово-експлуатаційне господарство</t>
  </si>
  <si>
    <t>091212</t>
  </si>
  <si>
    <t>Обробка інформації з нарахування та виплати допомог і компенсацій</t>
  </si>
  <si>
    <t>081009</t>
  </si>
  <si>
    <t>Забезпечення централізованих заходів з лікування хворих на цукровий та нецукровий діабет</t>
  </si>
  <si>
    <t>090417</t>
  </si>
  <si>
    <t>Витрати на поховання учасників бойових дій та інвалідів війни</t>
  </si>
  <si>
    <t>091303</t>
  </si>
  <si>
    <t>Компенсаційні виплати інвалідам на бензин, ремонт, техобслуговування автотранспорту та транспортне обслуговування</t>
  </si>
  <si>
    <t>091304</t>
  </si>
  <si>
    <t>Встановлення телефонів інвалідам I та II груп</t>
  </si>
  <si>
    <t>091300</t>
  </si>
  <si>
    <t>Державна соціальна допомога інвалідам з дитинства та дітям-інвалідам</t>
  </si>
  <si>
    <t>в тому числі субвенції</t>
  </si>
  <si>
    <t>090302</t>
  </si>
  <si>
    <t>Допомога у зв'язку з вагітністю і  пологами</t>
  </si>
  <si>
    <t>090303</t>
  </si>
  <si>
    <t xml:space="preserve">Допомога до досягнення дитиною трирічного віку </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</si>
  <si>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</si>
  <si>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</si>
  <si>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</si>
  <si>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</si>
  <si>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</si>
  <si>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</si>
  <si>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</si>
  <si>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</si>
  <si>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</si>
  <si>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</si>
  <si>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</si>
  <si>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</si>
  <si>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090413</t>
  </si>
  <si>
    <t>Допомоги на догляд за інвалідом І чи ІІ групи внаслідок психічного розладу</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</si>
  <si>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</si>
  <si>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</si>
  <si>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</si>
  <si>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</si>
  <si>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</si>
  <si>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</si>
  <si>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</si>
  <si>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</si>
  <si>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</si>
  <si>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t>
  </si>
  <si>
    <t xml:space="preserve">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t>
  </si>
  <si>
    <t>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</si>
  <si>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</si>
  <si>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</si>
  <si>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090210</t>
  </si>
  <si>
    <t>Пільги пенсіонерам з числа спеціалістів із захисту рослин, передбачені частиною четвертою статті 20 Закону України «Про захист рослин» , громадянам, передбачені пунктом «ї»  частини першої статті 77 Основ законодавства про охорону здоров'я, частиною п’ятою статті 29 Закону України «Про культуру» , частиною другою статті 30 Закону України «Про бібліотеки та бібліотечну справу» , абзацом першим частини четвертої статті 57 Закону України «Про освіту» , на безоплатне користування житлом, опаленням та освітленням</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</si>
  <si>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</si>
  <si>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</si>
  <si>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</si>
  <si>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</si>
  <si>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070303</t>
  </si>
  <si>
    <t>Дитячі будинки (в т.ч. сімейного типу, прийомні сім’ї)</t>
  </si>
  <si>
    <t>240602</t>
  </si>
  <si>
    <t>0512</t>
  </si>
  <si>
    <t>Утилізація відходів</t>
  </si>
  <si>
    <t>240604</t>
  </si>
  <si>
    <t>Інша діяльність у сфері охорони навколишнього природного середовища</t>
  </si>
  <si>
    <t>240605</t>
  </si>
  <si>
    <t>100208</t>
  </si>
  <si>
    <t>Видатки на впровадження засобів обліку витрат та регулювання споживання води та теплової енергії</t>
  </si>
  <si>
    <t>070501</t>
  </si>
  <si>
    <t>Професійно-технічні заклади освіти</t>
  </si>
  <si>
    <t>0930</t>
  </si>
  <si>
    <t>170103</t>
  </si>
  <si>
    <t>Інші заходи у сфері автомобільного транспорту</t>
  </si>
  <si>
    <t>250344</t>
  </si>
  <si>
    <t>Субвенція з місцевого бюджету державному бюджету на виконання програм соціально-економічного та культурного розвитку регіонів</t>
  </si>
  <si>
    <t>240603</t>
  </si>
  <si>
    <t>Ліквідація іншого забруднення навколишнього природного середовища</t>
  </si>
  <si>
    <t>0513</t>
  </si>
  <si>
    <t xml:space="preserve">  </t>
  </si>
  <si>
    <t xml:space="preserve"> </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</si>
  <si>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</si>
  <si>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</si>
  <si>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 xml:space="preserve">15 Департамент соціального захисту населення Сумської міської ради </t>
  </si>
  <si>
    <t>75 Департамент фінансів, економіки та  інвестицій Сумської міської ради</t>
  </si>
  <si>
    <t>76 Департамент фінансів, економіки та  інвестицій Сумської міської ради (в частині міжбюджетних трансфертів, резервного фонду)</t>
  </si>
  <si>
    <t>45 Департамент забезпечення ресурсних платежів Сумської міської ради</t>
  </si>
  <si>
    <t>48 Управління архітектури та містобудування Сумської міської ради</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</si>
  <si>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</si>
  <si>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</si>
  <si>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</si>
  <si>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</si>
  <si>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</si>
  <si>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Пільги окремим категоріям громадян з послуг зв'язку</t>
  </si>
  <si>
    <t>170102</t>
  </si>
  <si>
    <t>Компенсаційні виплати на пільговий проїзд автомобільним транспортом окремим категоріям громадян</t>
  </si>
  <si>
    <t>150201</t>
  </si>
  <si>
    <t>Збереження, розвиток, реконструкція та реставрація пам'яток історії та культури</t>
  </si>
  <si>
    <t xml:space="preserve"> 46 Управління державного архітектурно-будівельного контролю Сумської міської ради</t>
  </si>
  <si>
    <t>170703</t>
  </si>
  <si>
    <t>0456</t>
  </si>
  <si>
    <t>Видатки на проведення робіт, пов'язаних із будівництвом, реконструкцією, ремонтом та утриманням автомобільних доріг</t>
  </si>
  <si>
    <t>150118</t>
  </si>
  <si>
    <t>Будівництво та придбання житла для окремих категорій населення</t>
  </si>
  <si>
    <t xml:space="preserve">Директор департаменту фінансів, економіки та інвестицій </t>
  </si>
  <si>
    <t xml:space="preserve">                            С.А. Липова</t>
  </si>
  <si>
    <t xml:space="preserve">                Додаток  3</t>
  </si>
  <si>
    <t>до  рішення  виконавчого   комітету</t>
  </si>
  <si>
    <t xml:space="preserve">                Додаток  4</t>
  </si>
  <si>
    <t>18</t>
  </si>
  <si>
    <t>19</t>
  </si>
  <si>
    <t>20</t>
  </si>
  <si>
    <t>21</t>
  </si>
  <si>
    <t>22</t>
  </si>
  <si>
    <t>23</t>
  </si>
  <si>
    <t>24</t>
  </si>
  <si>
    <t>25</t>
  </si>
  <si>
    <t>26</t>
  </si>
  <si>
    <t>27</t>
  </si>
  <si>
    <t>28</t>
  </si>
  <si>
    <t>29</t>
  </si>
  <si>
    <t>30</t>
  </si>
  <si>
    <t>31</t>
  </si>
  <si>
    <t>32</t>
  </si>
  <si>
    <t>33</t>
  </si>
  <si>
    <t>34</t>
  </si>
  <si>
    <t>35</t>
  </si>
  <si>
    <t>36</t>
  </si>
  <si>
    <t>37</t>
  </si>
  <si>
    <t>38</t>
  </si>
  <si>
    <t>39</t>
  </si>
  <si>
    <t>від 15.11.2016 № 595</t>
  </si>
  <si>
    <t>від 15.11.2016 №  595</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</si>
</sst>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 #,##0;* \-#,##0;* &quot;-&quot;;@"/>
    <numFmt numFmtId="181" formatCode="* #,##0.00;* \-#,##0.00;* &quot;-&quot;??;@"/>
    <numFmt numFmtId="182" formatCode="* _-#,##0&quot;р.&quot;;* \-#,##0&quot;р.&quot;;* _-&quot;-&quot;&quot;р.&quot;;@"/>
    <numFmt numFmtId="183" formatCode="* _-#,##0.00&quot;р.&quot;;* \-#,##0.00&quot;р.&quot;;* _-&quot;-&quot;??&quot;р.&quot;;@"/>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59">
    <font>
      <sz val="10"/>
      <name val="Times New Roman"/>
      <family val="0"/>
    </font>
    <font>
      <b/>
      <sz val="10"/>
      <name val="Arial"/>
      <family val="0"/>
    </font>
    <font>
      <i/>
      <sz val="10"/>
      <name val="Arial"/>
      <family val="0"/>
    </font>
    <font>
      <b/>
      <i/>
      <sz val="10"/>
      <name val="Arial"/>
      <family val="0"/>
    </font>
    <font>
      <sz val="8"/>
      <name val="Times New Roman"/>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0"/>
    </font>
    <font>
      <sz val="10"/>
      <name val="Courier New"/>
      <family val="3"/>
    </font>
    <font>
      <u val="single"/>
      <sz val="10"/>
      <color indexed="36"/>
      <name val="Arial"/>
      <family val="0"/>
    </font>
    <font>
      <sz val="10"/>
      <color indexed="8"/>
      <name val="ARIAL"/>
      <family val="0"/>
    </font>
    <font>
      <sz val="18"/>
      <name val="Times New Roman"/>
      <family val="0"/>
    </font>
    <font>
      <b/>
      <sz val="18"/>
      <name val="Times New Roman"/>
      <family val="0"/>
    </font>
    <font>
      <sz val="11"/>
      <name val="Times New Roman"/>
      <family val="0"/>
    </font>
    <font>
      <b/>
      <sz val="11"/>
      <name val="Times New Roman"/>
      <family val="0"/>
    </font>
    <font>
      <i/>
      <sz val="11"/>
      <name val="Times New Roman"/>
      <family val="0"/>
    </font>
    <font>
      <sz val="14"/>
      <name val="Times New Roman"/>
      <family val="0"/>
    </font>
    <font>
      <sz val="20"/>
      <name val="Times New Roman"/>
      <family val="0"/>
    </font>
    <font>
      <sz val="22"/>
      <name val="Times New Roman"/>
      <family val="1"/>
    </font>
    <font>
      <sz val="12"/>
      <name val="Times New Roman"/>
      <family val="1"/>
    </font>
    <font>
      <sz val="15"/>
      <name val="Times New Roman"/>
      <family val="0"/>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s>
  <fills count="55">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42" fillId="3" borderId="0" applyNumberFormat="0" applyBorder="0" applyAlignment="0" applyProtection="0"/>
    <xf numFmtId="0" fontId="15" fillId="4" borderId="0" applyNumberFormat="0" applyBorder="0" applyAlignment="0" applyProtection="0"/>
    <xf numFmtId="0" fontId="42" fillId="5" borderId="0" applyNumberFormat="0" applyBorder="0" applyAlignment="0" applyProtection="0"/>
    <xf numFmtId="0" fontId="15" fillId="6" borderId="0" applyNumberFormat="0" applyBorder="0" applyAlignment="0" applyProtection="0"/>
    <xf numFmtId="0" fontId="42" fillId="7" borderId="0" applyNumberFormat="0" applyBorder="0" applyAlignment="0" applyProtection="0"/>
    <xf numFmtId="0" fontId="15" fillId="8" borderId="0" applyNumberFormat="0" applyBorder="0" applyAlignment="0" applyProtection="0"/>
    <xf numFmtId="0" fontId="42" fillId="9" borderId="0" applyNumberFormat="0" applyBorder="0" applyAlignment="0" applyProtection="0"/>
    <xf numFmtId="0" fontId="15" fillId="10" borderId="0" applyNumberFormat="0" applyBorder="0" applyAlignment="0" applyProtection="0"/>
    <xf numFmtId="0" fontId="42" fillId="11" borderId="0" applyNumberFormat="0" applyBorder="0" applyAlignment="0" applyProtection="0"/>
    <xf numFmtId="0" fontId="15" fillId="12" borderId="0" applyNumberFormat="0" applyBorder="0" applyAlignment="0" applyProtection="0"/>
    <xf numFmtId="0" fontId="42" fillId="13" borderId="0" applyNumberFormat="0" applyBorder="0" applyAlignment="0" applyProtection="0"/>
    <xf numFmtId="0" fontId="15" fillId="14" borderId="0" applyNumberFormat="0" applyBorder="0" applyAlignment="0" applyProtection="0"/>
    <xf numFmtId="0" fontId="42" fillId="15" borderId="0" applyNumberFormat="0" applyBorder="0" applyAlignment="0" applyProtection="0"/>
    <xf numFmtId="0" fontId="15" fillId="16" borderId="0" applyNumberFormat="0" applyBorder="0" applyAlignment="0" applyProtection="0"/>
    <xf numFmtId="0" fontId="42" fillId="17" borderId="0" applyNumberFormat="0" applyBorder="0" applyAlignment="0" applyProtection="0"/>
    <xf numFmtId="0" fontId="15" fillId="18" borderId="0" applyNumberFormat="0" applyBorder="0" applyAlignment="0" applyProtection="0"/>
    <xf numFmtId="0" fontId="42" fillId="19" borderId="0" applyNumberFormat="0" applyBorder="0" applyAlignment="0" applyProtection="0"/>
    <xf numFmtId="0" fontId="15" fillId="8" borderId="0" applyNumberFormat="0" applyBorder="0" applyAlignment="0" applyProtection="0"/>
    <xf numFmtId="0" fontId="42" fillId="20" borderId="0" applyNumberFormat="0" applyBorder="0" applyAlignment="0" applyProtection="0"/>
    <xf numFmtId="0" fontId="15" fillId="14" borderId="0" applyNumberFormat="0" applyBorder="0" applyAlignment="0" applyProtection="0"/>
    <xf numFmtId="0" fontId="42" fillId="21" borderId="0" applyNumberFormat="0" applyBorder="0" applyAlignment="0" applyProtection="0"/>
    <xf numFmtId="0" fontId="15" fillId="22" borderId="0" applyNumberFormat="0" applyBorder="0" applyAlignment="0" applyProtection="0"/>
    <xf numFmtId="0" fontId="42" fillId="23" borderId="0" applyNumberFormat="0" applyBorder="0" applyAlignment="0" applyProtection="0"/>
    <xf numFmtId="0" fontId="14" fillId="24" borderId="0" applyNumberFormat="0" applyBorder="0" applyAlignment="0" applyProtection="0"/>
    <xf numFmtId="0" fontId="43" fillId="25" borderId="0" applyNumberFormat="0" applyBorder="0" applyAlignment="0" applyProtection="0"/>
    <xf numFmtId="0" fontId="14" fillId="16" borderId="0" applyNumberFormat="0" applyBorder="0" applyAlignment="0" applyProtection="0"/>
    <xf numFmtId="0" fontId="43" fillId="26" borderId="0" applyNumberFormat="0" applyBorder="0" applyAlignment="0" applyProtection="0"/>
    <xf numFmtId="0" fontId="14" fillId="18" borderId="0" applyNumberFormat="0" applyBorder="0" applyAlignment="0" applyProtection="0"/>
    <xf numFmtId="0" fontId="43" fillId="27" borderId="0" applyNumberFormat="0" applyBorder="0" applyAlignment="0" applyProtection="0"/>
    <xf numFmtId="0" fontId="14" fillId="28" borderId="0" applyNumberFormat="0" applyBorder="0" applyAlignment="0" applyProtection="0"/>
    <xf numFmtId="0" fontId="43" fillId="29" borderId="0" applyNumberFormat="0" applyBorder="0" applyAlignment="0" applyProtection="0"/>
    <xf numFmtId="0" fontId="14" fillId="30" borderId="0" applyNumberFormat="0" applyBorder="0" applyAlignment="0" applyProtection="0"/>
    <xf numFmtId="0" fontId="43" fillId="31" borderId="0" applyNumberFormat="0" applyBorder="0" applyAlignment="0" applyProtection="0"/>
    <xf numFmtId="0" fontId="14" fillId="32" borderId="0" applyNumberFormat="0" applyBorder="0" applyAlignment="0" applyProtection="0"/>
    <xf numFmtId="0" fontId="43" fillId="33" borderId="0" applyNumberFormat="0" applyBorder="0" applyAlignment="0" applyProtection="0"/>
    <xf numFmtId="0" fontId="21" fillId="0" borderId="0">
      <alignment/>
      <protection/>
    </xf>
    <xf numFmtId="0" fontId="14" fillId="34"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4" fillId="28" borderId="0" applyNumberFormat="0" applyBorder="0" applyAlignment="0" applyProtection="0"/>
    <xf numFmtId="0" fontId="14" fillId="30" borderId="0" applyNumberFormat="0" applyBorder="0" applyAlignment="0" applyProtection="0"/>
    <xf numFmtId="0" fontId="14" fillId="37" borderId="0" applyNumberFormat="0" applyBorder="0" applyAlignment="0" applyProtection="0"/>
    <xf numFmtId="0" fontId="43" fillId="38" borderId="0" applyNumberFormat="0" applyBorder="0" applyAlignment="0" applyProtection="0"/>
    <xf numFmtId="0" fontId="43" fillId="39" borderId="0" applyNumberFormat="0" applyBorder="0" applyAlignment="0" applyProtection="0"/>
    <xf numFmtId="0" fontId="43" fillId="40" borderId="0" applyNumberFormat="0" applyBorder="0" applyAlignment="0" applyProtection="0"/>
    <xf numFmtId="0" fontId="43" fillId="41" borderId="0" applyNumberFormat="0" applyBorder="0" applyAlignment="0" applyProtection="0"/>
    <xf numFmtId="0" fontId="43" fillId="42" borderId="0" applyNumberFormat="0" applyBorder="0" applyAlignment="0" applyProtection="0"/>
    <xf numFmtId="0" fontId="43" fillId="43" borderId="0" applyNumberFormat="0" applyBorder="0" applyAlignment="0" applyProtection="0"/>
    <xf numFmtId="0" fontId="44" fillId="44" borderId="1" applyNumberFormat="0" applyAlignment="0" applyProtection="0"/>
    <xf numFmtId="0" fontId="8" fillId="12" borderId="2" applyNumberFormat="0" applyAlignment="0" applyProtection="0"/>
    <xf numFmtId="0" fontId="9" fillId="45" borderId="3" applyNumberFormat="0" applyAlignment="0" applyProtection="0"/>
    <xf numFmtId="0" fontId="16" fillId="45" borderId="2" applyNumberFormat="0" applyAlignment="0" applyProtection="0"/>
    <xf numFmtId="0" fontId="22"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45" fillId="46"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5" fillId="0" borderId="0">
      <alignment vertical="top"/>
      <protection/>
    </xf>
    <xf numFmtId="0" fontId="49" fillId="0" borderId="7" applyNumberFormat="0" applyFill="0" applyAlignment="0" applyProtection="0"/>
    <xf numFmtId="0" fontId="13" fillId="0" borderId="8" applyNumberFormat="0" applyFill="0" applyAlignment="0" applyProtection="0"/>
    <xf numFmtId="0" fontId="50" fillId="47" borderId="9" applyNumberFormat="0" applyAlignment="0" applyProtection="0"/>
    <xf numFmtId="0" fontId="11" fillId="48" borderId="10" applyNumberFormat="0" applyAlignment="0" applyProtection="0"/>
    <xf numFmtId="0" fontId="51" fillId="0" borderId="0" applyNumberFormat="0" applyFill="0" applyBorder="0" applyAlignment="0" applyProtection="0"/>
    <xf numFmtId="0" fontId="17" fillId="0" borderId="0" applyNumberFormat="0" applyFill="0" applyBorder="0" applyAlignment="0" applyProtection="0"/>
    <xf numFmtId="0" fontId="18" fillId="49" borderId="0" applyNumberFormat="0" applyBorder="0" applyAlignment="0" applyProtection="0"/>
    <xf numFmtId="0" fontId="52" fillId="50" borderId="1" applyNumberFormat="0" applyAlignment="0" applyProtection="0"/>
    <xf numFmtId="0" fontId="21" fillId="0" borderId="0">
      <alignment/>
      <protection/>
    </xf>
    <xf numFmtId="0" fontId="24" fillId="0" borderId="0" applyNumberFormat="0" applyFill="0" applyBorder="0" applyAlignment="0" applyProtection="0"/>
    <xf numFmtId="0" fontId="53" fillId="0" borderId="11" applyNumberFormat="0" applyFill="0" applyAlignment="0" applyProtection="0"/>
    <xf numFmtId="0" fontId="7" fillId="4" borderId="0" applyNumberFormat="0" applyBorder="0" applyAlignment="0" applyProtection="0"/>
    <xf numFmtId="0" fontId="54" fillId="51" borderId="0" applyNumberFormat="0" applyBorder="0" applyAlignment="0" applyProtection="0"/>
    <xf numFmtId="0" fontId="12" fillId="0" borderId="0" applyNumberFormat="0" applyFill="0" applyBorder="0" applyAlignment="0" applyProtection="0"/>
    <xf numFmtId="0" fontId="15" fillId="52" borderId="12" applyNumberFormat="0" applyFont="0" applyAlignment="0" applyProtection="0"/>
    <xf numFmtId="0" fontId="0" fillId="53" borderId="13" applyNumberFormat="0" applyFont="0" applyAlignment="0" applyProtection="0"/>
    <xf numFmtId="183" fontId="1" fillId="0" borderId="0" applyFont="0" applyFill="0" applyBorder="0" applyAlignment="0" applyProtection="0"/>
    <xf numFmtId="0" fontId="55" fillId="50" borderId="14" applyNumberFormat="0" applyAlignment="0" applyProtection="0"/>
    <xf numFmtId="0" fontId="19" fillId="0" borderId="15" applyNumberFormat="0" applyFill="0" applyAlignment="0" applyProtection="0"/>
    <xf numFmtId="0" fontId="56" fillId="54" borderId="0" applyNumberFormat="0" applyBorder="0" applyAlignment="0" applyProtection="0"/>
    <xf numFmtId="0" fontId="20" fillId="0" borderId="0">
      <alignment/>
      <protection/>
    </xf>
    <xf numFmtId="0" fontId="57" fillId="0" borderId="0" applyNumberFormat="0" applyFill="0" applyBorder="0" applyAlignment="0" applyProtection="0"/>
    <xf numFmtId="0" fontId="58" fillId="0" borderId="0" applyNumberFormat="0" applyFill="0" applyBorder="0" applyAlignment="0" applyProtection="0"/>
    <xf numFmtId="0" fontId="10"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6" fillId="6" borderId="0" applyNumberFormat="0" applyBorder="0" applyAlignment="0" applyProtection="0"/>
  </cellStyleXfs>
  <cellXfs count="132">
    <xf numFmtId="0" fontId="0" fillId="0" borderId="0" xfId="0" applyAlignment="1">
      <alignment/>
    </xf>
    <xf numFmtId="0" fontId="0" fillId="0" borderId="0" xfId="0" applyNumberFormat="1" applyFont="1" applyFill="1" applyAlignment="1" applyProtection="1">
      <alignment/>
      <protection/>
    </xf>
    <xf numFmtId="0" fontId="0" fillId="0" borderId="16" xfId="0" applyFont="1" applyFill="1" applyBorder="1" applyAlignment="1">
      <alignment horizontal="center"/>
    </xf>
    <xf numFmtId="0" fontId="5" fillId="0" borderId="0" xfId="0" applyNumberFormat="1" applyFont="1" applyFill="1" applyAlignment="1" applyProtection="1">
      <alignment horizontal="center"/>
      <protection/>
    </xf>
    <xf numFmtId="0" fontId="0" fillId="0" borderId="0" xfId="0" applyFont="1" applyFill="1" applyAlignment="1">
      <alignment horizontal="center"/>
    </xf>
    <xf numFmtId="0" fontId="5" fillId="0" borderId="16" xfId="0" applyNumberFormat="1" applyFont="1" applyFill="1" applyBorder="1" applyAlignment="1" applyProtection="1">
      <alignment horizontal="center" vertical="top"/>
      <protection/>
    </xf>
    <xf numFmtId="0" fontId="26" fillId="0" borderId="0" xfId="0" applyNumberFormat="1" applyFont="1" applyFill="1" applyAlignment="1" applyProtection="1">
      <alignment/>
      <protection/>
    </xf>
    <xf numFmtId="3" fontId="26" fillId="0" borderId="0" xfId="0" applyNumberFormat="1" applyFont="1" applyFill="1" applyBorder="1" applyAlignment="1">
      <alignment horizontal="center" vertical="center" wrapText="1"/>
    </xf>
    <xf numFmtId="0" fontId="26" fillId="0" borderId="0" xfId="0" applyFont="1" applyFill="1" applyAlignment="1">
      <alignment/>
    </xf>
    <xf numFmtId="3" fontId="27" fillId="0" borderId="0" xfId="0" applyNumberFormat="1" applyFont="1" applyFill="1" applyBorder="1" applyAlignment="1">
      <alignment horizontal="center" vertical="center" wrapText="1"/>
    </xf>
    <xf numFmtId="0" fontId="0"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28" fillId="0" borderId="17" xfId="0" applyNumberFormat="1" applyFont="1" applyFill="1" applyBorder="1" applyAlignment="1" applyProtection="1">
      <alignment/>
      <protection/>
    </xf>
    <xf numFmtId="0" fontId="28" fillId="0" borderId="18" xfId="0" applyNumberFormat="1" applyFont="1" applyFill="1" applyBorder="1" applyAlignment="1" applyProtection="1">
      <alignment horizontal="center" vertical="center" wrapText="1"/>
      <protection/>
    </xf>
    <xf numFmtId="0" fontId="28" fillId="0" borderId="0" xfId="0" applyFont="1" applyFill="1" applyAlignment="1">
      <alignment/>
    </xf>
    <xf numFmtId="0" fontId="28" fillId="0" borderId="19" xfId="0" applyNumberFormat="1" applyFont="1" applyFill="1" applyBorder="1" applyAlignment="1" applyProtection="1">
      <alignment/>
      <protection/>
    </xf>
    <xf numFmtId="0" fontId="28" fillId="0" borderId="2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8" fillId="0" borderId="0" xfId="0" applyNumberFormat="1" applyFont="1" applyFill="1" applyAlignment="1" applyProtection="1">
      <alignment vertical="center"/>
      <protection/>
    </xf>
    <xf numFmtId="0" fontId="29" fillId="0" borderId="21" xfId="0" applyFont="1" applyFill="1" applyBorder="1" applyAlignment="1">
      <alignment vertical="center" wrapText="1"/>
    </xf>
    <xf numFmtId="0" fontId="28" fillId="0" borderId="0" xfId="0" applyFont="1" applyFill="1" applyAlignment="1">
      <alignment vertical="center"/>
    </xf>
    <xf numFmtId="49" fontId="28" fillId="0" borderId="18" xfId="0" applyNumberFormat="1" applyFont="1" applyFill="1" applyBorder="1" applyAlignment="1">
      <alignment horizontal="center" vertical="center"/>
    </xf>
    <xf numFmtId="0" fontId="28" fillId="0" borderId="18" xfId="0" applyFont="1" applyFill="1" applyBorder="1" applyAlignment="1">
      <alignment horizontal="left" vertical="center" wrapText="1"/>
    </xf>
    <xf numFmtId="0" fontId="28" fillId="0" borderId="0" xfId="0" applyFont="1" applyFill="1" applyAlignment="1">
      <alignment vertical="center" wrapText="1"/>
    </xf>
    <xf numFmtId="49" fontId="28" fillId="0" borderId="18" xfId="0" applyNumberFormat="1" applyFont="1" applyFill="1" applyBorder="1" applyAlignment="1">
      <alignment horizontal="center" vertical="center" wrapText="1"/>
    </xf>
    <xf numFmtId="49" fontId="29" fillId="0" borderId="18" xfId="0" applyNumberFormat="1" applyFont="1" applyFill="1" applyBorder="1" applyAlignment="1">
      <alignment horizontal="center" vertical="center"/>
    </xf>
    <xf numFmtId="0" fontId="29" fillId="0" borderId="18" xfId="0" applyFont="1" applyFill="1" applyBorder="1" applyAlignment="1">
      <alignment horizontal="left" vertical="center" wrapText="1"/>
    </xf>
    <xf numFmtId="49" fontId="28" fillId="0" borderId="18" xfId="0" applyNumberFormat="1" applyFont="1" applyFill="1" applyBorder="1" applyAlignment="1">
      <alignment horizontal="center" vertical="center"/>
    </xf>
    <xf numFmtId="0" fontId="28" fillId="0" borderId="18" xfId="0" applyFont="1" applyFill="1" applyBorder="1" applyAlignment="1">
      <alignment horizontal="left" vertical="center" wrapText="1"/>
    </xf>
    <xf numFmtId="0" fontId="28" fillId="0" borderId="18" xfId="0" applyFont="1" applyFill="1" applyBorder="1" applyAlignment="1">
      <alignment vertical="center" wrapText="1"/>
    </xf>
    <xf numFmtId="4" fontId="28" fillId="0" borderId="18" xfId="95" applyNumberFormat="1" applyFont="1" applyFill="1" applyBorder="1" applyAlignment="1">
      <alignment vertical="center"/>
      <protection/>
    </xf>
    <xf numFmtId="4" fontId="29" fillId="0" borderId="18" xfId="95" applyNumberFormat="1" applyFont="1" applyFill="1" applyBorder="1" applyAlignment="1">
      <alignment vertical="center"/>
      <protection/>
    </xf>
    <xf numFmtId="49" fontId="5" fillId="0" borderId="18" xfId="0" applyNumberFormat="1" applyFont="1" applyFill="1" applyBorder="1" applyAlignment="1">
      <alignment horizontal="center" vertical="center"/>
    </xf>
    <xf numFmtId="4" fontId="0" fillId="0" borderId="0" xfId="0" applyNumberFormat="1" applyFont="1" applyFill="1" applyAlignment="1" applyProtection="1">
      <alignment/>
      <protection/>
    </xf>
    <xf numFmtId="0" fontId="28" fillId="0" borderId="18" xfId="0" applyFont="1" applyFill="1" applyBorder="1" applyAlignment="1">
      <alignment horizontal="left" vertical="center" wrapText="1"/>
    </xf>
    <xf numFmtId="0" fontId="31" fillId="0" borderId="16" xfId="0" applyNumberFormat="1" applyFont="1" applyFill="1" applyBorder="1" applyAlignment="1" applyProtection="1">
      <alignment horizontal="right" vertical="center"/>
      <protection/>
    </xf>
    <xf numFmtId="49" fontId="28" fillId="0" borderId="18" xfId="0" applyNumberFormat="1" applyFont="1" applyFill="1" applyBorder="1" applyAlignment="1">
      <alignment horizontal="center" vertical="center"/>
    </xf>
    <xf numFmtId="4" fontId="28" fillId="0" borderId="0" xfId="0" applyNumberFormat="1" applyFont="1" applyFill="1" applyAlignment="1">
      <alignment vertical="center"/>
    </xf>
    <xf numFmtId="0" fontId="32" fillId="0" borderId="0" xfId="0" applyFont="1" applyFill="1" applyAlignment="1">
      <alignment horizontal="left" vertical="center" wrapText="1"/>
    </xf>
    <xf numFmtId="0" fontId="28" fillId="0" borderId="0" xfId="0" applyNumberFormat="1" applyFont="1" applyFill="1" applyAlignment="1" applyProtection="1">
      <alignment vertical="center"/>
      <protection/>
    </xf>
    <xf numFmtId="0" fontId="28" fillId="0" borderId="0" xfId="0" applyFont="1" applyFill="1" applyAlignment="1">
      <alignment vertical="center"/>
    </xf>
    <xf numFmtId="49" fontId="29" fillId="0" borderId="18" xfId="0" applyNumberFormat="1" applyFont="1" applyFill="1" applyBorder="1" applyAlignment="1">
      <alignment horizontal="center" vertical="center" wrapText="1"/>
    </xf>
    <xf numFmtId="4" fontId="28" fillId="0" borderId="18" xfId="95" applyNumberFormat="1" applyFont="1" applyFill="1" applyBorder="1" applyAlignment="1">
      <alignment vertical="center"/>
      <protection/>
    </xf>
    <xf numFmtId="0" fontId="26" fillId="0" borderId="0" xfId="0" applyFont="1" applyFill="1" applyBorder="1" applyAlignment="1">
      <alignment/>
    </xf>
    <xf numFmtId="4" fontId="32" fillId="0" borderId="0" xfId="0" applyNumberFormat="1" applyFont="1" applyFill="1" applyAlignment="1">
      <alignment/>
    </xf>
    <xf numFmtId="4" fontId="26" fillId="0" borderId="0" xfId="0" applyNumberFormat="1" applyFont="1" applyFill="1" applyAlignment="1">
      <alignment/>
    </xf>
    <xf numFmtId="0" fontId="0" fillId="0" borderId="0" xfId="0" applyFont="1" applyFill="1" applyAlignment="1">
      <alignment/>
    </xf>
    <xf numFmtId="0" fontId="0" fillId="0" borderId="16" xfId="0" applyFont="1" applyFill="1" applyBorder="1" applyAlignment="1">
      <alignment horizontal="center"/>
    </xf>
    <xf numFmtId="0" fontId="0" fillId="0" borderId="0" xfId="0" applyFont="1" applyFill="1" applyAlignment="1">
      <alignment horizontal="center"/>
    </xf>
    <xf numFmtId="4" fontId="0" fillId="0" borderId="0" xfId="0" applyNumberFormat="1" applyFont="1" applyFill="1" applyAlignment="1" applyProtection="1">
      <alignment/>
      <protection/>
    </xf>
    <xf numFmtId="49" fontId="29" fillId="0" borderId="18" xfId="0" applyNumberFormat="1" applyFont="1" applyFill="1" applyBorder="1" applyAlignment="1">
      <alignment horizontal="center" vertical="center" wrapText="1"/>
    </xf>
    <xf numFmtId="0" fontId="29" fillId="0" borderId="18" xfId="0" applyFont="1" applyFill="1" applyBorder="1" applyAlignment="1">
      <alignment horizontal="left" vertical="center" wrapText="1"/>
    </xf>
    <xf numFmtId="49" fontId="29" fillId="0" borderId="18" xfId="0" applyNumberFormat="1" applyFont="1" applyFill="1" applyBorder="1" applyAlignment="1">
      <alignment horizontal="center" vertical="center"/>
    </xf>
    <xf numFmtId="0" fontId="29" fillId="0" borderId="0" xfId="0" applyNumberFormat="1" applyFont="1" applyFill="1" applyAlignment="1" applyProtection="1">
      <alignment vertical="center"/>
      <protection/>
    </xf>
    <xf numFmtId="4" fontId="29" fillId="0" borderId="18" xfId="95" applyNumberFormat="1" applyFont="1" applyFill="1" applyBorder="1" applyAlignment="1">
      <alignment vertical="center"/>
      <protection/>
    </xf>
    <xf numFmtId="0" fontId="29" fillId="0" borderId="0" xfId="0" applyFont="1" applyFill="1" applyAlignment="1">
      <alignment vertical="center"/>
    </xf>
    <xf numFmtId="49" fontId="28" fillId="0" borderId="22" xfId="0" applyNumberFormat="1" applyFont="1" applyFill="1" applyBorder="1" applyAlignment="1">
      <alignment horizontal="center" vertical="center"/>
    </xf>
    <xf numFmtId="49" fontId="28" fillId="0" borderId="23" xfId="0" applyNumberFormat="1" applyFont="1" applyFill="1" applyBorder="1" applyAlignment="1">
      <alignment horizontal="center" vertical="center"/>
    </xf>
    <xf numFmtId="49" fontId="28" fillId="0" borderId="21" xfId="0" applyNumberFormat="1" applyFont="1" applyFill="1" applyBorder="1" applyAlignment="1">
      <alignment horizontal="center" vertical="center"/>
    </xf>
    <xf numFmtId="0" fontId="28" fillId="0" borderId="17" xfId="0" applyFont="1" applyFill="1" applyBorder="1" applyAlignment="1">
      <alignment vertical="center" wrapText="1"/>
    </xf>
    <xf numFmtId="0" fontId="28" fillId="0" borderId="19" xfId="0" applyFont="1" applyFill="1" applyBorder="1" applyAlignment="1">
      <alignment vertical="top" wrapText="1"/>
    </xf>
    <xf numFmtId="0" fontId="28" fillId="0" borderId="20" xfId="0" applyFont="1" applyFill="1" applyBorder="1" applyAlignment="1">
      <alignment vertical="top" wrapText="1"/>
    </xf>
    <xf numFmtId="4" fontId="28" fillId="0" borderId="22" xfId="95" applyNumberFormat="1" applyFont="1" applyFill="1" applyBorder="1" applyAlignment="1">
      <alignment vertical="center"/>
      <protection/>
    </xf>
    <xf numFmtId="4" fontId="28" fillId="0" borderId="21" xfId="95" applyNumberFormat="1" applyFont="1" applyFill="1" applyBorder="1" applyAlignment="1">
      <alignment vertical="center"/>
      <protection/>
    </xf>
    <xf numFmtId="4" fontId="28" fillId="0" borderId="23" xfId="95" applyNumberFormat="1" applyFont="1" applyFill="1" applyBorder="1" applyAlignment="1">
      <alignment vertical="center"/>
      <protection/>
    </xf>
    <xf numFmtId="4" fontId="28" fillId="0" borderId="22" xfId="95" applyNumberFormat="1" applyFont="1" applyFill="1" applyBorder="1" applyAlignment="1">
      <alignment vertical="center"/>
      <protection/>
    </xf>
    <xf numFmtId="4" fontId="28" fillId="0" borderId="23" xfId="95" applyNumberFormat="1" applyFont="1" applyFill="1" applyBorder="1" applyAlignment="1">
      <alignment vertical="center"/>
      <protection/>
    </xf>
    <xf numFmtId="4" fontId="28" fillId="0" borderId="21" xfId="95" applyNumberFormat="1" applyFont="1" applyFill="1" applyBorder="1" applyAlignment="1">
      <alignment vertical="center"/>
      <protection/>
    </xf>
    <xf numFmtId="0" fontId="28" fillId="0" borderId="17" xfId="0" applyFont="1" applyFill="1" applyBorder="1" applyAlignment="1">
      <alignment horizontal="left"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6" xfId="0" applyFont="1" applyFill="1" applyBorder="1" applyAlignment="1">
      <alignment horizontal="center"/>
    </xf>
    <xf numFmtId="4" fontId="0" fillId="0" borderId="0" xfId="0" applyNumberFormat="1" applyFont="1" applyFill="1" applyAlignment="1" applyProtection="1">
      <alignment/>
      <protection/>
    </xf>
    <xf numFmtId="3" fontId="26" fillId="0" borderId="0" xfId="0" applyNumberFormat="1" applyFont="1" applyFill="1" applyBorder="1" applyAlignment="1">
      <alignment vertical="center" wrapText="1"/>
    </xf>
    <xf numFmtId="0" fontId="32" fillId="0" borderId="0" xfId="0" applyNumberFormat="1" applyFont="1" applyFill="1" applyAlignment="1" applyProtection="1">
      <alignment/>
      <protection/>
    </xf>
    <xf numFmtId="0" fontId="32" fillId="0" borderId="0" xfId="0" applyNumberFormat="1" applyFont="1" applyFill="1" applyBorder="1" applyAlignment="1" applyProtection="1">
      <alignment vertical="center" wrapText="1"/>
      <protection/>
    </xf>
    <xf numFmtId="0" fontId="32" fillId="0" borderId="0" xfId="0" applyFont="1" applyFill="1" applyAlignment="1">
      <alignment/>
    </xf>
    <xf numFmtId="0" fontId="0" fillId="0" borderId="0" xfId="0" applyNumberFormat="1" applyFont="1" applyFill="1" applyBorder="1" applyAlignment="1" applyProtection="1">
      <alignment/>
      <protection/>
    </xf>
    <xf numFmtId="0" fontId="26" fillId="0" borderId="0" xfId="0" applyNumberFormat="1" applyFont="1" applyFill="1" applyAlignment="1" applyProtection="1">
      <alignment/>
      <protection/>
    </xf>
    <xf numFmtId="0" fontId="0" fillId="0" borderId="0" xfId="0" applyFill="1" applyBorder="1" applyAlignment="1">
      <alignment wrapText="1"/>
    </xf>
    <xf numFmtId="0" fontId="0" fillId="0" borderId="0" xfId="0" applyFill="1" applyAlignment="1">
      <alignment wrapText="1"/>
    </xf>
    <xf numFmtId="3" fontId="27" fillId="0" borderId="0" xfId="0" applyNumberFormat="1" applyFont="1" applyFill="1" applyBorder="1" applyAlignment="1">
      <alignment horizontal="center" vertical="center" wrapText="1"/>
    </xf>
    <xf numFmtId="3" fontId="33" fillId="0" borderId="0" xfId="0" applyNumberFormat="1" applyFont="1" applyFill="1" applyBorder="1" applyAlignment="1">
      <alignment wrapText="1"/>
    </xf>
    <xf numFmtId="0" fontId="26" fillId="0" borderId="0" xfId="0" applyNumberFormat="1" applyFont="1" applyFill="1" applyAlignment="1" applyProtection="1">
      <alignment horizontal="center"/>
      <protection/>
    </xf>
    <xf numFmtId="0" fontId="26" fillId="0" borderId="0" xfId="0" applyFont="1" applyFill="1" applyAlignment="1">
      <alignment/>
    </xf>
    <xf numFmtId="0" fontId="0" fillId="0" borderId="0" xfId="0" applyNumberFormat="1" applyFont="1" applyFill="1" applyAlignment="1" applyProtection="1">
      <alignment/>
      <protection/>
    </xf>
    <xf numFmtId="0" fontId="0" fillId="0" borderId="0" xfId="0" applyNumberFormat="1" applyFont="1" applyFill="1" applyBorder="1" applyAlignment="1" applyProtection="1">
      <alignment horizontal="center"/>
      <protection/>
    </xf>
    <xf numFmtId="0" fontId="26" fillId="0" borderId="0" xfId="0" applyNumberFormat="1" applyFont="1" applyFill="1" applyBorder="1" applyAlignment="1" applyProtection="1">
      <alignment/>
      <protection/>
    </xf>
    <xf numFmtId="0" fontId="0" fillId="0" borderId="0" xfId="0" applyFont="1" applyFill="1" applyAlignment="1">
      <alignment/>
    </xf>
    <xf numFmtId="0" fontId="26" fillId="0" borderId="0" xfId="0" applyFont="1" applyFill="1" applyAlignment="1">
      <alignment vertical="center"/>
    </xf>
    <xf numFmtId="0" fontId="26" fillId="0" borderId="0" xfId="0" applyFont="1" applyFill="1" applyAlignment="1">
      <alignment horizontal="center" vertical="center" wrapText="1"/>
    </xf>
    <xf numFmtId="0" fontId="32" fillId="0" borderId="0" xfId="0" applyFont="1" applyFill="1" applyAlignment="1">
      <alignment vertical="center"/>
    </xf>
    <xf numFmtId="49" fontId="35" fillId="0" borderId="0" xfId="0" applyNumberFormat="1" applyFont="1" applyFill="1" applyAlignment="1">
      <alignment horizontal="center" vertical="center" textRotation="180"/>
    </xf>
    <xf numFmtId="49" fontId="35" fillId="0" borderId="0" xfId="0" applyNumberFormat="1" applyFont="1" applyFill="1" applyAlignment="1">
      <alignment vertical="center" textRotation="180"/>
    </xf>
    <xf numFmtId="49" fontId="35" fillId="0" borderId="0" xfId="0" applyNumberFormat="1" applyFont="1" applyFill="1" applyBorder="1" applyAlignment="1">
      <alignment vertical="center" textRotation="180"/>
    </xf>
    <xf numFmtId="0" fontId="26" fillId="0" borderId="0" xfId="0" applyFont="1" applyFill="1" applyAlignment="1">
      <alignment horizontal="center" vertical="center"/>
    </xf>
    <xf numFmtId="0" fontId="32" fillId="0" borderId="0" xfId="0" applyFont="1" applyFill="1" applyAlignment="1">
      <alignment vertical="center" wrapText="1"/>
    </xf>
    <xf numFmtId="0" fontId="31" fillId="0" borderId="0" xfId="0" applyNumberFormat="1" applyFont="1" applyFill="1" applyAlignment="1" applyProtection="1">
      <alignment/>
      <protection/>
    </xf>
    <xf numFmtId="0" fontId="31" fillId="0" borderId="0" xfId="0" applyFont="1" applyFill="1" applyAlignment="1">
      <alignment vertical="center"/>
    </xf>
    <xf numFmtId="0" fontId="30" fillId="0" borderId="0" xfId="0" applyNumberFormat="1" applyFont="1" applyFill="1" applyAlignment="1" applyProtection="1">
      <alignment vertical="center"/>
      <protection/>
    </xf>
    <xf numFmtId="49" fontId="30" fillId="0" borderId="18" xfId="0" applyNumberFormat="1" applyFont="1" applyFill="1" applyBorder="1" applyAlignment="1">
      <alignment horizontal="center" vertical="center"/>
    </xf>
    <xf numFmtId="0" fontId="30" fillId="0" borderId="18" xfId="0" applyFont="1" applyFill="1" applyBorder="1" applyAlignment="1">
      <alignment horizontal="left" vertical="center" wrapText="1"/>
    </xf>
    <xf numFmtId="0" fontId="30" fillId="0" borderId="0" xfId="0" applyFont="1" applyFill="1" applyAlignment="1">
      <alignment vertical="center"/>
    </xf>
    <xf numFmtId="0" fontId="31" fillId="0" borderId="0" xfId="0" applyNumberFormat="1" applyFont="1" applyFill="1" applyAlignment="1" applyProtection="1">
      <alignment/>
      <protection/>
    </xf>
    <xf numFmtId="49" fontId="28" fillId="0" borderId="24" xfId="0" applyNumberFormat="1" applyFont="1" applyFill="1" applyBorder="1" applyAlignment="1">
      <alignment horizontal="center" vertical="center"/>
    </xf>
    <xf numFmtId="4" fontId="28" fillId="0" borderId="25" xfId="95" applyNumberFormat="1" applyFont="1" applyFill="1" applyBorder="1" applyAlignment="1">
      <alignment vertical="center"/>
      <protection/>
    </xf>
    <xf numFmtId="0" fontId="28" fillId="0" borderId="22" xfId="0" applyFont="1" applyFill="1" applyBorder="1" applyAlignment="1">
      <alignment horizontal="left" vertical="center" wrapText="1"/>
    </xf>
    <xf numFmtId="0" fontId="29" fillId="0" borderId="21" xfId="0" applyFont="1" applyFill="1" applyBorder="1" applyAlignment="1">
      <alignment horizontal="left" vertical="center" wrapText="1"/>
    </xf>
    <xf numFmtId="0" fontId="34" fillId="0" borderId="18" xfId="0" applyFont="1" applyBorder="1" applyAlignment="1">
      <alignment horizontal="justify" wrapText="1"/>
    </xf>
    <xf numFmtId="0" fontId="26" fillId="0" borderId="0" xfId="0" applyFont="1" applyFill="1" applyBorder="1" applyAlignment="1">
      <alignment horizontal="center" vertical="center"/>
    </xf>
    <xf numFmtId="3" fontId="26" fillId="0" borderId="0" xfId="0" applyNumberFormat="1" applyFont="1" applyFill="1" applyBorder="1" applyAlignment="1">
      <alignment horizontal="left" vertical="center" wrapText="1"/>
    </xf>
    <xf numFmtId="0" fontId="28" fillId="0" borderId="22" xfId="0" applyNumberFormat="1" applyFont="1" applyFill="1" applyBorder="1" applyAlignment="1" applyProtection="1">
      <alignment horizontal="center" vertical="center" wrapText="1"/>
      <protection/>
    </xf>
    <xf numFmtId="0" fontId="28" fillId="0" borderId="23" xfId="0" applyNumberFormat="1" applyFont="1" applyFill="1" applyBorder="1" applyAlignment="1" applyProtection="1">
      <alignment horizontal="center" vertical="center" wrapText="1"/>
      <protection/>
    </xf>
    <xf numFmtId="0" fontId="28" fillId="0" borderId="21" xfId="0" applyNumberFormat="1" applyFont="1" applyFill="1" applyBorder="1" applyAlignment="1" applyProtection="1">
      <alignment horizontal="center" vertical="center" wrapText="1"/>
      <protection/>
    </xf>
    <xf numFmtId="0" fontId="30" fillId="0" borderId="22" xfId="0" applyNumberFormat="1" applyFont="1" applyFill="1" applyBorder="1" applyAlignment="1" applyProtection="1">
      <alignment horizontal="center" vertical="center" wrapText="1"/>
      <protection/>
    </xf>
    <xf numFmtId="0" fontId="30" fillId="0" borderId="23" xfId="0" applyNumberFormat="1" applyFont="1" applyFill="1" applyBorder="1" applyAlignment="1" applyProtection="1">
      <alignment horizontal="center" vertical="center" wrapText="1"/>
      <protection/>
    </xf>
    <xf numFmtId="0" fontId="30" fillId="0" borderId="21" xfId="0" applyNumberFormat="1" applyFont="1" applyFill="1" applyBorder="1" applyAlignment="1" applyProtection="1">
      <alignment horizontal="center" vertical="center" wrapText="1"/>
      <protection/>
    </xf>
    <xf numFmtId="0" fontId="28" fillId="0" borderId="24" xfId="0" applyNumberFormat="1" applyFont="1" applyFill="1" applyBorder="1" applyAlignment="1" applyProtection="1">
      <alignment horizontal="center" vertical="center" wrapText="1"/>
      <protection/>
    </xf>
    <xf numFmtId="0" fontId="28" fillId="0" borderId="25" xfId="0" applyNumberFormat="1" applyFont="1" applyFill="1" applyBorder="1" applyAlignment="1" applyProtection="1">
      <alignment horizontal="center" vertical="center" wrapText="1"/>
      <protection/>
    </xf>
    <xf numFmtId="3" fontId="32" fillId="0" borderId="0" xfId="0" applyNumberFormat="1" applyFont="1" applyFill="1" applyBorder="1" applyAlignment="1">
      <alignment horizontal="left" vertical="center" wrapText="1"/>
    </xf>
    <xf numFmtId="49" fontId="35" fillId="0" borderId="19" xfId="0" applyNumberFormat="1" applyFont="1" applyFill="1" applyBorder="1" applyAlignment="1">
      <alignment horizontal="center" vertical="center" textRotation="180"/>
    </xf>
    <xf numFmtId="49" fontId="26" fillId="0" borderId="0" xfId="0" applyNumberFormat="1" applyFont="1" applyFill="1" applyBorder="1" applyAlignment="1">
      <alignment horizontal="left" vertical="center" wrapText="1"/>
    </xf>
    <xf numFmtId="0" fontId="28" fillId="0" borderId="26" xfId="0" applyNumberFormat="1" applyFont="1" applyFill="1" applyBorder="1" applyAlignment="1" applyProtection="1">
      <alignment horizontal="center" vertical="center" wrapText="1"/>
      <protection/>
    </xf>
    <xf numFmtId="49" fontId="32" fillId="0" borderId="0" xfId="0" applyNumberFormat="1" applyFont="1" applyFill="1" applyBorder="1" applyAlignment="1">
      <alignment horizontal="left" vertical="center" wrapText="1"/>
    </xf>
    <xf numFmtId="49" fontId="35" fillId="0" borderId="0" xfId="0" applyNumberFormat="1" applyFont="1" applyFill="1" applyBorder="1" applyAlignment="1">
      <alignment horizontal="center" vertical="center" textRotation="180"/>
    </xf>
    <xf numFmtId="0" fontId="32" fillId="0" borderId="0" xfId="0" applyFont="1" applyFill="1" applyAlignment="1">
      <alignment vertical="center"/>
    </xf>
    <xf numFmtId="0" fontId="32" fillId="0" borderId="0" xfId="0" applyFont="1" applyFill="1" applyAlignment="1">
      <alignment horizontal="left" vertical="center" wrapText="1"/>
    </xf>
    <xf numFmtId="49" fontId="35" fillId="0" borderId="0" xfId="0" applyNumberFormat="1" applyFont="1" applyFill="1" applyAlignment="1">
      <alignment horizontal="center" vertical="center" textRotation="180"/>
    </xf>
    <xf numFmtId="0" fontId="27" fillId="0" borderId="0" xfId="0" applyNumberFormat="1" applyFont="1" applyFill="1" applyBorder="1" applyAlignment="1" applyProtection="1">
      <alignment horizontal="center" vertical="top" wrapText="1"/>
      <protection/>
    </xf>
    <xf numFmtId="0" fontId="26" fillId="0" borderId="0" xfId="0" applyFont="1" applyFill="1" applyAlignment="1">
      <alignment horizontal="center" vertical="center" wrapText="1"/>
    </xf>
    <xf numFmtId="0" fontId="26" fillId="0" borderId="0" xfId="0" applyFont="1" applyFill="1" applyAlignment="1">
      <alignment horizontal="center" vertical="center"/>
    </xf>
    <xf numFmtId="49" fontId="35" fillId="0" borderId="19" xfId="0" applyNumberFormat="1" applyFont="1" applyFill="1" applyBorder="1" applyAlignment="1">
      <alignment vertical="center" textRotation="180"/>
    </xf>
  </cellXfs>
  <cellStyles count="109">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204"/>
  <sheetViews>
    <sheetView showGridLines="0" showZeros="0" tabSelected="1" view="pageBreakPreview" zoomScale="70" zoomScaleNormal="25" zoomScaleSheetLayoutView="70" zoomScalePageLayoutView="0" workbookViewId="0" topLeftCell="B1">
      <selection activeCell="L3" sqref="L3:P3"/>
    </sheetView>
  </sheetViews>
  <sheetFormatPr defaultColWidth="9.16015625" defaultRowHeight="12.75"/>
  <cols>
    <col min="1" max="1" width="3.83203125" style="1" hidden="1" customWidth="1"/>
    <col min="2" max="3" width="11.66015625" style="1" customWidth="1"/>
    <col min="4" max="4" width="46" style="1" customWidth="1"/>
    <col min="5" max="5" width="21" style="1" customWidth="1"/>
    <col min="6" max="6" width="19.5" style="1" customWidth="1"/>
    <col min="7" max="7" width="20" style="1" customWidth="1"/>
    <col min="8" max="8" width="16.83203125" style="1" customWidth="1"/>
    <col min="9" max="9" width="17" style="1" customWidth="1"/>
    <col min="10" max="11" width="18" style="1" customWidth="1"/>
    <col min="12" max="12" width="16.66015625" style="1" customWidth="1"/>
    <col min="13" max="13" width="16.5" style="1" customWidth="1"/>
    <col min="14" max="14" width="17.66015625" style="1" customWidth="1"/>
    <col min="15" max="15" width="19.16015625" style="1" customWidth="1"/>
    <col min="16" max="16" width="19.66015625" style="1" customWidth="1"/>
    <col min="17" max="17" width="7.16015625" style="93" customWidth="1"/>
    <col min="18" max="18" width="14.16015625" style="46" bestFit="1" customWidth="1"/>
    <col min="19" max="19" width="29.66015625" style="46" bestFit="1" customWidth="1"/>
    <col min="20" max="16384" width="9.16015625" style="46" customWidth="1"/>
  </cols>
  <sheetData>
    <row r="1" spans="12:17" ht="26.25">
      <c r="L1" s="125" t="s">
        <v>348</v>
      </c>
      <c r="M1" s="125"/>
      <c r="N1" s="125"/>
      <c r="O1" s="125"/>
      <c r="P1" s="91"/>
      <c r="Q1" s="127" t="s">
        <v>351</v>
      </c>
    </row>
    <row r="2" spans="12:17" ht="34.5" customHeight="1">
      <c r="L2" s="91" t="s">
        <v>349</v>
      </c>
      <c r="M2" s="91"/>
      <c r="N2" s="91"/>
      <c r="O2" s="91"/>
      <c r="P2" s="91"/>
      <c r="Q2" s="127"/>
    </row>
    <row r="3" spans="12:17" ht="19.5" customHeight="1">
      <c r="L3" s="126" t="s">
        <v>374</v>
      </c>
      <c r="M3" s="126"/>
      <c r="N3" s="126"/>
      <c r="O3" s="126"/>
      <c r="P3" s="126"/>
      <c r="Q3" s="127"/>
    </row>
    <row r="4" spans="12:17" ht="19.5" customHeight="1">
      <c r="L4" s="91"/>
      <c r="M4" s="91"/>
      <c r="N4" s="97"/>
      <c r="O4" s="97"/>
      <c r="P4" s="97"/>
      <c r="Q4" s="127"/>
    </row>
    <row r="5" spans="12:17" ht="19.5" customHeight="1">
      <c r="L5" s="96"/>
      <c r="M5" s="96"/>
      <c r="N5" s="98"/>
      <c r="O5" s="97"/>
      <c r="P5" s="97"/>
      <c r="Q5" s="127"/>
    </row>
    <row r="6" spans="12:17" ht="25.5" customHeight="1">
      <c r="L6" s="38"/>
      <c r="M6" s="38"/>
      <c r="N6" s="38"/>
      <c r="O6" s="38"/>
      <c r="P6" s="38"/>
      <c r="Q6" s="127"/>
    </row>
    <row r="7" spans="2:17" ht="45" customHeight="1">
      <c r="B7" s="128" t="s">
        <v>246</v>
      </c>
      <c r="C7" s="128"/>
      <c r="D7" s="128"/>
      <c r="E7" s="128"/>
      <c r="F7" s="128"/>
      <c r="G7" s="128"/>
      <c r="H7" s="128"/>
      <c r="I7" s="128"/>
      <c r="J7" s="128"/>
      <c r="K7" s="128"/>
      <c r="L7" s="128"/>
      <c r="M7" s="128"/>
      <c r="N7" s="128"/>
      <c r="O7" s="128"/>
      <c r="P7" s="128"/>
      <c r="Q7" s="127"/>
    </row>
    <row r="8" spans="2:17" ht="18.75">
      <c r="B8" s="47"/>
      <c r="C8" s="47"/>
      <c r="D8" s="47"/>
      <c r="E8" s="47"/>
      <c r="F8" s="47"/>
      <c r="G8" s="5"/>
      <c r="H8" s="47"/>
      <c r="I8" s="47"/>
      <c r="J8" s="3"/>
      <c r="K8" s="48"/>
      <c r="L8" s="48"/>
      <c r="M8" s="48"/>
      <c r="N8" s="48"/>
      <c r="O8" s="48"/>
      <c r="P8" s="35" t="s">
        <v>14</v>
      </c>
      <c r="Q8" s="127"/>
    </row>
    <row r="9" spans="1:17" s="14" customFormat="1" ht="21.75" customHeight="1">
      <c r="A9" s="12"/>
      <c r="B9" s="111" t="s">
        <v>13</v>
      </c>
      <c r="C9" s="111" t="s">
        <v>10</v>
      </c>
      <c r="D9" s="111" t="s">
        <v>185</v>
      </c>
      <c r="E9" s="117" t="s">
        <v>0</v>
      </c>
      <c r="F9" s="122"/>
      <c r="G9" s="122"/>
      <c r="H9" s="122"/>
      <c r="I9" s="118"/>
      <c r="J9" s="117" t="s">
        <v>1</v>
      </c>
      <c r="K9" s="122"/>
      <c r="L9" s="122"/>
      <c r="M9" s="122"/>
      <c r="N9" s="122"/>
      <c r="O9" s="118"/>
      <c r="P9" s="111" t="s">
        <v>2</v>
      </c>
      <c r="Q9" s="127"/>
    </row>
    <row r="10" spans="1:17" s="14" customFormat="1" ht="16.5" customHeight="1">
      <c r="A10" s="15"/>
      <c r="B10" s="112"/>
      <c r="C10" s="112"/>
      <c r="D10" s="112"/>
      <c r="E10" s="111" t="s">
        <v>3</v>
      </c>
      <c r="F10" s="114" t="s">
        <v>4</v>
      </c>
      <c r="G10" s="117" t="s">
        <v>5</v>
      </c>
      <c r="H10" s="118"/>
      <c r="I10" s="114" t="s">
        <v>6</v>
      </c>
      <c r="J10" s="111" t="s">
        <v>3</v>
      </c>
      <c r="K10" s="114" t="s">
        <v>4</v>
      </c>
      <c r="L10" s="117" t="s">
        <v>5</v>
      </c>
      <c r="M10" s="118"/>
      <c r="N10" s="114" t="s">
        <v>6</v>
      </c>
      <c r="O10" s="13" t="s">
        <v>5</v>
      </c>
      <c r="P10" s="112"/>
      <c r="Q10" s="127"/>
    </row>
    <row r="11" spans="1:17" s="14" customFormat="1" ht="20.25" customHeight="1">
      <c r="A11" s="16"/>
      <c r="B11" s="112"/>
      <c r="C11" s="112"/>
      <c r="D11" s="112"/>
      <c r="E11" s="112"/>
      <c r="F11" s="115"/>
      <c r="G11" s="111" t="s">
        <v>7</v>
      </c>
      <c r="H11" s="111" t="s">
        <v>8</v>
      </c>
      <c r="I11" s="115"/>
      <c r="J11" s="112"/>
      <c r="K11" s="115"/>
      <c r="L11" s="111" t="s">
        <v>7</v>
      </c>
      <c r="M11" s="111" t="s">
        <v>8</v>
      </c>
      <c r="N11" s="115"/>
      <c r="O11" s="111" t="s">
        <v>12</v>
      </c>
      <c r="P11" s="112"/>
      <c r="Q11" s="127"/>
    </row>
    <row r="12" spans="1:17" s="14" customFormat="1" ht="110.25" customHeight="1">
      <c r="A12" s="17"/>
      <c r="B12" s="113"/>
      <c r="C12" s="113"/>
      <c r="D12" s="113"/>
      <c r="E12" s="113"/>
      <c r="F12" s="116"/>
      <c r="G12" s="113"/>
      <c r="H12" s="113"/>
      <c r="I12" s="116"/>
      <c r="J12" s="113"/>
      <c r="K12" s="116"/>
      <c r="L12" s="113"/>
      <c r="M12" s="113"/>
      <c r="N12" s="116"/>
      <c r="O12" s="113"/>
      <c r="P12" s="113"/>
      <c r="Q12" s="127"/>
    </row>
    <row r="13" spans="1:17" s="20" customFormat="1" ht="15">
      <c r="A13" s="18"/>
      <c r="B13" s="41" t="s">
        <v>213</v>
      </c>
      <c r="C13" s="26"/>
      <c r="D13" s="26" t="s">
        <v>214</v>
      </c>
      <c r="E13" s="31">
        <f>E14</f>
        <v>71625612.60000001</v>
      </c>
      <c r="F13" s="31">
        <f aca="true" t="shared" si="0" ref="F13:P13">F14</f>
        <v>71625612.60000001</v>
      </c>
      <c r="G13" s="31">
        <f t="shared" si="0"/>
        <v>48100336.78</v>
      </c>
      <c r="H13" s="31">
        <f t="shared" si="0"/>
        <v>2782973.83</v>
      </c>
      <c r="I13" s="31">
        <f t="shared" si="0"/>
        <v>0</v>
      </c>
      <c r="J13" s="31">
        <f t="shared" si="0"/>
        <v>9761019</v>
      </c>
      <c r="K13" s="31">
        <f t="shared" si="0"/>
        <v>2280164</v>
      </c>
      <c r="L13" s="31">
        <f t="shared" si="0"/>
        <v>1480170</v>
      </c>
      <c r="M13" s="31">
        <f t="shared" si="0"/>
        <v>56796</v>
      </c>
      <c r="N13" s="31">
        <f t="shared" si="0"/>
        <v>7480855</v>
      </c>
      <c r="O13" s="31">
        <f t="shared" si="0"/>
        <v>7380355</v>
      </c>
      <c r="P13" s="31">
        <f t="shared" si="0"/>
        <v>81386631.60000001</v>
      </c>
      <c r="Q13" s="127"/>
    </row>
    <row r="14" spans="1:17" s="20" customFormat="1" ht="15">
      <c r="A14" s="18"/>
      <c r="B14" s="21" t="s">
        <v>11</v>
      </c>
      <c r="C14" s="21" t="s">
        <v>9</v>
      </c>
      <c r="D14" s="22" t="s">
        <v>16</v>
      </c>
      <c r="E14" s="30">
        <f>F14+I14</f>
        <v>71625612.60000001</v>
      </c>
      <c r="F14" s="30">
        <f>'дод. 4'!F14+'дод. 4'!F47+'дод. 4'!F70++'дод. 4'!F90+'дод. 4'!F153+'дод. 4'!F156+'дод. 4'!F163+'дод. 4'!F186+'дод. 4'!F197+'дод. 4'!F215+'дод. 4'!F226+'дод. 4'!F230+'дод. 4'!F194+'дод. 4'!F220+'дод. 4'!F190</f>
        <v>71625612.60000001</v>
      </c>
      <c r="G14" s="30">
        <f>'дод. 4'!G14+'дод. 4'!G47+'дод. 4'!G70++'дод. 4'!G90+'дод. 4'!G153+'дод. 4'!G156+'дод. 4'!G163+'дод. 4'!G186+'дод. 4'!G197+'дод. 4'!G215+'дод. 4'!G226+'дод. 4'!G230+'дод. 4'!G194+'дод. 4'!G220+'дод. 4'!G190</f>
        <v>48100336.78</v>
      </c>
      <c r="H14" s="30">
        <f>'дод. 4'!H14+'дод. 4'!H47+'дод. 4'!H70++'дод. 4'!H90+'дод. 4'!H153+'дод. 4'!H156+'дод. 4'!H163+'дод. 4'!H186+'дод. 4'!H197+'дод. 4'!H215+'дод. 4'!H226+'дод. 4'!H230+'дод. 4'!H194+'дод. 4'!H220+'дод. 4'!H190</f>
        <v>2782973.83</v>
      </c>
      <c r="I14" s="30">
        <f>'дод. 4'!I14+'дод. 4'!I47+'дод. 4'!I70++'дод. 4'!I90+'дод. 4'!I153+'дод. 4'!I156+'дод. 4'!I163+'дод. 4'!I186+'дод. 4'!I197+'дод. 4'!I215+'дод. 4'!I226+'дод. 4'!I230+'дод. 4'!I194+'дод. 4'!I220+'дод. 4'!I190</f>
        <v>0</v>
      </c>
      <c r="J14" s="30">
        <f>K14+N14</f>
        <v>9761019</v>
      </c>
      <c r="K14" s="30">
        <f>'дод. 4'!K14+'дод. 4'!K47+'дод. 4'!K70++'дод. 4'!K90+'дод. 4'!K153+'дод. 4'!K156+'дод. 4'!K163+'дод. 4'!K186+'дод. 4'!K197+'дод. 4'!K215+'дод. 4'!K226+'дод. 4'!K230+'дод. 4'!K194+'дод. 4'!K220+'дод. 4'!K190</f>
        <v>2280164</v>
      </c>
      <c r="L14" s="30">
        <f>'дод. 4'!L14+'дод. 4'!L47+'дод. 4'!L70++'дод. 4'!L90+'дод. 4'!L153+'дод. 4'!L156+'дод. 4'!L163+'дод. 4'!L186+'дод. 4'!L197+'дод. 4'!L215+'дод. 4'!L226+'дод. 4'!L230+'дод. 4'!L194+'дод. 4'!L220+'дод. 4'!L190</f>
        <v>1480170</v>
      </c>
      <c r="M14" s="30">
        <f>'дод. 4'!M14+'дод. 4'!M47+'дод. 4'!M70++'дод. 4'!M90+'дод. 4'!M153+'дод. 4'!M156+'дод. 4'!M163+'дод. 4'!M186+'дод. 4'!M197+'дод. 4'!M215+'дод. 4'!M226+'дод. 4'!M230+'дод. 4'!M194+'дод. 4'!M220+'дод. 4'!M190</f>
        <v>56796</v>
      </c>
      <c r="N14" s="30">
        <f>'дод. 4'!N14+'дод. 4'!N47+'дод. 4'!N70++'дод. 4'!N90+'дод. 4'!N153+'дод. 4'!N156+'дод. 4'!N163+'дод. 4'!N186+'дод. 4'!N197+'дод. 4'!N215+'дод. 4'!N226+'дод. 4'!N230+'дод. 4'!N194+'дод. 4'!N220+'дод. 4'!N190</f>
        <v>7480855</v>
      </c>
      <c r="O14" s="30">
        <f>'дод. 4'!O14+'дод. 4'!O47+'дод. 4'!O70++'дод. 4'!O90+'дод. 4'!O153+'дод. 4'!O156+'дод. 4'!O163+'дод. 4'!O186+'дод. 4'!O197+'дод. 4'!O215+'дод. 4'!O226+'дод. 4'!O230+'дод. 4'!O194+'дод. 4'!O220+'дод. 4'!O190</f>
        <v>7380355</v>
      </c>
      <c r="P14" s="30">
        <f>E14+J14</f>
        <v>81386631.60000001</v>
      </c>
      <c r="Q14" s="127"/>
    </row>
    <row r="15" spans="1:17" s="55" customFormat="1" ht="15" customHeight="1">
      <c r="A15" s="53"/>
      <c r="B15" s="50" t="s">
        <v>215</v>
      </c>
      <c r="C15" s="51"/>
      <c r="D15" s="51" t="s">
        <v>216</v>
      </c>
      <c r="E15" s="54">
        <f>E17+E19+E21+E23+E25+E27+E28+E29+E30+E31+E32+E33+E34</f>
        <v>429503167.06000006</v>
      </c>
      <c r="F15" s="54">
        <f aca="true" t="shared" si="1" ref="F15:P15">F17+F19+F21+F23+F25+F27+F28+F29+F30+F31+F32+F33+F34</f>
        <v>429503167.06000006</v>
      </c>
      <c r="G15" s="54">
        <f t="shared" si="1"/>
        <v>248368991</v>
      </c>
      <c r="H15" s="54">
        <f t="shared" si="1"/>
        <v>60176304</v>
      </c>
      <c r="I15" s="54">
        <f t="shared" si="1"/>
        <v>0</v>
      </c>
      <c r="J15" s="54">
        <f t="shared" si="1"/>
        <v>63897964.45</v>
      </c>
      <c r="K15" s="54">
        <f t="shared" si="1"/>
        <v>36241117</v>
      </c>
      <c r="L15" s="54">
        <f t="shared" si="1"/>
        <v>2470383</v>
      </c>
      <c r="M15" s="54">
        <f t="shared" si="1"/>
        <v>1518188</v>
      </c>
      <c r="N15" s="54">
        <f t="shared" si="1"/>
        <v>27656847.45</v>
      </c>
      <c r="O15" s="54">
        <f t="shared" si="1"/>
        <v>27351847.45</v>
      </c>
      <c r="P15" s="54">
        <f t="shared" si="1"/>
        <v>493401131.51000005</v>
      </c>
      <c r="Q15" s="127"/>
    </row>
    <row r="16" spans="1:25" s="55" customFormat="1" ht="15">
      <c r="A16" s="53"/>
      <c r="B16" s="50"/>
      <c r="C16" s="51"/>
      <c r="D16" s="34" t="s">
        <v>210</v>
      </c>
      <c r="E16" s="30">
        <f>F16+I16</f>
        <v>195519275.09</v>
      </c>
      <c r="F16" s="42">
        <f>F20+F22+F24+F26+F18</f>
        <v>195519275.09</v>
      </c>
      <c r="G16" s="42">
        <f>G20+G22+G24+G26+G18</f>
        <v>133211668</v>
      </c>
      <c r="H16" s="42">
        <f>H20+H22+H24+H26+H18</f>
        <v>28492381</v>
      </c>
      <c r="I16" s="42">
        <f>I20+I22+I24+I26+I18</f>
        <v>0</v>
      </c>
      <c r="J16" s="30">
        <f>K16+N16</f>
        <v>5689010</v>
      </c>
      <c r="K16" s="42">
        <f>K20+K22+K24+K26+K18</f>
        <v>0</v>
      </c>
      <c r="L16" s="42">
        <f>L20+L22+L24+L26+L18</f>
        <v>0</v>
      </c>
      <c r="M16" s="42">
        <f>M20+M22+M24+M26+M18</f>
        <v>0</v>
      </c>
      <c r="N16" s="42">
        <f>N20+N22+N24+N26+N18</f>
        <v>5689010</v>
      </c>
      <c r="O16" s="42">
        <f>O20+O22+O24+O26+O18</f>
        <v>5689010</v>
      </c>
      <c r="P16" s="30">
        <f>E16+J16</f>
        <v>201208285.09</v>
      </c>
      <c r="Q16" s="127"/>
      <c r="Y16" s="55" t="s">
        <v>321</v>
      </c>
    </row>
    <row r="17" spans="1:17" s="20" customFormat="1" ht="15">
      <c r="A17" s="18"/>
      <c r="B17" s="21" t="s">
        <v>59</v>
      </c>
      <c r="C17" s="21" t="s">
        <v>151</v>
      </c>
      <c r="D17" s="22" t="s">
        <v>60</v>
      </c>
      <c r="E17" s="30">
        <f>F17+I17</f>
        <v>113939569</v>
      </c>
      <c r="F17" s="30">
        <f>'дод. 4'!F48</f>
        <v>113939569</v>
      </c>
      <c r="G17" s="30">
        <f>'дод. 4'!G48</f>
        <v>64116157</v>
      </c>
      <c r="H17" s="30">
        <f>'дод. 4'!H48</f>
        <v>19789563</v>
      </c>
      <c r="I17" s="30">
        <f>'дод. 4'!I48</f>
        <v>0</v>
      </c>
      <c r="J17" s="30">
        <f>K17+N17</f>
        <v>18408275</v>
      </c>
      <c r="K17" s="30">
        <f>'дод. 4'!K48</f>
        <v>11284686</v>
      </c>
      <c r="L17" s="30">
        <f>'дод. 4'!L48</f>
        <v>0</v>
      </c>
      <c r="M17" s="30">
        <f>'дод. 4'!M48</f>
        <v>0</v>
      </c>
      <c r="N17" s="30">
        <f>'дод. 4'!N48</f>
        <v>7123589</v>
      </c>
      <c r="O17" s="30">
        <f>'дод. 4'!O48</f>
        <v>7123589</v>
      </c>
      <c r="P17" s="30">
        <f>E17+J17</f>
        <v>132347844</v>
      </c>
      <c r="Q17" s="127"/>
    </row>
    <row r="18" spans="1:17" s="20" customFormat="1" ht="15">
      <c r="A18" s="18"/>
      <c r="B18" s="21"/>
      <c r="C18" s="21"/>
      <c r="D18" s="34" t="s">
        <v>210</v>
      </c>
      <c r="E18" s="30">
        <f>'дод. 4'!E49</f>
        <v>0</v>
      </c>
      <c r="F18" s="30">
        <f>'дод. 4'!F49</f>
        <v>0</v>
      </c>
      <c r="G18" s="30">
        <f>'дод. 4'!G49</f>
        <v>0</v>
      </c>
      <c r="H18" s="30">
        <f>'дод. 4'!H49</f>
        <v>0</v>
      </c>
      <c r="I18" s="30">
        <f>'дод. 4'!I49</f>
        <v>0</v>
      </c>
      <c r="J18" s="30">
        <f>'дод. 4'!J49</f>
        <v>1867300</v>
      </c>
      <c r="K18" s="30">
        <f>'дод. 4'!K49</f>
        <v>0</v>
      </c>
      <c r="L18" s="30">
        <f>'дод. 4'!L49</f>
        <v>0</v>
      </c>
      <c r="M18" s="30">
        <f>'дод. 4'!M49</f>
        <v>0</v>
      </c>
      <c r="N18" s="30">
        <f>'дод. 4'!N49</f>
        <v>1867300</v>
      </c>
      <c r="O18" s="30">
        <f>'дод. 4'!O49</f>
        <v>1867300</v>
      </c>
      <c r="P18" s="30">
        <f>'дод. 4'!P49</f>
        <v>1867300</v>
      </c>
      <c r="Q18" s="127"/>
    </row>
    <row r="19" spans="1:17" s="20" customFormat="1" ht="60">
      <c r="A19" s="18"/>
      <c r="B19" s="21" t="s">
        <v>61</v>
      </c>
      <c r="C19" s="21" t="s">
        <v>152</v>
      </c>
      <c r="D19" s="22" t="s">
        <v>62</v>
      </c>
      <c r="E19" s="30">
        <f aca="true" t="shared" si="2" ref="E19:E34">F19+I19</f>
        <v>235051352.31000003</v>
      </c>
      <c r="F19" s="30">
        <f>'дод. 4'!F50</f>
        <v>235051352.31000003</v>
      </c>
      <c r="G19" s="30">
        <f>'дод. 4'!G50</f>
        <v>141866177</v>
      </c>
      <c r="H19" s="30">
        <f>'дод. 4'!H50</f>
        <v>31014749</v>
      </c>
      <c r="I19" s="30">
        <f>'дод. 4'!I50</f>
        <v>0</v>
      </c>
      <c r="J19" s="30">
        <f aca="true" t="shared" si="3" ref="J19:J34">K19+N19</f>
        <v>37742928.45</v>
      </c>
      <c r="K19" s="30">
        <f>'дод. 4'!K50</f>
        <v>18497171</v>
      </c>
      <c r="L19" s="30">
        <f>'дод. 4'!L50</f>
        <v>740455</v>
      </c>
      <c r="M19" s="30">
        <f>'дод. 4'!M50</f>
        <v>47940</v>
      </c>
      <c r="N19" s="30">
        <f>'дод. 4'!N50</f>
        <v>19245757.45</v>
      </c>
      <c r="O19" s="30">
        <f>'дод. 4'!O50</f>
        <v>19245757.45</v>
      </c>
      <c r="P19" s="30">
        <f aca="true" t="shared" si="4" ref="P19:P34">E19+J19</f>
        <v>272794280.76000005</v>
      </c>
      <c r="Q19" s="127"/>
    </row>
    <row r="20" spans="1:17" s="20" customFormat="1" ht="15">
      <c r="A20" s="18"/>
      <c r="B20" s="21"/>
      <c r="C20" s="21"/>
      <c r="D20" s="34" t="s">
        <v>210</v>
      </c>
      <c r="E20" s="30">
        <f>F20+I20</f>
        <v>189221945.34</v>
      </c>
      <c r="F20" s="30">
        <f>'дод. 4'!F51</f>
        <v>189221945.34</v>
      </c>
      <c r="G20" s="30">
        <f>'дод. 4'!G51</f>
        <v>130077425</v>
      </c>
      <c r="H20" s="30">
        <f>'дод. 4'!H51</f>
        <v>28025289</v>
      </c>
      <c r="I20" s="30">
        <f>'дод. 4'!I51</f>
        <v>0</v>
      </c>
      <c r="J20" s="30">
        <f t="shared" si="3"/>
        <v>3821710</v>
      </c>
      <c r="K20" s="30">
        <f>'дод. 4'!K51</f>
        <v>0</v>
      </c>
      <c r="L20" s="30">
        <f>'дод. 4'!L51</f>
        <v>0</v>
      </c>
      <c r="M20" s="30">
        <f>'дод. 4'!M51</f>
        <v>0</v>
      </c>
      <c r="N20" s="30">
        <f>'дод. 4'!N51</f>
        <v>3821710</v>
      </c>
      <c r="O20" s="30">
        <f>'дод. 4'!O51</f>
        <v>3821710</v>
      </c>
      <c r="P20" s="30">
        <f t="shared" si="4"/>
        <v>193043655.34</v>
      </c>
      <c r="Q20" s="127"/>
    </row>
    <row r="21" spans="1:17" s="20" customFormat="1" ht="15">
      <c r="A21" s="18"/>
      <c r="B21" s="21" t="s">
        <v>63</v>
      </c>
      <c r="C21" s="21" t="s">
        <v>152</v>
      </c>
      <c r="D21" s="22" t="s">
        <v>64</v>
      </c>
      <c r="E21" s="30">
        <f t="shared" si="2"/>
        <v>379549</v>
      </c>
      <c r="F21" s="30">
        <f>'дод. 4'!F52</f>
        <v>379549</v>
      </c>
      <c r="G21" s="30">
        <f>'дод. 4'!G52</f>
        <v>314188</v>
      </c>
      <c r="H21" s="30">
        <f>'дод. 4'!H52</f>
        <v>0</v>
      </c>
      <c r="I21" s="30">
        <f>'дод. 4'!I52</f>
        <v>0</v>
      </c>
      <c r="J21" s="30">
        <f t="shared" si="3"/>
        <v>0</v>
      </c>
      <c r="K21" s="30">
        <f>'дод. 4'!K52</f>
        <v>0</v>
      </c>
      <c r="L21" s="30">
        <f>'дод. 4'!L52</f>
        <v>0</v>
      </c>
      <c r="M21" s="30">
        <f>'дод. 4'!M52</f>
        <v>0</v>
      </c>
      <c r="N21" s="30">
        <f>'дод. 4'!N52</f>
        <v>0</v>
      </c>
      <c r="O21" s="30">
        <f>'дод. 4'!O52</f>
        <v>0</v>
      </c>
      <c r="P21" s="30">
        <f t="shared" si="4"/>
        <v>379549</v>
      </c>
      <c r="Q21" s="127"/>
    </row>
    <row r="22" spans="1:17" s="20" customFormat="1" ht="15">
      <c r="A22" s="18"/>
      <c r="B22" s="21"/>
      <c r="C22" s="21"/>
      <c r="D22" s="34" t="s">
        <v>210</v>
      </c>
      <c r="E22" s="30">
        <f t="shared" si="2"/>
        <v>377350</v>
      </c>
      <c r="F22" s="30">
        <f>'дод. 4'!F53</f>
        <v>377350</v>
      </c>
      <c r="G22" s="30">
        <f>'дод. 4'!G53</f>
        <v>312689</v>
      </c>
      <c r="H22" s="30">
        <f>'дод. 4'!H53</f>
        <v>0</v>
      </c>
      <c r="I22" s="30">
        <f>'дод. 4'!I53</f>
        <v>0</v>
      </c>
      <c r="J22" s="30">
        <f t="shared" si="3"/>
        <v>0</v>
      </c>
      <c r="K22" s="30">
        <f>'дод. 4'!K53</f>
        <v>0</v>
      </c>
      <c r="L22" s="30">
        <f>'дод. 4'!L53</f>
        <v>0</v>
      </c>
      <c r="M22" s="30">
        <f>'дод. 4'!M53</f>
        <v>0</v>
      </c>
      <c r="N22" s="30">
        <f>'дод. 4'!N53</f>
        <v>0</v>
      </c>
      <c r="O22" s="30">
        <f>'дод. 4'!O53</f>
        <v>0</v>
      </c>
      <c r="P22" s="30">
        <f t="shared" si="4"/>
        <v>377350</v>
      </c>
      <c r="Q22" s="127"/>
    </row>
    <row r="23" spans="1:17" s="20" customFormat="1" ht="30">
      <c r="A23" s="18"/>
      <c r="B23" s="21" t="s">
        <v>301</v>
      </c>
      <c r="C23" s="21" t="s">
        <v>151</v>
      </c>
      <c r="D23" s="22" t="s">
        <v>302</v>
      </c>
      <c r="E23" s="30">
        <f t="shared" si="2"/>
        <v>1632630</v>
      </c>
      <c r="F23" s="30">
        <f>'дод. 4'!F91</f>
        <v>1632630</v>
      </c>
      <c r="G23" s="30">
        <f>'дод. 4'!G91</f>
        <v>0</v>
      </c>
      <c r="H23" s="30">
        <f>'дод. 4'!H91</f>
        <v>0</v>
      </c>
      <c r="I23" s="30">
        <f>'дод. 4'!I54</f>
        <v>0</v>
      </c>
      <c r="J23" s="30">
        <f t="shared" si="3"/>
        <v>0</v>
      </c>
      <c r="K23" s="30">
        <f>'дод. 4'!K91</f>
        <v>0</v>
      </c>
      <c r="L23" s="30">
        <f>'дод. 4'!L91</f>
        <v>0</v>
      </c>
      <c r="M23" s="30">
        <f>'дод. 4'!M91</f>
        <v>0</v>
      </c>
      <c r="N23" s="30">
        <f>'дод. 4'!N91</f>
        <v>0</v>
      </c>
      <c r="O23" s="30">
        <f>'дод. 4'!O91</f>
        <v>0</v>
      </c>
      <c r="P23" s="30">
        <f t="shared" si="4"/>
        <v>1632630</v>
      </c>
      <c r="Q23" s="127"/>
    </row>
    <row r="24" spans="1:17" s="20" customFormat="1" ht="15">
      <c r="A24" s="18"/>
      <c r="B24" s="21"/>
      <c r="C24" s="21"/>
      <c r="D24" s="22" t="s">
        <v>262</v>
      </c>
      <c r="E24" s="30">
        <f t="shared" si="2"/>
        <v>1632630</v>
      </c>
      <c r="F24" s="30">
        <f>'дод. 4'!F92</f>
        <v>1632630</v>
      </c>
      <c r="G24" s="30">
        <f>'дод. 4'!G92</f>
        <v>0</v>
      </c>
      <c r="H24" s="30">
        <f>'дод. 4'!H92</f>
        <v>0</v>
      </c>
      <c r="I24" s="30">
        <f>'дод. 4'!I55</f>
        <v>0</v>
      </c>
      <c r="J24" s="30">
        <f t="shared" si="3"/>
        <v>0</v>
      </c>
      <c r="K24" s="30">
        <f>'дод. 4'!K92</f>
        <v>0</v>
      </c>
      <c r="L24" s="30">
        <f>'дод. 4'!L92</f>
        <v>0</v>
      </c>
      <c r="M24" s="30">
        <f>'дод. 4'!M92</f>
        <v>0</v>
      </c>
      <c r="N24" s="30">
        <f>'дод. 4'!N92</f>
        <v>0</v>
      </c>
      <c r="O24" s="30">
        <f>'дод. 4'!O92</f>
        <v>0</v>
      </c>
      <c r="P24" s="30">
        <f t="shared" si="4"/>
        <v>1632630</v>
      </c>
      <c r="Q24" s="127"/>
    </row>
    <row r="25" spans="1:17" s="20" customFormat="1" ht="60">
      <c r="A25" s="18"/>
      <c r="B25" s="21" t="s">
        <v>65</v>
      </c>
      <c r="C25" s="21" t="s">
        <v>153</v>
      </c>
      <c r="D25" s="22" t="s">
        <v>66</v>
      </c>
      <c r="E25" s="30">
        <f t="shared" si="2"/>
        <v>4571126.75</v>
      </c>
      <c r="F25" s="30">
        <f>'дод. 4'!F54</f>
        <v>4571126.75</v>
      </c>
      <c r="G25" s="30">
        <f>'дод. 4'!G54</f>
        <v>2843483</v>
      </c>
      <c r="H25" s="30">
        <f>'дод. 4'!H54</f>
        <v>517072</v>
      </c>
      <c r="I25" s="30">
        <f>'дод. 4'!I54</f>
        <v>0</v>
      </c>
      <c r="J25" s="30">
        <f t="shared" si="3"/>
        <v>129783</v>
      </c>
      <c r="K25" s="30">
        <f>'дод. 4'!K54</f>
        <v>0</v>
      </c>
      <c r="L25" s="30">
        <f>'дод. 4'!L54</f>
        <v>0</v>
      </c>
      <c r="M25" s="30">
        <f>'дод. 4'!M54</f>
        <v>0</v>
      </c>
      <c r="N25" s="30">
        <f>'дод. 4'!N54</f>
        <v>129783</v>
      </c>
      <c r="O25" s="30">
        <f>'дод. 4'!O54</f>
        <v>129783</v>
      </c>
      <c r="P25" s="30">
        <f t="shared" si="4"/>
        <v>4700909.75</v>
      </c>
      <c r="Q25" s="127"/>
    </row>
    <row r="26" spans="1:17" s="20" customFormat="1" ht="15">
      <c r="A26" s="18"/>
      <c r="B26" s="21"/>
      <c r="C26" s="21"/>
      <c r="D26" s="34" t="s">
        <v>210</v>
      </c>
      <c r="E26" s="30">
        <f t="shared" si="2"/>
        <v>4287349.75</v>
      </c>
      <c r="F26" s="30">
        <f>'дод. 4'!F55</f>
        <v>4287349.75</v>
      </c>
      <c r="G26" s="30">
        <f>'дод. 4'!G55</f>
        <v>2821554</v>
      </c>
      <c r="H26" s="30">
        <f>'дод. 4'!H55</f>
        <v>467092</v>
      </c>
      <c r="I26" s="30">
        <f>'дод. 4'!I55</f>
        <v>0</v>
      </c>
      <c r="J26" s="30">
        <f t="shared" si="3"/>
        <v>0</v>
      </c>
      <c r="K26" s="30">
        <f>'дод. 4'!K55</f>
        <v>0</v>
      </c>
      <c r="L26" s="30">
        <f>'дод. 4'!L55</f>
        <v>0</v>
      </c>
      <c r="M26" s="30">
        <f>'дод. 4'!M55</f>
        <v>0</v>
      </c>
      <c r="N26" s="30">
        <f>'дод. 4'!N55</f>
        <v>0</v>
      </c>
      <c r="O26" s="30">
        <f>'дод. 4'!O55</f>
        <v>0</v>
      </c>
      <c r="P26" s="30">
        <f t="shared" si="4"/>
        <v>4287349.75</v>
      </c>
      <c r="Q26" s="127"/>
    </row>
    <row r="27" spans="1:17" s="20" customFormat="1" ht="30">
      <c r="A27" s="18"/>
      <c r="B27" s="21" t="s">
        <v>67</v>
      </c>
      <c r="C27" s="21" t="s">
        <v>154</v>
      </c>
      <c r="D27" s="22" t="s">
        <v>68</v>
      </c>
      <c r="E27" s="30">
        <f t="shared" si="2"/>
        <v>12572837</v>
      </c>
      <c r="F27" s="30">
        <f>'дод. 4'!F56</f>
        <v>12572837</v>
      </c>
      <c r="G27" s="30">
        <f>'дод. 4'!G56</f>
        <v>8496052</v>
      </c>
      <c r="H27" s="30">
        <f>'дод. 4'!H56</f>
        <v>1785662</v>
      </c>
      <c r="I27" s="30">
        <f>'дод. 4'!I56</f>
        <v>0</v>
      </c>
      <c r="J27" s="30">
        <f t="shared" si="3"/>
        <v>450000</v>
      </c>
      <c r="K27" s="30">
        <f>'дод. 4'!K56</f>
        <v>0</v>
      </c>
      <c r="L27" s="30">
        <f>'дод. 4'!L56</f>
        <v>0</v>
      </c>
      <c r="M27" s="30">
        <f>'дод. 4'!M56</f>
        <v>0</v>
      </c>
      <c r="N27" s="30">
        <f>'дод. 4'!N56</f>
        <v>450000</v>
      </c>
      <c r="O27" s="30">
        <f>'дод. 4'!O56</f>
        <v>450000</v>
      </c>
      <c r="P27" s="30">
        <f t="shared" si="4"/>
        <v>13022837</v>
      </c>
      <c r="Q27" s="127"/>
    </row>
    <row r="28" spans="1:17" s="20" customFormat="1" ht="15">
      <c r="A28" s="18"/>
      <c r="B28" s="21" t="s">
        <v>311</v>
      </c>
      <c r="C28" s="21" t="s">
        <v>313</v>
      </c>
      <c r="D28" s="22" t="s">
        <v>312</v>
      </c>
      <c r="E28" s="30">
        <f t="shared" si="2"/>
        <v>55069266</v>
      </c>
      <c r="F28" s="30">
        <f>'дод. 4'!F57</f>
        <v>55069266</v>
      </c>
      <c r="G28" s="30">
        <f>'дод. 4'!G57</f>
        <v>26388545</v>
      </c>
      <c r="H28" s="30">
        <f>'дод. 4'!H57</f>
        <v>6572358</v>
      </c>
      <c r="I28" s="30">
        <f>'дод. 4'!I57</f>
        <v>0</v>
      </c>
      <c r="J28" s="30">
        <f t="shared" si="3"/>
        <v>6805998</v>
      </c>
      <c r="K28" s="30">
        <f>'дод. 4'!K57</f>
        <v>6459260</v>
      </c>
      <c r="L28" s="30">
        <f>'дод. 4'!L57</f>
        <v>1729928</v>
      </c>
      <c r="M28" s="30">
        <f>'дод. 4'!M57</f>
        <v>1470248</v>
      </c>
      <c r="N28" s="30">
        <f>'дод. 4'!N57</f>
        <v>346738</v>
      </c>
      <c r="O28" s="30">
        <f>'дод. 4'!O57</f>
        <v>41738</v>
      </c>
      <c r="P28" s="30">
        <f t="shared" si="4"/>
        <v>61875264</v>
      </c>
      <c r="Q28" s="127"/>
    </row>
    <row r="29" spans="1:17" s="20" customFormat="1" ht="30">
      <c r="A29" s="18"/>
      <c r="B29" s="21" t="s">
        <v>69</v>
      </c>
      <c r="C29" s="21" t="s">
        <v>155</v>
      </c>
      <c r="D29" s="22" t="s">
        <v>70</v>
      </c>
      <c r="E29" s="30">
        <f t="shared" si="2"/>
        <v>1773105</v>
      </c>
      <c r="F29" s="30">
        <f>'дод. 4'!F58</f>
        <v>1773105</v>
      </c>
      <c r="G29" s="30">
        <f>'дод. 4'!G58</f>
        <v>1350953</v>
      </c>
      <c r="H29" s="30">
        <f>'дод. 4'!H58</f>
        <v>79885</v>
      </c>
      <c r="I29" s="30">
        <f>'дод. 4'!I58</f>
        <v>0</v>
      </c>
      <c r="J29" s="30">
        <f t="shared" si="3"/>
        <v>118730</v>
      </c>
      <c r="K29" s="30">
        <f>'дод. 4'!K58</f>
        <v>0</v>
      </c>
      <c r="L29" s="30">
        <f>'дод. 4'!L58</f>
        <v>0</v>
      </c>
      <c r="M29" s="30">
        <f>'дод. 4'!M58</f>
        <v>0</v>
      </c>
      <c r="N29" s="30">
        <f>'дод. 4'!N58</f>
        <v>118730</v>
      </c>
      <c r="O29" s="30">
        <f>'дод. 4'!O58</f>
        <v>118730</v>
      </c>
      <c r="P29" s="30">
        <f t="shared" si="4"/>
        <v>1891835</v>
      </c>
      <c r="Q29" s="127"/>
    </row>
    <row r="30" spans="1:17" s="20" customFormat="1" ht="30">
      <c r="A30" s="18"/>
      <c r="B30" s="21" t="s">
        <v>71</v>
      </c>
      <c r="C30" s="21" t="s">
        <v>155</v>
      </c>
      <c r="D30" s="22" t="s">
        <v>72</v>
      </c>
      <c r="E30" s="30">
        <f t="shared" si="2"/>
        <v>1645867</v>
      </c>
      <c r="F30" s="30">
        <f>'дод. 4'!F59</f>
        <v>1645867</v>
      </c>
      <c r="G30" s="30">
        <f>'дод. 4'!G59</f>
        <v>1169665</v>
      </c>
      <c r="H30" s="30">
        <f>'дод. 4'!H59</f>
        <v>82225</v>
      </c>
      <c r="I30" s="30">
        <f>'дод. 4'!I59</f>
        <v>0</v>
      </c>
      <c r="J30" s="30">
        <f t="shared" si="3"/>
        <v>92250</v>
      </c>
      <c r="K30" s="30">
        <f>'дод. 4'!K59</f>
        <v>0</v>
      </c>
      <c r="L30" s="30">
        <f>'дод. 4'!L59</f>
        <v>0</v>
      </c>
      <c r="M30" s="30">
        <f>'дод. 4'!M59</f>
        <v>0</v>
      </c>
      <c r="N30" s="30">
        <f>'дод. 4'!N59</f>
        <v>92250</v>
      </c>
      <c r="O30" s="30">
        <f>'дод. 4'!O59</f>
        <v>92250</v>
      </c>
      <c r="P30" s="30">
        <f t="shared" si="4"/>
        <v>1738117</v>
      </c>
      <c r="Q30" s="127"/>
    </row>
    <row r="31" spans="1:17" s="20" customFormat="1" ht="30">
      <c r="A31" s="18"/>
      <c r="B31" s="21" t="s">
        <v>73</v>
      </c>
      <c r="C31" s="21" t="s">
        <v>155</v>
      </c>
      <c r="D31" s="22" t="s">
        <v>74</v>
      </c>
      <c r="E31" s="30">
        <f t="shared" si="2"/>
        <v>162138</v>
      </c>
      <c r="F31" s="30">
        <f>'дод. 4'!F60</f>
        <v>162138</v>
      </c>
      <c r="G31" s="30">
        <f>'дод. 4'!G60</f>
        <v>126390</v>
      </c>
      <c r="H31" s="30">
        <f>'дод. 4'!H60</f>
        <v>5147</v>
      </c>
      <c r="I31" s="30">
        <f>'дод. 4'!I60</f>
        <v>0</v>
      </c>
      <c r="J31" s="30">
        <f t="shared" si="3"/>
        <v>0</v>
      </c>
      <c r="K31" s="30">
        <f>'дод. 4'!K60</f>
        <v>0</v>
      </c>
      <c r="L31" s="30">
        <f>'дод. 4'!L60</f>
        <v>0</v>
      </c>
      <c r="M31" s="30">
        <f>'дод. 4'!M60</f>
        <v>0</v>
      </c>
      <c r="N31" s="30">
        <f>'дод. 4'!N60</f>
        <v>0</v>
      </c>
      <c r="O31" s="30">
        <f>'дод. 4'!O60</f>
        <v>0</v>
      </c>
      <c r="P31" s="30">
        <f t="shared" si="4"/>
        <v>162138</v>
      </c>
      <c r="Q31" s="127"/>
    </row>
    <row r="32" spans="1:17" s="20" customFormat="1" ht="15">
      <c r="A32" s="18"/>
      <c r="B32" s="21" t="s">
        <v>75</v>
      </c>
      <c r="C32" s="21" t="s">
        <v>155</v>
      </c>
      <c r="D32" s="22" t="s">
        <v>76</v>
      </c>
      <c r="E32" s="30">
        <f t="shared" si="2"/>
        <v>2607237</v>
      </c>
      <c r="F32" s="30">
        <f>'дод. 4'!F61</f>
        <v>2607237</v>
      </c>
      <c r="G32" s="30">
        <f>'дод. 4'!G61</f>
        <v>1697381</v>
      </c>
      <c r="H32" s="30">
        <f>'дод. 4'!H61</f>
        <v>329643</v>
      </c>
      <c r="I32" s="30">
        <f>'дод. 4'!I61</f>
        <v>0</v>
      </c>
      <c r="J32" s="30">
        <f t="shared" si="3"/>
        <v>150000</v>
      </c>
      <c r="K32" s="30">
        <f>'дод. 4'!K61</f>
        <v>0</v>
      </c>
      <c r="L32" s="30">
        <f>'дод. 4'!L61</f>
        <v>0</v>
      </c>
      <c r="M32" s="30">
        <f>'дод. 4'!M61</f>
        <v>0</v>
      </c>
      <c r="N32" s="30">
        <f>'дод. 4'!N61</f>
        <v>150000</v>
      </c>
      <c r="O32" s="30">
        <f>'дод. 4'!O61</f>
        <v>150000</v>
      </c>
      <c r="P32" s="30">
        <f t="shared" si="4"/>
        <v>2757237</v>
      </c>
      <c r="Q32" s="127"/>
    </row>
    <row r="33" spans="1:17" s="20" customFormat="1" ht="15">
      <c r="A33" s="18"/>
      <c r="B33" s="21" t="s">
        <v>77</v>
      </c>
      <c r="C33" s="21" t="s">
        <v>155</v>
      </c>
      <c r="D33" s="22" t="s">
        <v>78</v>
      </c>
      <c r="E33" s="30">
        <f t="shared" si="2"/>
        <v>53240</v>
      </c>
      <c r="F33" s="30">
        <f>'дод. 4'!F62</f>
        <v>53240</v>
      </c>
      <c r="G33" s="30">
        <f>'дод. 4'!G62</f>
        <v>0</v>
      </c>
      <c r="H33" s="30">
        <f>'дод. 4'!H62</f>
        <v>0</v>
      </c>
      <c r="I33" s="30">
        <f>'дод. 4'!I62</f>
        <v>0</v>
      </c>
      <c r="J33" s="30">
        <f t="shared" si="3"/>
        <v>0</v>
      </c>
      <c r="K33" s="30">
        <f>'дод. 4'!K62</f>
        <v>0</v>
      </c>
      <c r="L33" s="30">
        <f>'дод. 4'!L62</f>
        <v>0</v>
      </c>
      <c r="M33" s="30">
        <f>'дод. 4'!M62</f>
        <v>0</v>
      </c>
      <c r="N33" s="30">
        <f>'дод. 4'!N62</f>
        <v>0</v>
      </c>
      <c r="O33" s="30">
        <f>'дод. 4'!O62</f>
        <v>0</v>
      </c>
      <c r="P33" s="30">
        <f t="shared" si="4"/>
        <v>53240</v>
      </c>
      <c r="Q33" s="127"/>
    </row>
    <row r="34" spans="1:17" s="20" customFormat="1" ht="62.25" customHeight="1">
      <c r="A34" s="18"/>
      <c r="B34" s="21" t="s">
        <v>79</v>
      </c>
      <c r="C34" s="21" t="s">
        <v>155</v>
      </c>
      <c r="D34" s="22" t="s">
        <v>80</v>
      </c>
      <c r="E34" s="30">
        <f t="shared" si="2"/>
        <v>45250</v>
      </c>
      <c r="F34" s="30">
        <f>'дод. 4'!F63</f>
        <v>45250</v>
      </c>
      <c r="G34" s="30">
        <f>'дод. 4'!G63</f>
        <v>0</v>
      </c>
      <c r="H34" s="30">
        <f>'дод. 4'!H63</f>
        <v>0</v>
      </c>
      <c r="I34" s="30">
        <f>'дод. 4'!I63</f>
        <v>0</v>
      </c>
      <c r="J34" s="30">
        <f t="shared" si="3"/>
        <v>0</v>
      </c>
      <c r="K34" s="30">
        <f>'дод. 4'!K63</f>
        <v>0</v>
      </c>
      <c r="L34" s="30">
        <f>'дод. 4'!L63</f>
        <v>0</v>
      </c>
      <c r="M34" s="30">
        <f>'дод. 4'!M63</f>
        <v>0</v>
      </c>
      <c r="N34" s="30">
        <f>'дод. 4'!N63</f>
        <v>0</v>
      </c>
      <c r="O34" s="30">
        <f>'дод. 4'!O63</f>
        <v>0</v>
      </c>
      <c r="P34" s="30">
        <f t="shared" si="4"/>
        <v>45250</v>
      </c>
      <c r="Q34" s="127"/>
    </row>
    <row r="35" spans="1:17" s="20" customFormat="1" ht="15">
      <c r="A35" s="18"/>
      <c r="B35" s="50" t="s">
        <v>217</v>
      </c>
      <c r="C35" s="51"/>
      <c r="D35" s="51" t="s">
        <v>218</v>
      </c>
      <c r="E35" s="54">
        <f>E37+E39+E41+E43+E45+E47+E49+E51</f>
        <v>225877388.43</v>
      </c>
      <c r="F35" s="54">
        <f>F37+F39+F41+F43+F45+F47+F49+F51</f>
        <v>225877388.43</v>
      </c>
      <c r="G35" s="54">
        <f>G37+G39+G41+G43+G45+G47+G49+G51</f>
        <v>127057885</v>
      </c>
      <c r="H35" s="54">
        <f aca="true" t="shared" si="5" ref="H35:P35">H37+H39+H41+H43+H45+H47+H49+H51</f>
        <v>19119876</v>
      </c>
      <c r="I35" s="54">
        <f t="shared" si="5"/>
        <v>0</v>
      </c>
      <c r="J35" s="54">
        <f t="shared" si="5"/>
        <v>38368560</v>
      </c>
      <c r="K35" s="54">
        <f t="shared" si="5"/>
        <v>11785214</v>
      </c>
      <c r="L35" s="54">
        <f t="shared" si="5"/>
        <v>6366242</v>
      </c>
      <c r="M35" s="54">
        <f t="shared" si="5"/>
        <v>500810</v>
      </c>
      <c r="N35" s="54">
        <f t="shared" si="5"/>
        <v>26583346</v>
      </c>
      <c r="O35" s="54">
        <f t="shared" si="5"/>
        <v>26583346</v>
      </c>
      <c r="P35" s="54">
        <f t="shared" si="5"/>
        <v>264245948.43</v>
      </c>
      <c r="Q35" s="127"/>
    </row>
    <row r="36" spans="1:17" s="20" customFormat="1" ht="15">
      <c r="A36" s="18"/>
      <c r="B36" s="50"/>
      <c r="C36" s="51"/>
      <c r="D36" s="34" t="s">
        <v>210</v>
      </c>
      <c r="E36" s="30">
        <f>F36+I36</f>
        <v>206346569.43</v>
      </c>
      <c r="F36" s="30">
        <f>F38+F40+F42+F44+F46+F48+F50+F52</f>
        <v>206346569.43</v>
      </c>
      <c r="G36" s="30">
        <f>G38+G40+G42+G44+G46+G48+G50+G52</f>
        <v>126743128</v>
      </c>
      <c r="H36" s="30">
        <f>H38+H40+H42+H44+H46+H48+H50+H52</f>
        <v>19119876</v>
      </c>
      <c r="I36" s="30">
        <f>I38+I40+I42+I44+I46+I48+I50+I52</f>
        <v>0</v>
      </c>
      <c r="J36" s="30">
        <f>K36+N36</f>
        <v>0</v>
      </c>
      <c r="K36" s="30">
        <f>K38+K40+K42+K44+K46+K48+K50+K52</f>
        <v>0</v>
      </c>
      <c r="L36" s="30">
        <f>L38+L40+L42+L44+L46+L48+L50+L52</f>
        <v>0</v>
      </c>
      <c r="M36" s="30">
        <f>M38+M40+M42+M44+M46+M48+M50+M52</f>
        <v>0</v>
      </c>
      <c r="N36" s="30">
        <f>N38+N40+N42+N44+N46+N48+N50+N52</f>
        <v>0</v>
      </c>
      <c r="O36" s="30">
        <f>O38+O40+O42+O44+O46+O48+O50+O52</f>
        <v>0</v>
      </c>
      <c r="P36" s="30">
        <f>E36+J36</f>
        <v>206346569.43</v>
      </c>
      <c r="Q36" s="120" t="s">
        <v>352</v>
      </c>
    </row>
    <row r="37" spans="1:17" s="20" customFormat="1" ht="15" customHeight="1">
      <c r="A37" s="18"/>
      <c r="B37" s="21" t="s">
        <v>82</v>
      </c>
      <c r="C37" s="21" t="s">
        <v>158</v>
      </c>
      <c r="D37" s="22" t="s">
        <v>83</v>
      </c>
      <c r="E37" s="30">
        <f>F37+I37</f>
        <v>179067764.43</v>
      </c>
      <c r="F37" s="30">
        <f>'дод. 4'!F71+'дод. 4'!F198</f>
        <v>179067764.43</v>
      </c>
      <c r="G37" s="30">
        <f>'дод. 4'!G71+'дод. 4'!G198</f>
        <v>104098668</v>
      </c>
      <c r="H37" s="30">
        <f>'дод. 4'!H71+'дод. 4'!H198</f>
        <v>15452322</v>
      </c>
      <c r="I37" s="30">
        <f>'дод. 4'!I71+'дод. 4'!I198</f>
        <v>0</v>
      </c>
      <c r="J37" s="30">
        <f>K37+N37</f>
        <v>27751532</v>
      </c>
      <c r="K37" s="30">
        <f>'дод. 4'!K71+'дод. 4'!K198</f>
        <v>7844182</v>
      </c>
      <c r="L37" s="30">
        <f>'дод. 4'!L71+'дод. 4'!L198</f>
        <v>4083407</v>
      </c>
      <c r="M37" s="30">
        <f>'дод. 4'!M71+'дод. 4'!M198</f>
        <v>177480</v>
      </c>
      <c r="N37" s="30">
        <f>'дод. 4'!N71+'дод. 4'!N198</f>
        <v>19907350</v>
      </c>
      <c r="O37" s="30">
        <f>'дод. 4'!O71+'дод. 4'!O198</f>
        <v>19907350</v>
      </c>
      <c r="P37" s="30">
        <f>E37+J37</f>
        <v>206819296.43</v>
      </c>
      <c r="Q37" s="120"/>
    </row>
    <row r="38" spans="1:17" s="20" customFormat="1" ht="15">
      <c r="A38" s="18"/>
      <c r="B38" s="21"/>
      <c r="C38" s="21"/>
      <c r="D38" s="34" t="s">
        <v>210</v>
      </c>
      <c r="E38" s="30">
        <f aca="true" t="shared" si="6" ref="E38:E58">F38+I38</f>
        <v>163379208.43</v>
      </c>
      <c r="F38" s="30">
        <f>'дод. 4'!F72</f>
        <v>163379208.43</v>
      </c>
      <c r="G38" s="30">
        <f>'дод. 4'!G72</f>
        <v>103833885</v>
      </c>
      <c r="H38" s="30">
        <f>'дод. 4'!H72</f>
        <v>15452322</v>
      </c>
      <c r="I38" s="30">
        <f>'дод. 4'!I72</f>
        <v>0</v>
      </c>
      <c r="J38" s="30">
        <f aca="true" t="shared" si="7" ref="J38:J51">K38+N38</f>
        <v>0</v>
      </c>
      <c r="K38" s="30">
        <f>'дод. 4'!K72</f>
        <v>0</v>
      </c>
      <c r="L38" s="30">
        <f>'дод. 4'!L72</f>
        <v>0</v>
      </c>
      <c r="M38" s="30">
        <f>'дод. 4'!M72</f>
        <v>0</v>
      </c>
      <c r="N38" s="30">
        <f>'дод. 4'!N72</f>
        <v>0</v>
      </c>
      <c r="O38" s="30">
        <f>'дод. 4'!O72</f>
        <v>0</v>
      </c>
      <c r="P38" s="30">
        <f aca="true" t="shared" si="8" ref="P38:P52">E38+J38</f>
        <v>163379208.43</v>
      </c>
      <c r="Q38" s="120"/>
    </row>
    <row r="39" spans="1:17" s="20" customFormat="1" ht="15">
      <c r="A39" s="18"/>
      <c r="B39" s="27" t="s">
        <v>84</v>
      </c>
      <c r="C39" s="27" t="s">
        <v>159</v>
      </c>
      <c r="D39" s="28" t="s">
        <v>85</v>
      </c>
      <c r="E39" s="30">
        <f t="shared" si="6"/>
        <v>18548642</v>
      </c>
      <c r="F39" s="30">
        <f>'дод. 4'!F73</f>
        <v>18548642</v>
      </c>
      <c r="G39" s="30">
        <f>'дод. 4'!G73</f>
        <v>11901632</v>
      </c>
      <c r="H39" s="30">
        <f>'дод. 4'!H73</f>
        <v>2655803</v>
      </c>
      <c r="I39" s="30">
        <f>'дод. 4'!I73</f>
        <v>0</v>
      </c>
      <c r="J39" s="30">
        <f t="shared" si="7"/>
        <v>3209236</v>
      </c>
      <c r="K39" s="30">
        <f>'дод. 4'!K73</f>
        <v>25240</v>
      </c>
      <c r="L39" s="30">
        <f>'дод. 4'!L73</f>
        <v>9460</v>
      </c>
      <c r="M39" s="30">
        <f>'дод. 4'!M73</f>
        <v>4150</v>
      </c>
      <c r="N39" s="30">
        <f>'дод. 4'!N73</f>
        <v>3183996</v>
      </c>
      <c r="O39" s="30">
        <f>'дод. 4'!O73</f>
        <v>3183996</v>
      </c>
      <c r="P39" s="30">
        <f t="shared" si="8"/>
        <v>21757878</v>
      </c>
      <c r="Q39" s="120"/>
    </row>
    <row r="40" spans="1:17" s="20" customFormat="1" ht="15">
      <c r="A40" s="18"/>
      <c r="B40" s="27"/>
      <c r="C40" s="27"/>
      <c r="D40" s="34" t="s">
        <v>210</v>
      </c>
      <c r="E40" s="30">
        <f t="shared" si="6"/>
        <v>17411678</v>
      </c>
      <c r="F40" s="30">
        <f>'дод. 4'!F74</f>
        <v>17411678</v>
      </c>
      <c r="G40" s="30">
        <f>'дод. 4'!G74</f>
        <v>11871430</v>
      </c>
      <c r="H40" s="30">
        <f>'дод. 4'!H74</f>
        <v>2655803</v>
      </c>
      <c r="I40" s="30">
        <f>'дод. 4'!I74</f>
        <v>0</v>
      </c>
      <c r="J40" s="30">
        <f t="shared" si="7"/>
        <v>0</v>
      </c>
      <c r="K40" s="30">
        <f>'дод. 4'!K74</f>
        <v>0</v>
      </c>
      <c r="L40" s="30">
        <f>'дод. 4'!L74</f>
        <v>0</v>
      </c>
      <c r="M40" s="30">
        <f>'дод. 4'!M74</f>
        <v>0</v>
      </c>
      <c r="N40" s="30">
        <f>'дод. 4'!N74</f>
        <v>0</v>
      </c>
      <c r="O40" s="30">
        <f>'дод. 4'!O74</f>
        <v>0</v>
      </c>
      <c r="P40" s="30">
        <f t="shared" si="8"/>
        <v>17411678</v>
      </c>
      <c r="Q40" s="120"/>
    </row>
    <row r="41" spans="1:17" s="20" customFormat="1" ht="60">
      <c r="A41" s="18"/>
      <c r="B41" s="36" t="s">
        <v>187</v>
      </c>
      <c r="C41" s="36" t="s">
        <v>188</v>
      </c>
      <c r="D41" s="34" t="s">
        <v>189</v>
      </c>
      <c r="E41" s="30">
        <f t="shared" si="6"/>
        <v>1575344</v>
      </c>
      <c r="F41" s="30">
        <f>'дод. 4'!F75</f>
        <v>1575344</v>
      </c>
      <c r="G41" s="30">
        <f>'дод. 4'!G75</f>
        <v>1181499</v>
      </c>
      <c r="H41" s="30">
        <f>'дод. 4'!H75</f>
        <v>76813</v>
      </c>
      <c r="I41" s="30">
        <f>'дод. 4'!I75</f>
        <v>0</v>
      </c>
      <c r="J41" s="30">
        <f t="shared" si="7"/>
        <v>407000</v>
      </c>
      <c r="K41" s="30">
        <f>'дод. 4'!K75</f>
        <v>407000</v>
      </c>
      <c r="L41" s="30">
        <f>'дод. 4'!L75</f>
        <v>98000</v>
      </c>
      <c r="M41" s="30">
        <f>'дод. 4'!M75</f>
        <v>132800</v>
      </c>
      <c r="N41" s="30">
        <f>'дод. 4'!N75</f>
        <v>0</v>
      </c>
      <c r="O41" s="30">
        <f>'дод. 4'!O75</f>
        <v>0</v>
      </c>
      <c r="P41" s="30">
        <f t="shared" si="8"/>
        <v>1982344</v>
      </c>
      <c r="Q41" s="120"/>
    </row>
    <row r="42" spans="1:17" s="20" customFormat="1" ht="15">
      <c r="A42" s="18"/>
      <c r="B42" s="36"/>
      <c r="C42" s="36"/>
      <c r="D42" s="34" t="s">
        <v>210</v>
      </c>
      <c r="E42" s="30">
        <f t="shared" si="6"/>
        <v>1520258</v>
      </c>
      <c r="F42" s="30">
        <f>'дод. 4'!F76</f>
        <v>1520258</v>
      </c>
      <c r="G42" s="30">
        <f>'дод. 4'!G76</f>
        <v>1177289</v>
      </c>
      <c r="H42" s="30">
        <f>'дод. 4'!H76</f>
        <v>76813</v>
      </c>
      <c r="I42" s="30">
        <f>'дод. 4'!I76</f>
        <v>0</v>
      </c>
      <c r="J42" s="30">
        <f t="shared" si="7"/>
        <v>0</v>
      </c>
      <c r="K42" s="30">
        <f>'дод. 4'!K76</f>
        <v>0</v>
      </c>
      <c r="L42" s="30">
        <f>'дод. 4'!L76</f>
        <v>0</v>
      </c>
      <c r="M42" s="30">
        <f>'дод. 4'!M76</f>
        <v>0</v>
      </c>
      <c r="N42" s="30">
        <f>'дод. 4'!N76</f>
        <v>0</v>
      </c>
      <c r="O42" s="30">
        <f>'дод. 4'!O76</f>
        <v>0</v>
      </c>
      <c r="P42" s="30">
        <f t="shared" si="8"/>
        <v>1520258</v>
      </c>
      <c r="Q42" s="120"/>
    </row>
    <row r="43" spans="1:17" s="20" customFormat="1" ht="30">
      <c r="A43" s="18"/>
      <c r="B43" s="21" t="s">
        <v>86</v>
      </c>
      <c r="C43" s="21" t="s">
        <v>160</v>
      </c>
      <c r="D43" s="22" t="s">
        <v>87</v>
      </c>
      <c r="E43" s="30">
        <f t="shared" si="6"/>
        <v>4244060</v>
      </c>
      <c r="F43" s="30">
        <f>'дод. 4'!F77</f>
        <v>4244060</v>
      </c>
      <c r="G43" s="30">
        <f>'дод. 4'!G77</f>
        <v>2972620</v>
      </c>
      <c r="H43" s="30">
        <f>'дод. 4'!H77</f>
        <v>339954</v>
      </c>
      <c r="I43" s="30">
        <f>'дод. 4'!I77</f>
        <v>0</v>
      </c>
      <c r="J43" s="30">
        <f t="shared" si="7"/>
        <v>4353292</v>
      </c>
      <c r="K43" s="30">
        <f>'дод. 4'!K77</f>
        <v>3353292</v>
      </c>
      <c r="L43" s="30">
        <f>'дод. 4'!L77</f>
        <v>2153375</v>
      </c>
      <c r="M43" s="30">
        <f>'дод. 4'!M77</f>
        <v>166719</v>
      </c>
      <c r="N43" s="30">
        <f>'дод. 4'!N77</f>
        <v>1000000</v>
      </c>
      <c r="O43" s="30">
        <f>'дод. 4'!O77</f>
        <v>1000000</v>
      </c>
      <c r="P43" s="30">
        <f t="shared" si="8"/>
        <v>8597352</v>
      </c>
      <c r="Q43" s="120"/>
    </row>
    <row r="44" spans="1:17" s="20" customFormat="1" ht="15">
      <c r="A44" s="18"/>
      <c r="B44" s="21"/>
      <c r="C44" s="21"/>
      <c r="D44" s="34" t="s">
        <v>210</v>
      </c>
      <c r="E44" s="30">
        <f t="shared" si="6"/>
        <v>4042645</v>
      </c>
      <c r="F44" s="30">
        <f>'дод. 4'!F78</f>
        <v>4042645</v>
      </c>
      <c r="G44" s="30">
        <f>'дод. 4'!G78</f>
        <v>2967448</v>
      </c>
      <c r="H44" s="30">
        <f>'дод. 4'!H78</f>
        <v>339954</v>
      </c>
      <c r="I44" s="30">
        <f>'дод. 4'!I78</f>
        <v>0</v>
      </c>
      <c r="J44" s="30">
        <f t="shared" si="7"/>
        <v>0</v>
      </c>
      <c r="K44" s="30">
        <f>'дод. 4'!K78</f>
        <v>0</v>
      </c>
      <c r="L44" s="30">
        <f>'дод. 4'!L78</f>
        <v>0</v>
      </c>
      <c r="M44" s="30">
        <f>'дод. 4'!M78</f>
        <v>0</v>
      </c>
      <c r="N44" s="30">
        <f>'дод. 4'!N78</f>
        <v>0</v>
      </c>
      <c r="O44" s="30">
        <f>'дод. 4'!O78</f>
        <v>0</v>
      </c>
      <c r="P44" s="30">
        <f t="shared" si="8"/>
        <v>4042645</v>
      </c>
      <c r="Q44" s="120"/>
    </row>
    <row r="45" spans="1:17" s="20" customFormat="1" ht="30">
      <c r="A45" s="18"/>
      <c r="B45" s="21" t="s">
        <v>88</v>
      </c>
      <c r="C45" s="21" t="s">
        <v>161</v>
      </c>
      <c r="D45" s="28" t="s">
        <v>89</v>
      </c>
      <c r="E45" s="30">
        <f t="shared" si="6"/>
        <v>9431816.94</v>
      </c>
      <c r="F45" s="30">
        <f>'дод. 4'!F79</f>
        <v>9431816.94</v>
      </c>
      <c r="G45" s="30">
        <f>'дод. 4'!G79</f>
        <v>6045375</v>
      </c>
      <c r="H45" s="30">
        <f>'дод. 4'!H79</f>
        <v>564989</v>
      </c>
      <c r="I45" s="30">
        <f>'дод. 4'!I79</f>
        <v>0</v>
      </c>
      <c r="J45" s="30">
        <f t="shared" si="7"/>
        <v>2587500</v>
      </c>
      <c r="K45" s="30">
        <f>'дод. 4'!K79</f>
        <v>155500</v>
      </c>
      <c r="L45" s="30">
        <f>'дод. 4'!L79</f>
        <v>22000</v>
      </c>
      <c r="M45" s="30">
        <f>'дод. 4'!M79</f>
        <v>19661</v>
      </c>
      <c r="N45" s="30">
        <f>'дод. 4'!N79</f>
        <v>2432000</v>
      </c>
      <c r="O45" s="30">
        <f>'дод. 4'!O79</f>
        <v>2432000</v>
      </c>
      <c r="P45" s="30">
        <f t="shared" si="8"/>
        <v>12019316.94</v>
      </c>
      <c r="Q45" s="120"/>
    </row>
    <row r="46" spans="1:17" s="20" customFormat="1" ht="15">
      <c r="A46" s="18"/>
      <c r="B46" s="21"/>
      <c r="C46" s="21"/>
      <c r="D46" s="34" t="s">
        <v>210</v>
      </c>
      <c r="E46" s="30">
        <f t="shared" si="6"/>
        <v>8275106.94</v>
      </c>
      <c r="F46" s="30">
        <f>'дод. 4'!F80</f>
        <v>8275106.94</v>
      </c>
      <c r="G46" s="30">
        <f>'дод. 4'!G80</f>
        <v>6034985</v>
      </c>
      <c r="H46" s="30">
        <f>'дод. 4'!H80</f>
        <v>564989</v>
      </c>
      <c r="I46" s="30">
        <f>'дод. 4'!I80</f>
        <v>0</v>
      </c>
      <c r="J46" s="30">
        <f t="shared" si="7"/>
        <v>0</v>
      </c>
      <c r="K46" s="30">
        <f>'дод. 4'!K80</f>
        <v>0</v>
      </c>
      <c r="L46" s="30">
        <f>'дод. 4'!L80</f>
        <v>0</v>
      </c>
      <c r="M46" s="30">
        <f>'дод. 4'!M80</f>
        <v>0</v>
      </c>
      <c r="N46" s="30">
        <f>'дод. 4'!N80</f>
        <v>0</v>
      </c>
      <c r="O46" s="30">
        <f>'дод. 4'!O80</f>
        <v>0</v>
      </c>
      <c r="P46" s="30">
        <f t="shared" si="8"/>
        <v>8275106.94</v>
      </c>
      <c r="Q46" s="120"/>
    </row>
    <row r="47" spans="1:17" s="20" customFormat="1" ht="15">
      <c r="A47" s="18"/>
      <c r="B47" s="21" t="s">
        <v>90</v>
      </c>
      <c r="C47" s="21" t="s">
        <v>162</v>
      </c>
      <c r="D47" s="22" t="s">
        <v>91</v>
      </c>
      <c r="E47" s="30">
        <f t="shared" si="6"/>
        <v>2004372.06</v>
      </c>
      <c r="F47" s="30">
        <f>'дод. 4'!F81</f>
        <v>2004372.06</v>
      </c>
      <c r="G47" s="30">
        <f>'дод. 4'!G81</f>
        <v>420777</v>
      </c>
      <c r="H47" s="30">
        <f>'дод. 4'!H81</f>
        <v>11415</v>
      </c>
      <c r="I47" s="30">
        <f>'дод. 4'!I81</f>
        <v>0</v>
      </c>
      <c r="J47" s="30">
        <f t="shared" si="7"/>
        <v>20000</v>
      </c>
      <c r="K47" s="30">
        <f>'дод. 4'!K81</f>
        <v>0</v>
      </c>
      <c r="L47" s="30">
        <f>'дод. 4'!L81</f>
        <v>0</v>
      </c>
      <c r="M47" s="30">
        <f>'дод. 4'!M81</f>
        <v>0</v>
      </c>
      <c r="N47" s="30">
        <f>'дод. 4'!N81</f>
        <v>20000</v>
      </c>
      <c r="O47" s="30">
        <f>'дод. 4'!O81</f>
        <v>20000</v>
      </c>
      <c r="P47" s="30">
        <f t="shared" si="8"/>
        <v>2024372.06</v>
      </c>
      <c r="Q47" s="120"/>
    </row>
    <row r="48" spans="1:17" s="40" customFormat="1" ht="15">
      <c r="A48" s="39"/>
      <c r="B48" s="21"/>
      <c r="C48" s="21"/>
      <c r="D48" s="34" t="s">
        <v>210</v>
      </c>
      <c r="E48" s="30">
        <f t="shared" si="6"/>
        <v>793288.06</v>
      </c>
      <c r="F48" s="30">
        <f>'дод. 4'!F82</f>
        <v>793288.06</v>
      </c>
      <c r="G48" s="30">
        <f>'дод. 4'!G82</f>
        <v>420777</v>
      </c>
      <c r="H48" s="30">
        <f>'дод. 4'!H82</f>
        <v>11415</v>
      </c>
      <c r="I48" s="30">
        <f>'дод. 4'!I82</f>
        <v>0</v>
      </c>
      <c r="J48" s="30">
        <f t="shared" si="7"/>
        <v>0</v>
      </c>
      <c r="K48" s="30">
        <f>'дод. 4'!K82</f>
        <v>0</v>
      </c>
      <c r="L48" s="30">
        <f>'дод. 4'!L82</f>
        <v>0</v>
      </c>
      <c r="M48" s="30">
        <f>'дод. 4'!M82</f>
        <v>0</v>
      </c>
      <c r="N48" s="30">
        <f>'дод. 4'!N82</f>
        <v>0</v>
      </c>
      <c r="O48" s="30">
        <f>'дод. 4'!O82</f>
        <v>0</v>
      </c>
      <c r="P48" s="30">
        <f t="shared" si="8"/>
        <v>793288.06</v>
      </c>
      <c r="Q48" s="120"/>
    </row>
    <row r="49" spans="1:17" s="20" customFormat="1" ht="83.25" customHeight="1">
      <c r="A49" s="18"/>
      <c r="B49" s="27" t="s">
        <v>92</v>
      </c>
      <c r="C49" s="27" t="s">
        <v>162</v>
      </c>
      <c r="D49" s="28" t="s">
        <v>93</v>
      </c>
      <c r="E49" s="30">
        <f t="shared" si="6"/>
        <v>658099</v>
      </c>
      <c r="F49" s="30">
        <f>'дод. 4'!F83</f>
        <v>658099</v>
      </c>
      <c r="G49" s="30">
        <f>'дод. 4'!G83</f>
        <v>437314</v>
      </c>
      <c r="H49" s="30">
        <f>'дод. 4'!H83</f>
        <v>18580</v>
      </c>
      <c r="I49" s="30">
        <f>'дод. 4'!I83</f>
        <v>0</v>
      </c>
      <c r="J49" s="30">
        <f t="shared" si="7"/>
        <v>40000</v>
      </c>
      <c r="K49" s="30">
        <f>'дод. 4'!K83</f>
        <v>0</v>
      </c>
      <c r="L49" s="30">
        <f>'дод. 4'!L83</f>
        <v>0</v>
      </c>
      <c r="M49" s="30">
        <f>'дод. 4'!M83</f>
        <v>0</v>
      </c>
      <c r="N49" s="30">
        <f>'дод. 4'!N83</f>
        <v>40000</v>
      </c>
      <c r="O49" s="30">
        <f>'дод. 4'!O83</f>
        <v>40000</v>
      </c>
      <c r="P49" s="30">
        <f t="shared" si="8"/>
        <v>698099</v>
      </c>
      <c r="Q49" s="120"/>
    </row>
    <row r="50" spans="1:17" s="20" customFormat="1" ht="15">
      <c r="A50" s="18"/>
      <c r="B50" s="27"/>
      <c r="C50" s="27"/>
      <c r="D50" s="34" t="s">
        <v>210</v>
      </c>
      <c r="E50" s="30">
        <f t="shared" si="6"/>
        <v>577095</v>
      </c>
      <c r="F50" s="30">
        <f>'дод. 4'!F84</f>
        <v>577095</v>
      </c>
      <c r="G50" s="30">
        <f>'дод. 4'!G84</f>
        <v>437314</v>
      </c>
      <c r="H50" s="30">
        <f>'дод. 4'!H84</f>
        <v>18580</v>
      </c>
      <c r="I50" s="30">
        <f>'дод. 4'!I84</f>
        <v>0</v>
      </c>
      <c r="J50" s="30">
        <f t="shared" si="7"/>
        <v>0</v>
      </c>
      <c r="K50" s="30">
        <f>'дод. 4'!K84</f>
        <v>0</v>
      </c>
      <c r="L50" s="30">
        <f>'дод. 4'!L84</f>
        <v>0</v>
      </c>
      <c r="M50" s="30">
        <f>'дод. 4'!M84</f>
        <v>0</v>
      </c>
      <c r="N50" s="30">
        <f>'дод. 4'!N84</f>
        <v>0</v>
      </c>
      <c r="O50" s="30">
        <f>'дод. 4'!O84</f>
        <v>0</v>
      </c>
      <c r="P50" s="30">
        <f t="shared" si="8"/>
        <v>577095</v>
      </c>
      <c r="Q50" s="120"/>
    </row>
    <row r="51" spans="1:17" s="20" customFormat="1" ht="51.75" customHeight="1">
      <c r="A51" s="18"/>
      <c r="B51" s="27" t="s">
        <v>252</v>
      </c>
      <c r="C51" s="27" t="s">
        <v>162</v>
      </c>
      <c r="D51" s="22" t="s">
        <v>253</v>
      </c>
      <c r="E51" s="30">
        <f t="shared" si="6"/>
        <v>10347290</v>
      </c>
      <c r="F51" s="30">
        <f>'дод. 4'!F85</f>
        <v>10347290</v>
      </c>
      <c r="G51" s="30">
        <f>'дод. 4'!G85</f>
        <v>0</v>
      </c>
      <c r="H51" s="30">
        <f>'дод. 4'!H85</f>
        <v>0</v>
      </c>
      <c r="I51" s="30">
        <f>'дод. 4'!I85</f>
        <v>0</v>
      </c>
      <c r="J51" s="30">
        <f t="shared" si="7"/>
        <v>0</v>
      </c>
      <c r="K51" s="30">
        <f>'дод. 4'!K85</f>
        <v>0</v>
      </c>
      <c r="L51" s="30">
        <f>'дод. 4'!L85</f>
        <v>0</v>
      </c>
      <c r="M51" s="30">
        <f>'дод. 4'!M85</f>
        <v>0</v>
      </c>
      <c r="N51" s="30">
        <f>'дод. 4'!N85</f>
        <v>0</v>
      </c>
      <c r="O51" s="30">
        <f>'дод. 4'!O85</f>
        <v>0</v>
      </c>
      <c r="P51" s="30">
        <f t="shared" si="8"/>
        <v>10347290</v>
      </c>
      <c r="Q51" s="120"/>
    </row>
    <row r="52" spans="1:17" s="20" customFormat="1" ht="15">
      <c r="A52" s="18"/>
      <c r="B52" s="27"/>
      <c r="C52" s="27"/>
      <c r="D52" s="34" t="s">
        <v>210</v>
      </c>
      <c r="E52" s="30">
        <f t="shared" si="6"/>
        <v>10347290</v>
      </c>
      <c r="F52" s="30">
        <f>'дод. 4'!F86</f>
        <v>10347290</v>
      </c>
      <c r="G52" s="30">
        <f>'дод. 4'!G86</f>
        <v>0</v>
      </c>
      <c r="H52" s="30">
        <f>'дод. 4'!H86</f>
        <v>0</v>
      </c>
      <c r="I52" s="30">
        <f>'дод. 4'!I86</f>
        <v>0</v>
      </c>
      <c r="J52" s="30">
        <f>K52+N52</f>
        <v>0</v>
      </c>
      <c r="K52" s="30">
        <f>'дод. 4'!K86</f>
        <v>0</v>
      </c>
      <c r="L52" s="30">
        <f>'дод. 4'!L86</f>
        <v>0</v>
      </c>
      <c r="M52" s="30">
        <f>'дод. 4'!M86</f>
        <v>0</v>
      </c>
      <c r="N52" s="30">
        <f>'дод. 4'!N86</f>
        <v>0</v>
      </c>
      <c r="O52" s="30">
        <f>'дод. 4'!O86</f>
        <v>0</v>
      </c>
      <c r="P52" s="30">
        <f t="shared" si="8"/>
        <v>10347290</v>
      </c>
      <c r="Q52" s="120"/>
    </row>
    <row r="53" spans="1:17" s="20" customFormat="1" ht="28.5">
      <c r="A53" s="18"/>
      <c r="B53" s="50" t="s">
        <v>219</v>
      </c>
      <c r="C53" s="51"/>
      <c r="D53" s="51" t="s">
        <v>220</v>
      </c>
      <c r="E53" s="54">
        <f>E55+E57+E60+E64+E67+E69+E71+E73+E75+E77+E79+E81+E83+E85+E87+E89+E91+E93+E95+E96+E98+E99+E100+E101+E102+E103+E104+E105+E106+E107+E108+E109+E110+E111+E112+E113+E115+E116+E59+E66+E70</f>
        <v>746097356.0300001</v>
      </c>
      <c r="F53" s="54">
        <f aca="true" t="shared" si="9" ref="F53:P53">F55+F57+F60+F64+F67+F69+F71+F73+F75+F77+F79+F81+F83+F85+F87+F89+F91+F93+F95+F96+F98+F99+F100+F101+F102+F103+F104+F105+F106+F107+F108+F109+F110+F111+F112+F113+F115+F116+F59+F66+F70</f>
        <v>746097356.0300001</v>
      </c>
      <c r="G53" s="54">
        <f t="shared" si="9"/>
        <v>6388572.859999999</v>
      </c>
      <c r="H53" s="54">
        <f t="shared" si="9"/>
        <v>414795</v>
      </c>
      <c r="I53" s="54">
        <f t="shared" si="9"/>
        <v>0</v>
      </c>
      <c r="J53" s="54">
        <f t="shared" si="9"/>
        <v>713848</v>
      </c>
      <c r="K53" s="54">
        <f t="shared" si="9"/>
        <v>27800</v>
      </c>
      <c r="L53" s="54">
        <f t="shared" si="9"/>
        <v>18822</v>
      </c>
      <c r="M53" s="54">
        <f t="shared" si="9"/>
        <v>0</v>
      </c>
      <c r="N53" s="54">
        <f t="shared" si="9"/>
        <v>686048</v>
      </c>
      <c r="O53" s="54">
        <f t="shared" si="9"/>
        <v>686048</v>
      </c>
      <c r="P53" s="54">
        <f t="shared" si="9"/>
        <v>746811204.0300001</v>
      </c>
      <c r="Q53" s="120"/>
    </row>
    <row r="54" spans="1:17" s="20" customFormat="1" ht="17.25" customHeight="1">
      <c r="A54" s="18"/>
      <c r="B54" s="50"/>
      <c r="C54" s="51"/>
      <c r="D54" s="34" t="s">
        <v>210</v>
      </c>
      <c r="E54" s="30">
        <f t="shared" si="6"/>
        <v>716928370</v>
      </c>
      <c r="F54" s="42">
        <f>F56+F58+F63+F65+F68+F72+F74+F76+F78+F80+F82+F84+F86+F88+F90+F92+F94+F97+F114</f>
        <v>716928370</v>
      </c>
      <c r="G54" s="42">
        <f aca="true" t="shared" si="10" ref="G54:O54">G56+G58+G63+G65+G68+G72+G74+G76+G78+G80+G82+G84+G86+G88+G90+G92+G94+G97+G114</f>
        <v>0</v>
      </c>
      <c r="H54" s="42">
        <f t="shared" si="10"/>
        <v>0</v>
      </c>
      <c r="I54" s="42">
        <f t="shared" si="10"/>
        <v>0</v>
      </c>
      <c r="J54" s="42">
        <f t="shared" si="10"/>
        <v>0</v>
      </c>
      <c r="K54" s="42">
        <f t="shared" si="10"/>
        <v>0</v>
      </c>
      <c r="L54" s="42">
        <f t="shared" si="10"/>
        <v>0</v>
      </c>
      <c r="M54" s="42">
        <f t="shared" si="10"/>
        <v>0</v>
      </c>
      <c r="N54" s="42">
        <f t="shared" si="10"/>
        <v>0</v>
      </c>
      <c r="O54" s="42">
        <f t="shared" si="10"/>
        <v>0</v>
      </c>
      <c r="P54" s="30">
        <f aca="true" t="shared" si="11" ref="P54:P60">E54+J54</f>
        <v>716928370</v>
      </c>
      <c r="Q54" s="120"/>
    </row>
    <row r="55" spans="1:17" s="20" customFormat="1" ht="243.75" customHeight="1">
      <c r="A55" s="18"/>
      <c r="B55" s="21" t="s">
        <v>285</v>
      </c>
      <c r="C55" s="21" t="s">
        <v>163</v>
      </c>
      <c r="D55" s="22" t="s">
        <v>286</v>
      </c>
      <c r="E55" s="30">
        <f t="shared" si="6"/>
        <v>35619200</v>
      </c>
      <c r="F55" s="30">
        <f>'дод. 4'!F93</f>
        <v>35619200</v>
      </c>
      <c r="G55" s="30">
        <f>'дод. 4'!G93</f>
        <v>0</v>
      </c>
      <c r="H55" s="30">
        <f>'дод. 4'!H93</f>
        <v>0</v>
      </c>
      <c r="I55" s="30">
        <f>'дод. 4'!I93</f>
        <v>0</v>
      </c>
      <c r="J55" s="30">
        <f>K55+N55</f>
        <v>0</v>
      </c>
      <c r="K55" s="30">
        <f>'дод. 4'!K93</f>
        <v>0</v>
      </c>
      <c r="L55" s="30">
        <f>'дод. 4'!L93</f>
        <v>0</v>
      </c>
      <c r="M55" s="30">
        <f>'дод. 4'!M93</f>
        <v>0</v>
      </c>
      <c r="N55" s="30">
        <f>'дод. 4'!N93</f>
        <v>0</v>
      </c>
      <c r="O55" s="30">
        <f>'дод. 4'!O93</f>
        <v>0</v>
      </c>
      <c r="P55" s="30">
        <f t="shared" si="11"/>
        <v>35619200</v>
      </c>
      <c r="Q55" s="120"/>
    </row>
    <row r="56" spans="1:17" s="20" customFormat="1" ht="15">
      <c r="A56" s="18"/>
      <c r="B56" s="21"/>
      <c r="C56" s="21"/>
      <c r="D56" s="22" t="s">
        <v>262</v>
      </c>
      <c r="E56" s="30">
        <f t="shared" si="6"/>
        <v>35619200</v>
      </c>
      <c r="F56" s="30">
        <f>'дод. 4'!F94</f>
        <v>35619200</v>
      </c>
      <c r="G56" s="30">
        <f>'дод. 4'!G94</f>
        <v>0</v>
      </c>
      <c r="H56" s="30">
        <f>'дод. 4'!H94</f>
        <v>0</v>
      </c>
      <c r="I56" s="30">
        <f>'дод. 4'!I94</f>
        <v>0</v>
      </c>
      <c r="J56" s="30">
        <f>K56+N56</f>
        <v>0</v>
      </c>
      <c r="K56" s="30">
        <f>'дод. 4'!K94</f>
        <v>0</v>
      </c>
      <c r="L56" s="30">
        <f>'дод. 4'!L94</f>
        <v>0</v>
      </c>
      <c r="M56" s="30">
        <f>'дод. 4'!M94</f>
        <v>0</v>
      </c>
      <c r="N56" s="30">
        <f>'дод. 4'!N94</f>
        <v>0</v>
      </c>
      <c r="O56" s="30">
        <f>'дод. 4'!O94</f>
        <v>0</v>
      </c>
      <c r="P56" s="30">
        <f t="shared" si="11"/>
        <v>35619200</v>
      </c>
      <c r="Q56" s="120"/>
    </row>
    <row r="57" spans="1:17" s="20" customFormat="1" ht="207.75" customHeight="1">
      <c r="A57" s="18"/>
      <c r="B57" s="21" t="s">
        <v>287</v>
      </c>
      <c r="C57" s="21" t="s">
        <v>163</v>
      </c>
      <c r="D57" s="22" t="s">
        <v>288</v>
      </c>
      <c r="E57" s="30">
        <f t="shared" si="6"/>
        <v>23046.23</v>
      </c>
      <c r="F57" s="30">
        <f>'дод. 4'!F95</f>
        <v>23046.23</v>
      </c>
      <c r="G57" s="30">
        <f>'дод. 4'!G95</f>
        <v>0</v>
      </c>
      <c r="H57" s="30">
        <f>'дод. 4'!H95</f>
        <v>0</v>
      </c>
      <c r="I57" s="30">
        <f>'дод. 4'!I95</f>
        <v>0</v>
      </c>
      <c r="J57" s="30">
        <f>K57+N57</f>
        <v>0</v>
      </c>
      <c r="K57" s="30">
        <f>'дод. 4'!K95</f>
        <v>0</v>
      </c>
      <c r="L57" s="30">
        <f>'дод. 4'!L95</f>
        <v>0</v>
      </c>
      <c r="M57" s="30">
        <f>'дод. 4'!M95</f>
        <v>0</v>
      </c>
      <c r="N57" s="30">
        <f>'дод. 4'!N95</f>
        <v>0</v>
      </c>
      <c r="O57" s="30">
        <f>'дод. 4'!O95</f>
        <v>0</v>
      </c>
      <c r="P57" s="30">
        <f t="shared" si="11"/>
        <v>23046.23</v>
      </c>
      <c r="Q57" s="120" t="s">
        <v>353</v>
      </c>
    </row>
    <row r="58" spans="1:17" s="20" customFormat="1" ht="15">
      <c r="A58" s="18"/>
      <c r="B58" s="21"/>
      <c r="C58" s="21"/>
      <c r="D58" s="22" t="s">
        <v>262</v>
      </c>
      <c r="E58" s="30">
        <f t="shared" si="6"/>
        <v>23046.23</v>
      </c>
      <c r="F58" s="30">
        <f>'дод. 4'!F96</f>
        <v>23046.23</v>
      </c>
      <c r="G58" s="30">
        <f>'дод. 4'!G96</f>
        <v>0</v>
      </c>
      <c r="H58" s="30">
        <f>'дод. 4'!H96</f>
        <v>0</v>
      </c>
      <c r="I58" s="30">
        <f>'дод. 4'!I96</f>
        <v>0</v>
      </c>
      <c r="J58" s="30">
        <f>K58+N58</f>
        <v>0</v>
      </c>
      <c r="K58" s="30">
        <f>'дод. 4'!K96</f>
        <v>0</v>
      </c>
      <c r="L58" s="30">
        <f>'дод. 4'!L96</f>
        <v>0</v>
      </c>
      <c r="M58" s="30">
        <f>'дод. 4'!M96</f>
        <v>0</v>
      </c>
      <c r="N58" s="30">
        <f>'дод. 4'!N96</f>
        <v>0</v>
      </c>
      <c r="O58" s="30">
        <f>'дод. 4'!O96</f>
        <v>0</v>
      </c>
      <c r="P58" s="30">
        <f t="shared" si="11"/>
        <v>23046.23</v>
      </c>
      <c r="Q58" s="120"/>
    </row>
    <row r="59" spans="1:17" s="20" customFormat="1" ht="207.75" customHeight="1">
      <c r="A59" s="18"/>
      <c r="B59" s="56" t="s">
        <v>330</v>
      </c>
      <c r="C59" s="56" t="s">
        <v>163</v>
      </c>
      <c r="D59" s="68" t="s">
        <v>331</v>
      </c>
      <c r="E59" s="30">
        <f>F59+I59</f>
        <v>272912</v>
      </c>
      <c r="F59" s="30">
        <f>'дод. 4'!F97</f>
        <v>272912</v>
      </c>
      <c r="G59" s="30">
        <f>'дод. 4'!G97</f>
        <v>0</v>
      </c>
      <c r="H59" s="30">
        <f>'дод. 4'!H97</f>
        <v>0</v>
      </c>
      <c r="I59" s="30">
        <f>'дод. 4'!I97</f>
        <v>0</v>
      </c>
      <c r="J59" s="30">
        <f>K59+N59</f>
        <v>0</v>
      </c>
      <c r="K59" s="30">
        <f>'дод. 4'!K97</f>
        <v>0</v>
      </c>
      <c r="L59" s="30">
        <f>'дод. 4'!L97</f>
        <v>0</v>
      </c>
      <c r="M59" s="30">
        <f>'дод. 4'!M97</f>
        <v>0</v>
      </c>
      <c r="N59" s="30">
        <f>'дод. 4'!N97</f>
        <v>0</v>
      </c>
      <c r="O59" s="30">
        <f>'дод. 4'!O97</f>
        <v>0</v>
      </c>
      <c r="P59" s="30">
        <f>E59+J59</f>
        <v>272912</v>
      </c>
      <c r="Q59" s="120"/>
    </row>
    <row r="60" spans="1:17" s="20" customFormat="1" ht="258" customHeight="1">
      <c r="A60" s="18"/>
      <c r="B60" s="56" t="s">
        <v>289</v>
      </c>
      <c r="C60" s="56" t="s">
        <v>163</v>
      </c>
      <c r="D60" s="59" t="s">
        <v>290</v>
      </c>
      <c r="E60" s="65">
        <f>F60+I60</f>
        <v>5469100</v>
      </c>
      <c r="F60" s="65">
        <f>'дод. 4'!F98</f>
        <v>5469100</v>
      </c>
      <c r="G60" s="65">
        <f>'дод. 4'!G98</f>
        <v>0</v>
      </c>
      <c r="H60" s="65">
        <f>'дод. 4'!H98</f>
        <v>0</v>
      </c>
      <c r="I60" s="65">
        <f>'дод. 4'!I98</f>
        <v>0</v>
      </c>
      <c r="J60" s="65">
        <f>K60+O60</f>
        <v>0</v>
      </c>
      <c r="K60" s="65">
        <f>'дод. 4'!K98</f>
        <v>0</v>
      </c>
      <c r="L60" s="65">
        <f>'дод. 4'!L98</f>
        <v>0</v>
      </c>
      <c r="M60" s="65">
        <f>'дод. 4'!M98</f>
        <v>0</v>
      </c>
      <c r="N60" s="65">
        <f>'дод. 4'!N98</f>
        <v>0</v>
      </c>
      <c r="O60" s="65">
        <f>'дод. 4'!O98</f>
        <v>0</v>
      </c>
      <c r="P60" s="65">
        <f t="shared" si="11"/>
        <v>5469100</v>
      </c>
      <c r="Q60" s="120"/>
    </row>
    <row r="61" spans="1:17" s="20" customFormat="1" ht="157.5" customHeight="1">
      <c r="A61" s="18"/>
      <c r="B61" s="57"/>
      <c r="C61" s="57"/>
      <c r="D61" s="60" t="s">
        <v>291</v>
      </c>
      <c r="E61" s="66"/>
      <c r="F61" s="66"/>
      <c r="G61" s="66"/>
      <c r="H61" s="66"/>
      <c r="I61" s="66"/>
      <c r="J61" s="66"/>
      <c r="K61" s="66"/>
      <c r="L61" s="66"/>
      <c r="M61" s="66"/>
      <c r="N61" s="66"/>
      <c r="O61" s="66"/>
      <c r="P61" s="66"/>
      <c r="Q61" s="120" t="s">
        <v>354</v>
      </c>
    </row>
    <row r="62" spans="1:17" s="20" customFormat="1" ht="254.25" customHeight="1">
      <c r="A62" s="18"/>
      <c r="B62" s="58"/>
      <c r="C62" s="58"/>
      <c r="D62" s="61" t="s">
        <v>292</v>
      </c>
      <c r="E62" s="67"/>
      <c r="F62" s="67"/>
      <c r="G62" s="67"/>
      <c r="H62" s="67"/>
      <c r="I62" s="67"/>
      <c r="J62" s="67"/>
      <c r="K62" s="67"/>
      <c r="L62" s="67"/>
      <c r="M62" s="67"/>
      <c r="N62" s="67"/>
      <c r="O62" s="67"/>
      <c r="P62" s="67"/>
      <c r="Q62" s="120"/>
    </row>
    <row r="63" spans="1:17" s="20" customFormat="1" ht="15">
      <c r="A63" s="18"/>
      <c r="B63" s="21"/>
      <c r="C63" s="21"/>
      <c r="D63" s="22" t="s">
        <v>262</v>
      </c>
      <c r="E63" s="42">
        <f>F63+I63</f>
        <v>5469100</v>
      </c>
      <c r="F63" s="42">
        <f>'дод. 4'!F101</f>
        <v>5469100</v>
      </c>
      <c r="G63" s="42">
        <f>'дод. 4'!G101</f>
        <v>0</v>
      </c>
      <c r="H63" s="42">
        <f>'дод. 4'!H101</f>
        <v>0</v>
      </c>
      <c r="I63" s="42">
        <f>'дод. 4'!I101</f>
        <v>0</v>
      </c>
      <c r="J63" s="42">
        <f>K63+N63</f>
        <v>0</v>
      </c>
      <c r="K63" s="42">
        <f>'дод. 4'!K101</f>
        <v>0</v>
      </c>
      <c r="L63" s="42">
        <f>'дод. 4'!L101</f>
        <v>0</v>
      </c>
      <c r="M63" s="42">
        <f>'дод. 4'!M101</f>
        <v>0</v>
      </c>
      <c r="N63" s="42">
        <f>'дод. 4'!N101</f>
        <v>0</v>
      </c>
      <c r="O63" s="42">
        <f>'дод. 4'!O101</f>
        <v>0</v>
      </c>
      <c r="P63" s="42">
        <f>E63+J63</f>
        <v>5469100</v>
      </c>
      <c r="Q63" s="120"/>
    </row>
    <row r="64" spans="1:17" s="20" customFormat="1" ht="105">
      <c r="A64" s="18"/>
      <c r="B64" s="21" t="s">
        <v>293</v>
      </c>
      <c r="C64" s="21" t="s">
        <v>164</v>
      </c>
      <c r="D64" s="22" t="s">
        <v>294</v>
      </c>
      <c r="E64" s="42">
        <f>F64+I64</f>
        <v>4278400</v>
      </c>
      <c r="F64" s="42">
        <f>'дод. 4'!F102</f>
        <v>4278400</v>
      </c>
      <c r="G64" s="42">
        <f>'дод. 4'!G102</f>
        <v>0</v>
      </c>
      <c r="H64" s="42">
        <f>'дод. 4'!H102</f>
        <v>0</v>
      </c>
      <c r="I64" s="42">
        <f>'дод. 4'!I102</f>
        <v>0</v>
      </c>
      <c r="J64" s="42">
        <f>K64+N64</f>
        <v>0</v>
      </c>
      <c r="K64" s="42">
        <f>'дод. 4'!K102</f>
        <v>0</v>
      </c>
      <c r="L64" s="42">
        <f>'дод. 4'!L102</f>
        <v>0</v>
      </c>
      <c r="M64" s="42">
        <f>'дод. 4'!M102</f>
        <v>0</v>
      </c>
      <c r="N64" s="42">
        <f>'дод. 4'!N102</f>
        <v>0</v>
      </c>
      <c r="O64" s="42">
        <f>'дод. 4'!O102</f>
        <v>0</v>
      </c>
      <c r="P64" s="42">
        <f aca="true" t="shared" si="12" ref="P64:P116">E64+J64</f>
        <v>4278400</v>
      </c>
      <c r="Q64" s="120"/>
    </row>
    <row r="65" spans="1:17" s="20" customFormat="1" ht="15">
      <c r="A65" s="18"/>
      <c r="B65" s="21"/>
      <c r="C65" s="21"/>
      <c r="D65" s="22" t="s">
        <v>262</v>
      </c>
      <c r="E65" s="42">
        <f aca="true" t="shared" si="13" ref="E65:E116">F65+I65</f>
        <v>4278400</v>
      </c>
      <c r="F65" s="42">
        <f>'дод. 4'!F103</f>
        <v>4278400</v>
      </c>
      <c r="G65" s="42">
        <f>'дод. 4'!G103</f>
        <v>0</v>
      </c>
      <c r="H65" s="42">
        <f>'дод. 4'!H103</f>
        <v>0</v>
      </c>
      <c r="I65" s="42">
        <f>'дод. 4'!I103</f>
        <v>0</v>
      </c>
      <c r="J65" s="42">
        <f aca="true" t="shared" si="14" ref="J65:J116">K65+N65</f>
        <v>0</v>
      </c>
      <c r="K65" s="42">
        <f>'дод. 4'!K103</f>
        <v>0</v>
      </c>
      <c r="L65" s="42">
        <f>'дод. 4'!L103</f>
        <v>0</v>
      </c>
      <c r="M65" s="42">
        <f>'дод. 4'!M103</f>
        <v>0</v>
      </c>
      <c r="N65" s="42">
        <f>'дод. 4'!N103</f>
        <v>0</v>
      </c>
      <c r="O65" s="42">
        <f>'дод. 4'!O103</f>
        <v>0</v>
      </c>
      <c r="P65" s="42">
        <f t="shared" si="12"/>
        <v>4278400</v>
      </c>
      <c r="Q65" s="120"/>
    </row>
    <row r="66" spans="1:17" s="20" customFormat="1" ht="90">
      <c r="A66" s="18"/>
      <c r="B66" s="21" t="s">
        <v>332</v>
      </c>
      <c r="C66" s="21" t="s">
        <v>164</v>
      </c>
      <c r="D66" s="22" t="s">
        <v>333</v>
      </c>
      <c r="E66" s="42">
        <f>F66+I66</f>
        <v>94003</v>
      </c>
      <c r="F66" s="42">
        <f>'дод. 4'!F104</f>
        <v>94003</v>
      </c>
      <c r="G66" s="42">
        <f>'дод. 4'!G104</f>
        <v>0</v>
      </c>
      <c r="H66" s="42">
        <f>'дод. 4'!H104</f>
        <v>0</v>
      </c>
      <c r="I66" s="42">
        <f>'дод. 4'!I104</f>
        <v>0</v>
      </c>
      <c r="J66" s="42">
        <f>K66+N66</f>
        <v>0</v>
      </c>
      <c r="K66" s="42">
        <f>'дод. 4'!K104</f>
        <v>0</v>
      </c>
      <c r="L66" s="42">
        <f>'дод. 4'!L104</f>
        <v>0</v>
      </c>
      <c r="M66" s="42">
        <f>'дод. 4'!M104</f>
        <v>0</v>
      </c>
      <c r="N66" s="42">
        <f>'дод. 4'!N104</f>
        <v>0</v>
      </c>
      <c r="O66" s="42">
        <f>'дод. 4'!O104</f>
        <v>0</v>
      </c>
      <c r="P66" s="42">
        <f>E66+J66</f>
        <v>94003</v>
      </c>
      <c r="Q66" s="120"/>
    </row>
    <row r="67" spans="1:17" s="20" customFormat="1" ht="197.25" customHeight="1">
      <c r="A67" s="18"/>
      <c r="B67" s="21" t="s">
        <v>295</v>
      </c>
      <c r="C67" s="21" t="s">
        <v>164</v>
      </c>
      <c r="D67" s="22" t="s">
        <v>296</v>
      </c>
      <c r="E67" s="42">
        <f t="shared" si="13"/>
        <v>110300</v>
      </c>
      <c r="F67" s="42">
        <f>'дод. 4'!F105</f>
        <v>110300</v>
      </c>
      <c r="G67" s="42">
        <f>'дод. 4'!G105</f>
        <v>0</v>
      </c>
      <c r="H67" s="42">
        <f>'дод. 4'!H105</f>
        <v>0</v>
      </c>
      <c r="I67" s="42">
        <f>'дод. 4'!I105</f>
        <v>0</v>
      </c>
      <c r="J67" s="42">
        <f t="shared" si="14"/>
        <v>0</v>
      </c>
      <c r="K67" s="42">
        <f>'дод. 4'!K105</f>
        <v>0</v>
      </c>
      <c r="L67" s="42">
        <f>'дод. 4'!L105</f>
        <v>0</v>
      </c>
      <c r="M67" s="42">
        <f>'дод. 4'!M105</f>
        <v>0</v>
      </c>
      <c r="N67" s="42">
        <f>'дод. 4'!N105</f>
        <v>0</v>
      </c>
      <c r="O67" s="42">
        <f>'дод. 4'!O105</f>
        <v>0</v>
      </c>
      <c r="P67" s="42">
        <f t="shared" si="12"/>
        <v>110300</v>
      </c>
      <c r="Q67" s="120" t="s">
        <v>355</v>
      </c>
    </row>
    <row r="68" spans="1:17" s="20" customFormat="1" ht="15">
      <c r="A68" s="18"/>
      <c r="B68" s="21"/>
      <c r="C68" s="21"/>
      <c r="D68" s="22" t="s">
        <v>262</v>
      </c>
      <c r="E68" s="42">
        <f t="shared" si="13"/>
        <v>110300</v>
      </c>
      <c r="F68" s="42">
        <f>'дод. 4'!F106</f>
        <v>110300</v>
      </c>
      <c r="G68" s="42">
        <f>'дод. 4'!G106</f>
        <v>0</v>
      </c>
      <c r="H68" s="42">
        <f>'дод. 4'!H106</f>
        <v>0</v>
      </c>
      <c r="I68" s="42">
        <f>'дод. 4'!I106</f>
        <v>0</v>
      </c>
      <c r="J68" s="42">
        <f t="shared" si="14"/>
        <v>0</v>
      </c>
      <c r="K68" s="42">
        <f>'дод. 4'!K106</f>
        <v>0</v>
      </c>
      <c r="L68" s="42">
        <f>'дод. 4'!L106</f>
        <v>0</v>
      </c>
      <c r="M68" s="42">
        <f>'дод. 4'!M106</f>
        <v>0</v>
      </c>
      <c r="N68" s="42">
        <f>'дод. 4'!N106</f>
        <v>0</v>
      </c>
      <c r="O68" s="42">
        <f>'дод. 4'!O106</f>
        <v>0</v>
      </c>
      <c r="P68" s="42">
        <f t="shared" si="12"/>
        <v>110300</v>
      </c>
      <c r="Q68" s="120"/>
    </row>
    <row r="69" spans="1:17" s="20" customFormat="1" ht="45">
      <c r="A69" s="18"/>
      <c r="B69" s="21" t="s">
        <v>205</v>
      </c>
      <c r="C69" s="21" t="s">
        <v>164</v>
      </c>
      <c r="D69" s="22" t="s">
        <v>206</v>
      </c>
      <c r="E69" s="42">
        <f t="shared" si="13"/>
        <v>882700</v>
      </c>
      <c r="F69" s="42">
        <f>'дод. 4'!F107</f>
        <v>882700</v>
      </c>
      <c r="G69" s="42">
        <f>'дод. 4'!G107</f>
        <v>0</v>
      </c>
      <c r="H69" s="42">
        <f>'дод. 4'!H107</f>
        <v>0</v>
      </c>
      <c r="I69" s="42">
        <f>'дод. 4'!I107</f>
        <v>0</v>
      </c>
      <c r="J69" s="42">
        <f t="shared" si="14"/>
        <v>0</v>
      </c>
      <c r="K69" s="42">
        <f>'дод. 4'!K107</f>
        <v>0</v>
      </c>
      <c r="L69" s="42">
        <f>'дод. 4'!L107</f>
        <v>0</v>
      </c>
      <c r="M69" s="42">
        <f>'дод. 4'!M107</f>
        <v>0</v>
      </c>
      <c r="N69" s="42">
        <f>'дод. 4'!N107</f>
        <v>0</v>
      </c>
      <c r="O69" s="42">
        <f>'дод. 4'!O107</f>
        <v>0</v>
      </c>
      <c r="P69" s="42">
        <f t="shared" si="12"/>
        <v>882700</v>
      </c>
      <c r="Q69" s="120"/>
    </row>
    <row r="70" spans="1:17" s="20" customFormat="1" ht="30">
      <c r="A70" s="18"/>
      <c r="B70" s="21" t="s">
        <v>334</v>
      </c>
      <c r="C70" s="21" t="s">
        <v>164</v>
      </c>
      <c r="D70" s="22" t="s">
        <v>335</v>
      </c>
      <c r="E70" s="42">
        <f>F70+I70</f>
        <v>1439932</v>
      </c>
      <c r="F70" s="42">
        <f>'дод. 4'!F108</f>
        <v>1439932</v>
      </c>
      <c r="G70" s="42">
        <f>'дод. 4'!G108</f>
        <v>0</v>
      </c>
      <c r="H70" s="42">
        <f>'дод. 4'!H108</f>
        <v>0</v>
      </c>
      <c r="I70" s="42">
        <f>'дод. 4'!I108</f>
        <v>0</v>
      </c>
      <c r="J70" s="42">
        <f>K70+N70</f>
        <v>0</v>
      </c>
      <c r="K70" s="42">
        <f>'дод. 4'!K108</f>
        <v>0</v>
      </c>
      <c r="L70" s="42">
        <f>'дод. 4'!L108</f>
        <v>0</v>
      </c>
      <c r="M70" s="42">
        <f>'дод. 4'!M108</f>
        <v>0</v>
      </c>
      <c r="N70" s="42">
        <f>'дод. 4'!N108</f>
        <v>0</v>
      </c>
      <c r="O70" s="42">
        <f>'дод. 4'!O108</f>
        <v>0</v>
      </c>
      <c r="P70" s="42">
        <f>E70+J70</f>
        <v>1439932</v>
      </c>
      <c r="Q70" s="120"/>
    </row>
    <row r="71" spans="1:17" s="20" customFormat="1" ht="150">
      <c r="A71" s="18"/>
      <c r="B71" s="21" t="s">
        <v>297</v>
      </c>
      <c r="C71" s="21" t="s">
        <v>164</v>
      </c>
      <c r="D71" s="22" t="s">
        <v>298</v>
      </c>
      <c r="E71" s="42">
        <f t="shared" si="13"/>
        <v>2195200</v>
      </c>
      <c r="F71" s="42">
        <f>'дод. 4'!F109</f>
        <v>2195200</v>
      </c>
      <c r="G71" s="42">
        <f>'дод. 4'!G109</f>
        <v>0</v>
      </c>
      <c r="H71" s="42">
        <f>'дод. 4'!H109</f>
        <v>0</v>
      </c>
      <c r="I71" s="42">
        <f>'дод. 4'!I109</f>
        <v>0</v>
      </c>
      <c r="J71" s="42">
        <f t="shared" si="14"/>
        <v>0</v>
      </c>
      <c r="K71" s="42">
        <f>'дод. 4'!K109</f>
        <v>0</v>
      </c>
      <c r="L71" s="42">
        <f>'дод. 4'!L109</f>
        <v>0</v>
      </c>
      <c r="M71" s="42">
        <f>'дод. 4'!M109</f>
        <v>0</v>
      </c>
      <c r="N71" s="42">
        <f>'дод. 4'!N109</f>
        <v>0</v>
      </c>
      <c r="O71" s="42">
        <f>'дод. 4'!O109</f>
        <v>0</v>
      </c>
      <c r="P71" s="42">
        <f t="shared" si="12"/>
        <v>2195200</v>
      </c>
      <c r="Q71" s="120"/>
    </row>
    <row r="72" spans="1:17" s="20" customFormat="1" ht="15">
      <c r="A72" s="18"/>
      <c r="B72" s="21"/>
      <c r="C72" s="21"/>
      <c r="D72" s="22" t="s">
        <v>262</v>
      </c>
      <c r="E72" s="42">
        <f t="shared" si="13"/>
        <v>2195200</v>
      </c>
      <c r="F72" s="42">
        <f>'дод. 4'!F110</f>
        <v>2195200</v>
      </c>
      <c r="G72" s="42">
        <f>'дод. 4'!G110</f>
        <v>0</v>
      </c>
      <c r="H72" s="42">
        <f>'дод. 4'!H110</f>
        <v>0</v>
      </c>
      <c r="I72" s="42">
        <f>'дод. 4'!I110</f>
        <v>0</v>
      </c>
      <c r="J72" s="42">
        <f t="shared" si="14"/>
        <v>0</v>
      </c>
      <c r="K72" s="42">
        <f>'дод. 4'!K110</f>
        <v>0</v>
      </c>
      <c r="L72" s="42">
        <f>'дод. 4'!L110</f>
        <v>0</v>
      </c>
      <c r="M72" s="42">
        <f>'дод. 4'!M110</f>
        <v>0</v>
      </c>
      <c r="N72" s="42">
        <f>'дод. 4'!N110</f>
        <v>0</v>
      </c>
      <c r="O72" s="42">
        <f>'дод. 4'!O110</f>
        <v>0</v>
      </c>
      <c r="P72" s="42">
        <f t="shared" si="12"/>
        <v>2195200</v>
      </c>
      <c r="Q72" s="120"/>
    </row>
    <row r="73" spans="1:17" s="20" customFormat="1" ht="150">
      <c r="A73" s="18"/>
      <c r="B73" s="24" t="s">
        <v>299</v>
      </c>
      <c r="C73" s="24" t="s">
        <v>164</v>
      </c>
      <c r="D73" s="22" t="s">
        <v>300</v>
      </c>
      <c r="E73" s="42">
        <f t="shared" si="13"/>
        <v>6754.88</v>
      </c>
      <c r="F73" s="42">
        <f>'дод. 4'!F111</f>
        <v>6754.88</v>
      </c>
      <c r="G73" s="42">
        <f>'дод. 4'!G111</f>
        <v>0</v>
      </c>
      <c r="H73" s="42">
        <f>'дод. 4'!H111</f>
        <v>0</v>
      </c>
      <c r="I73" s="42">
        <f>'дод. 4'!I111</f>
        <v>0</v>
      </c>
      <c r="J73" s="42">
        <f t="shared" si="14"/>
        <v>0</v>
      </c>
      <c r="K73" s="42">
        <f>'дод. 4'!K111</f>
        <v>0</v>
      </c>
      <c r="L73" s="42">
        <f>'дод. 4'!L111</f>
        <v>0</v>
      </c>
      <c r="M73" s="42">
        <f>'дод. 4'!M111</f>
        <v>0</v>
      </c>
      <c r="N73" s="42">
        <f>'дод. 4'!N111</f>
        <v>0</v>
      </c>
      <c r="O73" s="42">
        <f>'дод. 4'!O111</f>
        <v>0</v>
      </c>
      <c r="P73" s="42">
        <f t="shared" si="12"/>
        <v>6754.88</v>
      </c>
      <c r="Q73" s="120"/>
    </row>
    <row r="74" spans="1:17" s="20" customFormat="1" ht="15">
      <c r="A74" s="18"/>
      <c r="B74" s="24"/>
      <c r="C74" s="24"/>
      <c r="D74" s="22" t="s">
        <v>262</v>
      </c>
      <c r="E74" s="42">
        <f t="shared" si="13"/>
        <v>6754.88</v>
      </c>
      <c r="F74" s="42">
        <f>'дод. 4'!F112</f>
        <v>6754.88</v>
      </c>
      <c r="G74" s="42">
        <f>'дод. 4'!G112</f>
        <v>0</v>
      </c>
      <c r="H74" s="42">
        <f>'дод. 4'!H112</f>
        <v>0</v>
      </c>
      <c r="I74" s="42">
        <f>'дод. 4'!I112</f>
        <v>0</v>
      </c>
      <c r="J74" s="42">
        <f t="shared" si="14"/>
        <v>0</v>
      </c>
      <c r="K74" s="42">
        <f>'дод. 4'!K112</f>
        <v>0</v>
      </c>
      <c r="L74" s="42">
        <f>'дод. 4'!L112</f>
        <v>0</v>
      </c>
      <c r="M74" s="42">
        <f>'дод. 4'!M112</f>
        <v>0</v>
      </c>
      <c r="N74" s="42">
        <f>'дод. 4'!N112</f>
        <v>0</v>
      </c>
      <c r="O74" s="42">
        <f>'дод. 4'!O112</f>
        <v>0</v>
      </c>
      <c r="P74" s="42">
        <f t="shared" si="12"/>
        <v>6754.88</v>
      </c>
      <c r="Q74" s="120"/>
    </row>
    <row r="75" spans="1:17" s="20" customFormat="1" ht="30">
      <c r="A75" s="18"/>
      <c r="B75" s="21" t="s">
        <v>263</v>
      </c>
      <c r="C75" s="21" t="s">
        <v>139</v>
      </c>
      <c r="D75" s="22" t="s">
        <v>264</v>
      </c>
      <c r="E75" s="42">
        <f t="shared" si="13"/>
        <v>2382400</v>
      </c>
      <c r="F75" s="42">
        <f>'дод. 4'!F113</f>
        <v>2382400</v>
      </c>
      <c r="G75" s="42">
        <f>'дод. 4'!G113</f>
        <v>0</v>
      </c>
      <c r="H75" s="42">
        <f>'дод. 4'!H113</f>
        <v>0</v>
      </c>
      <c r="I75" s="42">
        <f>'дод. 4'!I113</f>
        <v>0</v>
      </c>
      <c r="J75" s="42">
        <f t="shared" si="14"/>
        <v>0</v>
      </c>
      <c r="K75" s="42">
        <f>'дод. 4'!K113</f>
        <v>0</v>
      </c>
      <c r="L75" s="42">
        <f>'дод. 4'!L113</f>
        <v>0</v>
      </c>
      <c r="M75" s="42">
        <f>'дод. 4'!M113</f>
        <v>0</v>
      </c>
      <c r="N75" s="42">
        <f>'дод. 4'!N113</f>
        <v>0</v>
      </c>
      <c r="O75" s="42">
        <f>'дод. 4'!O113</f>
        <v>0</v>
      </c>
      <c r="P75" s="42">
        <f t="shared" si="12"/>
        <v>2382400</v>
      </c>
      <c r="Q75" s="120"/>
    </row>
    <row r="76" spans="1:17" s="20" customFormat="1" ht="15">
      <c r="A76" s="18"/>
      <c r="B76" s="21"/>
      <c r="C76" s="21"/>
      <c r="D76" s="22" t="s">
        <v>262</v>
      </c>
      <c r="E76" s="42">
        <f t="shared" si="13"/>
        <v>2382400</v>
      </c>
      <c r="F76" s="42">
        <f>'дод. 4'!F114</f>
        <v>2382400</v>
      </c>
      <c r="G76" s="42">
        <f>'дод. 4'!G114</f>
        <v>0</v>
      </c>
      <c r="H76" s="42">
        <f>'дод. 4'!H114</f>
        <v>0</v>
      </c>
      <c r="I76" s="42">
        <f>'дод. 4'!I114</f>
        <v>0</v>
      </c>
      <c r="J76" s="42">
        <f t="shared" si="14"/>
        <v>0</v>
      </c>
      <c r="K76" s="42">
        <f>'дод. 4'!K114</f>
        <v>0</v>
      </c>
      <c r="L76" s="42">
        <f>'дод. 4'!L114</f>
        <v>0</v>
      </c>
      <c r="M76" s="42">
        <f>'дод. 4'!M114</f>
        <v>0</v>
      </c>
      <c r="N76" s="42">
        <f>'дод. 4'!N114</f>
        <v>0</v>
      </c>
      <c r="O76" s="42">
        <f>'дод. 4'!O114</f>
        <v>0</v>
      </c>
      <c r="P76" s="42">
        <f t="shared" si="12"/>
        <v>2382400</v>
      </c>
      <c r="Q76" s="120"/>
    </row>
    <row r="77" spans="1:17" s="20" customFormat="1" ht="30">
      <c r="A77" s="18"/>
      <c r="B77" s="21" t="s">
        <v>265</v>
      </c>
      <c r="C77" s="21" t="s">
        <v>139</v>
      </c>
      <c r="D77" s="22" t="s">
        <v>266</v>
      </c>
      <c r="E77" s="42">
        <f t="shared" si="13"/>
        <v>2002000</v>
      </c>
      <c r="F77" s="42">
        <f>'дод. 4'!F115</f>
        <v>2002000</v>
      </c>
      <c r="G77" s="42">
        <f>'дод. 4'!G115</f>
        <v>0</v>
      </c>
      <c r="H77" s="42">
        <f>'дод. 4'!H115</f>
        <v>0</v>
      </c>
      <c r="I77" s="42">
        <f>'дод. 4'!I115</f>
        <v>0</v>
      </c>
      <c r="J77" s="42">
        <f t="shared" si="14"/>
        <v>0</v>
      </c>
      <c r="K77" s="42">
        <f>'дод. 4'!K115</f>
        <v>0</v>
      </c>
      <c r="L77" s="42">
        <f>'дод. 4'!L115</f>
        <v>0</v>
      </c>
      <c r="M77" s="42">
        <f>'дод. 4'!M115</f>
        <v>0</v>
      </c>
      <c r="N77" s="42">
        <f>'дод. 4'!N115</f>
        <v>0</v>
      </c>
      <c r="O77" s="42">
        <f>'дод. 4'!O115</f>
        <v>0</v>
      </c>
      <c r="P77" s="42">
        <f t="shared" si="12"/>
        <v>2002000</v>
      </c>
      <c r="Q77" s="120"/>
    </row>
    <row r="78" spans="1:17" s="20" customFormat="1" ht="15">
      <c r="A78" s="18"/>
      <c r="B78" s="21"/>
      <c r="C78" s="21"/>
      <c r="D78" s="22" t="s">
        <v>262</v>
      </c>
      <c r="E78" s="42">
        <f t="shared" si="13"/>
        <v>2002000</v>
      </c>
      <c r="F78" s="42">
        <f>'дод. 4'!F116</f>
        <v>2002000</v>
      </c>
      <c r="G78" s="42">
        <f>'дод. 4'!G116</f>
        <v>0</v>
      </c>
      <c r="H78" s="42">
        <f>'дод. 4'!H116</f>
        <v>0</v>
      </c>
      <c r="I78" s="42">
        <f>'дод. 4'!I116</f>
        <v>0</v>
      </c>
      <c r="J78" s="42">
        <f t="shared" si="14"/>
        <v>0</v>
      </c>
      <c r="K78" s="42">
        <f>'дод. 4'!K116</f>
        <v>0</v>
      </c>
      <c r="L78" s="42">
        <f>'дод. 4'!L116</f>
        <v>0</v>
      </c>
      <c r="M78" s="42">
        <f>'дод. 4'!M116</f>
        <v>0</v>
      </c>
      <c r="N78" s="42">
        <f>'дод. 4'!N116</f>
        <v>0</v>
      </c>
      <c r="O78" s="42">
        <f>'дод. 4'!O116</f>
        <v>0</v>
      </c>
      <c r="P78" s="42">
        <f t="shared" si="12"/>
        <v>2002000</v>
      </c>
      <c r="Q78" s="120"/>
    </row>
    <row r="79" spans="1:17" s="20" customFormat="1" ht="15">
      <c r="A79" s="18"/>
      <c r="B79" s="21" t="s">
        <v>267</v>
      </c>
      <c r="C79" s="21" t="s">
        <v>139</v>
      </c>
      <c r="D79" s="22" t="s">
        <v>268</v>
      </c>
      <c r="E79" s="42">
        <f t="shared" si="13"/>
        <v>131914300</v>
      </c>
      <c r="F79" s="42">
        <f>'дод. 4'!F117</f>
        <v>131914300</v>
      </c>
      <c r="G79" s="42">
        <f>'дод. 4'!G117</f>
        <v>0</v>
      </c>
      <c r="H79" s="42">
        <f>'дод. 4'!H117</f>
        <v>0</v>
      </c>
      <c r="I79" s="42">
        <f>'дод. 4'!I117</f>
        <v>0</v>
      </c>
      <c r="J79" s="42">
        <f t="shared" si="14"/>
        <v>0</v>
      </c>
      <c r="K79" s="42">
        <f>'дод. 4'!K117</f>
        <v>0</v>
      </c>
      <c r="L79" s="42">
        <f>'дод. 4'!L117</f>
        <v>0</v>
      </c>
      <c r="M79" s="42">
        <f>'дод. 4'!M117</f>
        <v>0</v>
      </c>
      <c r="N79" s="42">
        <f>'дод. 4'!N117</f>
        <v>0</v>
      </c>
      <c r="O79" s="42">
        <f>'дод. 4'!O117</f>
        <v>0</v>
      </c>
      <c r="P79" s="42">
        <f t="shared" si="12"/>
        <v>131914300</v>
      </c>
      <c r="Q79" s="120"/>
    </row>
    <row r="80" spans="1:17" s="20" customFormat="1" ht="15">
      <c r="A80" s="18"/>
      <c r="B80" s="21"/>
      <c r="C80" s="21"/>
      <c r="D80" s="22" t="s">
        <v>262</v>
      </c>
      <c r="E80" s="42">
        <f t="shared" si="13"/>
        <v>131914300</v>
      </c>
      <c r="F80" s="42">
        <f>'дод. 4'!F118</f>
        <v>131914300</v>
      </c>
      <c r="G80" s="42">
        <f>'дод. 4'!G118</f>
        <v>0</v>
      </c>
      <c r="H80" s="42">
        <f>'дод. 4'!H118</f>
        <v>0</v>
      </c>
      <c r="I80" s="42">
        <f>'дод. 4'!I118</f>
        <v>0</v>
      </c>
      <c r="J80" s="42">
        <f t="shared" si="14"/>
        <v>0</v>
      </c>
      <c r="K80" s="42">
        <f>'дод. 4'!K118</f>
        <v>0</v>
      </c>
      <c r="L80" s="42">
        <f>'дод. 4'!L118</f>
        <v>0</v>
      </c>
      <c r="M80" s="42">
        <f>'дод. 4'!M118</f>
        <v>0</v>
      </c>
      <c r="N80" s="42">
        <f>'дод. 4'!N118</f>
        <v>0</v>
      </c>
      <c r="O80" s="42">
        <f>'дод. 4'!O118</f>
        <v>0</v>
      </c>
      <c r="P80" s="42">
        <f t="shared" si="12"/>
        <v>131914300</v>
      </c>
      <c r="Q80" s="120"/>
    </row>
    <row r="81" spans="1:17" s="20" customFormat="1" ht="30">
      <c r="A81" s="18"/>
      <c r="B81" s="21" t="s">
        <v>269</v>
      </c>
      <c r="C81" s="21" t="s">
        <v>139</v>
      </c>
      <c r="D81" s="22" t="s">
        <v>270</v>
      </c>
      <c r="E81" s="42">
        <f t="shared" si="13"/>
        <v>5906000</v>
      </c>
      <c r="F81" s="42">
        <f>'дод. 4'!F119</f>
        <v>5906000</v>
      </c>
      <c r="G81" s="42">
        <f>'дод. 4'!G119</f>
        <v>0</v>
      </c>
      <c r="H81" s="42">
        <f>'дод. 4'!H119</f>
        <v>0</v>
      </c>
      <c r="I81" s="42">
        <f>'дод. 4'!I119</f>
        <v>0</v>
      </c>
      <c r="J81" s="42">
        <f t="shared" si="14"/>
        <v>0</v>
      </c>
      <c r="K81" s="42">
        <f>'дод. 4'!K119</f>
        <v>0</v>
      </c>
      <c r="L81" s="42">
        <f>'дод. 4'!L119</f>
        <v>0</v>
      </c>
      <c r="M81" s="42">
        <f>'дод. 4'!M119</f>
        <v>0</v>
      </c>
      <c r="N81" s="42">
        <f>'дод. 4'!N119</f>
        <v>0</v>
      </c>
      <c r="O81" s="42">
        <f>'дод. 4'!O119</f>
        <v>0</v>
      </c>
      <c r="P81" s="42">
        <f t="shared" si="12"/>
        <v>5906000</v>
      </c>
      <c r="Q81" s="120" t="s">
        <v>356</v>
      </c>
    </row>
    <row r="82" spans="1:17" s="20" customFormat="1" ht="15">
      <c r="A82" s="18"/>
      <c r="B82" s="21"/>
      <c r="C82" s="21"/>
      <c r="D82" s="22" t="s">
        <v>262</v>
      </c>
      <c r="E82" s="42">
        <f t="shared" si="13"/>
        <v>5906000</v>
      </c>
      <c r="F82" s="42">
        <f>'дод. 4'!F120</f>
        <v>5906000</v>
      </c>
      <c r="G82" s="42">
        <f>'дод. 4'!G120</f>
        <v>0</v>
      </c>
      <c r="H82" s="42">
        <f>'дод. 4'!H120</f>
        <v>0</v>
      </c>
      <c r="I82" s="42">
        <f>'дод. 4'!I120</f>
        <v>0</v>
      </c>
      <c r="J82" s="42">
        <f t="shared" si="14"/>
        <v>0</v>
      </c>
      <c r="K82" s="42">
        <f>'дод. 4'!K120</f>
        <v>0</v>
      </c>
      <c r="L82" s="42">
        <f>'дод. 4'!L120</f>
        <v>0</v>
      </c>
      <c r="M82" s="42">
        <f>'дод. 4'!M120</f>
        <v>0</v>
      </c>
      <c r="N82" s="42">
        <f>'дод. 4'!N120</f>
        <v>0</v>
      </c>
      <c r="O82" s="42">
        <f>'дод. 4'!O120</f>
        <v>0</v>
      </c>
      <c r="P82" s="42">
        <f t="shared" si="12"/>
        <v>5906000</v>
      </c>
      <c r="Q82" s="120"/>
    </row>
    <row r="83" spans="1:17" s="20" customFormat="1" ht="15">
      <c r="A83" s="18"/>
      <c r="B83" s="21" t="s">
        <v>271</v>
      </c>
      <c r="C83" s="21" t="s">
        <v>139</v>
      </c>
      <c r="D83" s="22" t="s">
        <v>272</v>
      </c>
      <c r="E83" s="42">
        <f t="shared" si="13"/>
        <v>23667842</v>
      </c>
      <c r="F83" s="42">
        <f>'дод. 4'!F121</f>
        <v>23667842</v>
      </c>
      <c r="G83" s="42">
        <f>'дод. 4'!G121</f>
        <v>0</v>
      </c>
      <c r="H83" s="42">
        <f>'дод. 4'!H121</f>
        <v>0</v>
      </c>
      <c r="I83" s="42">
        <f>'дод. 4'!I121</f>
        <v>0</v>
      </c>
      <c r="J83" s="42">
        <f t="shared" si="14"/>
        <v>0</v>
      </c>
      <c r="K83" s="42">
        <f>'дод. 4'!K121</f>
        <v>0</v>
      </c>
      <c r="L83" s="42">
        <f>'дод. 4'!L121</f>
        <v>0</v>
      </c>
      <c r="M83" s="42">
        <f>'дод. 4'!M121</f>
        <v>0</v>
      </c>
      <c r="N83" s="42">
        <f>'дод. 4'!N121</f>
        <v>0</v>
      </c>
      <c r="O83" s="42">
        <f>'дод. 4'!O121</f>
        <v>0</v>
      </c>
      <c r="P83" s="42">
        <f t="shared" si="12"/>
        <v>23667842</v>
      </c>
      <c r="Q83" s="120"/>
    </row>
    <row r="84" spans="1:17" s="20" customFormat="1" ht="15">
      <c r="A84" s="18"/>
      <c r="B84" s="21"/>
      <c r="C84" s="21"/>
      <c r="D84" s="22" t="s">
        <v>262</v>
      </c>
      <c r="E84" s="42">
        <f t="shared" si="13"/>
        <v>23667842</v>
      </c>
      <c r="F84" s="42">
        <f>'дод. 4'!F122</f>
        <v>23667842</v>
      </c>
      <c r="G84" s="42">
        <f>'дод. 4'!G122</f>
        <v>0</v>
      </c>
      <c r="H84" s="42">
        <f>'дод. 4'!H122</f>
        <v>0</v>
      </c>
      <c r="I84" s="42">
        <f>'дод. 4'!I122</f>
        <v>0</v>
      </c>
      <c r="J84" s="42">
        <f t="shared" si="14"/>
        <v>0</v>
      </c>
      <c r="K84" s="42">
        <f>'дод. 4'!K122</f>
        <v>0</v>
      </c>
      <c r="L84" s="42">
        <f>'дод. 4'!L122</f>
        <v>0</v>
      </c>
      <c r="M84" s="42">
        <f>'дод. 4'!M122</f>
        <v>0</v>
      </c>
      <c r="N84" s="42">
        <f>'дод. 4'!N122</f>
        <v>0</v>
      </c>
      <c r="O84" s="42">
        <f>'дод. 4'!O122</f>
        <v>0</v>
      </c>
      <c r="P84" s="42">
        <f t="shared" si="12"/>
        <v>23667842</v>
      </c>
      <c r="Q84" s="120"/>
    </row>
    <row r="85" spans="1:17" s="20" customFormat="1" ht="15">
      <c r="A85" s="18"/>
      <c r="B85" s="21" t="s">
        <v>273</v>
      </c>
      <c r="C85" s="21" t="s">
        <v>139</v>
      </c>
      <c r="D85" s="22" t="s">
        <v>274</v>
      </c>
      <c r="E85" s="42">
        <f t="shared" si="13"/>
        <v>1144200</v>
      </c>
      <c r="F85" s="42">
        <f>'дод. 4'!F123</f>
        <v>1144200</v>
      </c>
      <c r="G85" s="42">
        <f>'дод. 4'!G123</f>
        <v>0</v>
      </c>
      <c r="H85" s="42">
        <f>'дод. 4'!H123</f>
        <v>0</v>
      </c>
      <c r="I85" s="42">
        <f>'дод. 4'!I123</f>
        <v>0</v>
      </c>
      <c r="J85" s="42">
        <f t="shared" si="14"/>
        <v>0</v>
      </c>
      <c r="K85" s="42">
        <f>'дод. 4'!K123</f>
        <v>0</v>
      </c>
      <c r="L85" s="42">
        <f>'дод. 4'!L123</f>
        <v>0</v>
      </c>
      <c r="M85" s="42">
        <f>'дод. 4'!M123</f>
        <v>0</v>
      </c>
      <c r="N85" s="42">
        <f>'дод. 4'!N123</f>
        <v>0</v>
      </c>
      <c r="O85" s="42">
        <f>'дод. 4'!O123</f>
        <v>0</v>
      </c>
      <c r="P85" s="42">
        <f t="shared" si="12"/>
        <v>1144200</v>
      </c>
      <c r="Q85" s="120"/>
    </row>
    <row r="86" spans="1:17" s="20" customFormat="1" ht="15">
      <c r="A86" s="18"/>
      <c r="B86" s="21"/>
      <c r="C86" s="21"/>
      <c r="D86" s="22" t="s">
        <v>262</v>
      </c>
      <c r="E86" s="42">
        <f t="shared" si="13"/>
        <v>1144200</v>
      </c>
      <c r="F86" s="42">
        <f>'дод. 4'!F124</f>
        <v>1144200</v>
      </c>
      <c r="G86" s="42">
        <f>'дод. 4'!G124</f>
        <v>0</v>
      </c>
      <c r="H86" s="42">
        <f>'дод. 4'!H124</f>
        <v>0</v>
      </c>
      <c r="I86" s="42">
        <f>'дод. 4'!I124</f>
        <v>0</v>
      </c>
      <c r="J86" s="42">
        <f t="shared" si="14"/>
        <v>0</v>
      </c>
      <c r="K86" s="42">
        <f>'дод. 4'!K124</f>
        <v>0</v>
      </c>
      <c r="L86" s="42">
        <f>'дод. 4'!L124</f>
        <v>0</v>
      </c>
      <c r="M86" s="42">
        <f>'дод. 4'!M124</f>
        <v>0</v>
      </c>
      <c r="N86" s="42">
        <f>'дод. 4'!N124</f>
        <v>0</v>
      </c>
      <c r="O86" s="42">
        <f>'дод. 4'!O124</f>
        <v>0</v>
      </c>
      <c r="P86" s="42">
        <f t="shared" si="12"/>
        <v>1144200</v>
      </c>
      <c r="Q86" s="120"/>
    </row>
    <row r="87" spans="1:17" s="20" customFormat="1" ht="15">
      <c r="A87" s="18"/>
      <c r="B87" s="21" t="s">
        <v>275</v>
      </c>
      <c r="C87" s="21" t="s">
        <v>139</v>
      </c>
      <c r="D87" s="22" t="s">
        <v>276</v>
      </c>
      <c r="E87" s="42">
        <f t="shared" si="13"/>
        <v>316200</v>
      </c>
      <c r="F87" s="42">
        <f>'дод. 4'!F125</f>
        <v>316200</v>
      </c>
      <c r="G87" s="42">
        <f>'дод. 4'!G125</f>
        <v>0</v>
      </c>
      <c r="H87" s="42">
        <f>'дод. 4'!H125</f>
        <v>0</v>
      </c>
      <c r="I87" s="42">
        <f>'дод. 4'!I125</f>
        <v>0</v>
      </c>
      <c r="J87" s="42">
        <f t="shared" si="14"/>
        <v>0</v>
      </c>
      <c r="K87" s="42">
        <f>'дод. 4'!K125</f>
        <v>0</v>
      </c>
      <c r="L87" s="42">
        <f>'дод. 4'!L125</f>
        <v>0</v>
      </c>
      <c r="M87" s="42">
        <f>'дод. 4'!M125</f>
        <v>0</v>
      </c>
      <c r="N87" s="42">
        <f>'дод. 4'!N125</f>
        <v>0</v>
      </c>
      <c r="O87" s="42">
        <f>'дод. 4'!O125</f>
        <v>0</v>
      </c>
      <c r="P87" s="42">
        <f t="shared" si="12"/>
        <v>316200</v>
      </c>
      <c r="Q87" s="120"/>
    </row>
    <row r="88" spans="1:17" s="20" customFormat="1" ht="15">
      <c r="A88" s="18"/>
      <c r="B88" s="21"/>
      <c r="C88" s="21"/>
      <c r="D88" s="22" t="s">
        <v>262</v>
      </c>
      <c r="E88" s="42">
        <f t="shared" si="13"/>
        <v>316200</v>
      </c>
      <c r="F88" s="42">
        <f>'дод. 4'!F126</f>
        <v>316200</v>
      </c>
      <c r="G88" s="42">
        <f>'дод. 4'!G126</f>
        <v>0</v>
      </c>
      <c r="H88" s="42">
        <f>'дод. 4'!H126</f>
        <v>0</v>
      </c>
      <c r="I88" s="42">
        <f>'дод. 4'!I126</f>
        <v>0</v>
      </c>
      <c r="J88" s="42">
        <f t="shared" si="14"/>
        <v>0</v>
      </c>
      <c r="K88" s="42">
        <f>'дод. 4'!K126</f>
        <v>0</v>
      </c>
      <c r="L88" s="42">
        <f>'дод. 4'!L126</f>
        <v>0</v>
      </c>
      <c r="M88" s="42">
        <f>'дод. 4'!M126</f>
        <v>0</v>
      </c>
      <c r="N88" s="42">
        <f>'дод. 4'!N126</f>
        <v>0</v>
      </c>
      <c r="O88" s="42">
        <f>'дод. 4'!O126</f>
        <v>0</v>
      </c>
      <c r="P88" s="42">
        <f t="shared" si="12"/>
        <v>316200</v>
      </c>
      <c r="Q88" s="120"/>
    </row>
    <row r="89" spans="1:17" s="20" customFormat="1" ht="30">
      <c r="A89" s="18"/>
      <c r="B89" s="21" t="s">
        <v>277</v>
      </c>
      <c r="C89" s="21" t="s">
        <v>139</v>
      </c>
      <c r="D89" s="22" t="s">
        <v>278</v>
      </c>
      <c r="E89" s="42">
        <f t="shared" si="13"/>
        <v>40981400</v>
      </c>
      <c r="F89" s="42">
        <f>'дод. 4'!F127</f>
        <v>40981400</v>
      </c>
      <c r="G89" s="42">
        <f>'дод. 4'!G127</f>
        <v>0</v>
      </c>
      <c r="H89" s="42">
        <f>'дод. 4'!H127</f>
        <v>0</v>
      </c>
      <c r="I89" s="42">
        <f>'дод. 4'!I127</f>
        <v>0</v>
      </c>
      <c r="J89" s="42">
        <f t="shared" si="14"/>
        <v>0</v>
      </c>
      <c r="K89" s="42">
        <f>'дод. 4'!K127</f>
        <v>0</v>
      </c>
      <c r="L89" s="42">
        <f>'дод. 4'!L127</f>
        <v>0</v>
      </c>
      <c r="M89" s="42">
        <f>'дод. 4'!M127</f>
        <v>0</v>
      </c>
      <c r="N89" s="42">
        <f>'дод. 4'!N127</f>
        <v>0</v>
      </c>
      <c r="O89" s="42">
        <f>'дод. 4'!O127</f>
        <v>0</v>
      </c>
      <c r="P89" s="42">
        <f t="shared" si="12"/>
        <v>40981400</v>
      </c>
      <c r="Q89" s="120"/>
    </row>
    <row r="90" spans="1:17" s="20" customFormat="1" ht="15">
      <c r="A90" s="18"/>
      <c r="B90" s="21"/>
      <c r="C90" s="21"/>
      <c r="D90" s="22" t="s">
        <v>262</v>
      </c>
      <c r="E90" s="42">
        <f t="shared" si="13"/>
        <v>40981400</v>
      </c>
      <c r="F90" s="42">
        <f>'дод. 4'!F128</f>
        <v>40981400</v>
      </c>
      <c r="G90" s="42">
        <f>'дод. 4'!G128</f>
        <v>0</v>
      </c>
      <c r="H90" s="42">
        <f>'дод. 4'!H128</f>
        <v>0</v>
      </c>
      <c r="I90" s="42">
        <f>'дод. 4'!I128</f>
        <v>0</v>
      </c>
      <c r="J90" s="42">
        <f t="shared" si="14"/>
        <v>0</v>
      </c>
      <c r="K90" s="42">
        <f>'дод. 4'!K128</f>
        <v>0</v>
      </c>
      <c r="L90" s="42">
        <f>'дод. 4'!L128</f>
        <v>0</v>
      </c>
      <c r="M90" s="42">
        <f>'дод. 4'!M128</f>
        <v>0</v>
      </c>
      <c r="N90" s="42">
        <f>'дод. 4'!N128</f>
        <v>0</v>
      </c>
      <c r="O90" s="42">
        <f>'дод. 4'!O128</f>
        <v>0</v>
      </c>
      <c r="P90" s="42">
        <f t="shared" si="12"/>
        <v>40981400</v>
      </c>
      <c r="Q90" s="120"/>
    </row>
    <row r="91" spans="1:17" s="20" customFormat="1" ht="45">
      <c r="A91" s="18"/>
      <c r="B91" s="21" t="s">
        <v>281</v>
      </c>
      <c r="C91" s="21" t="s">
        <v>165</v>
      </c>
      <c r="D91" s="22" t="s">
        <v>282</v>
      </c>
      <c r="E91" s="42">
        <f t="shared" si="13"/>
        <v>410997000</v>
      </c>
      <c r="F91" s="42">
        <f>'дод. 4'!F129</f>
        <v>410997000</v>
      </c>
      <c r="G91" s="42">
        <f>'дод. 4'!G129</f>
        <v>0</v>
      </c>
      <c r="H91" s="42">
        <f>'дод. 4'!H129</f>
        <v>0</v>
      </c>
      <c r="I91" s="42">
        <f>'дод. 4'!I129</f>
        <v>0</v>
      </c>
      <c r="J91" s="42">
        <f t="shared" si="14"/>
        <v>0</v>
      </c>
      <c r="K91" s="42">
        <f>'дод. 4'!K129</f>
        <v>0</v>
      </c>
      <c r="L91" s="42">
        <f>'дод. 4'!L129</f>
        <v>0</v>
      </c>
      <c r="M91" s="42">
        <f>'дод. 4'!M129</f>
        <v>0</v>
      </c>
      <c r="N91" s="42">
        <f>'дод. 4'!N129</f>
        <v>0</v>
      </c>
      <c r="O91" s="42">
        <f>'дод. 4'!O129</f>
        <v>0</v>
      </c>
      <c r="P91" s="42">
        <f t="shared" si="12"/>
        <v>410997000</v>
      </c>
      <c r="Q91" s="120"/>
    </row>
    <row r="92" spans="1:17" s="20" customFormat="1" ht="15">
      <c r="A92" s="18"/>
      <c r="B92" s="21"/>
      <c r="C92" s="21"/>
      <c r="D92" s="22" t="s">
        <v>262</v>
      </c>
      <c r="E92" s="42">
        <f t="shared" si="13"/>
        <v>410997000</v>
      </c>
      <c r="F92" s="42">
        <f>'дод. 4'!F130</f>
        <v>410997000</v>
      </c>
      <c r="G92" s="42">
        <f>'дод. 4'!G130</f>
        <v>0</v>
      </c>
      <c r="H92" s="42">
        <f>'дод. 4'!H130</f>
        <v>0</v>
      </c>
      <c r="I92" s="42">
        <f>'дод. 4'!I130</f>
        <v>0</v>
      </c>
      <c r="J92" s="42">
        <f t="shared" si="14"/>
        <v>0</v>
      </c>
      <c r="K92" s="42">
        <f>'дод. 4'!K130</f>
        <v>0</v>
      </c>
      <c r="L92" s="42">
        <f>'дод. 4'!L130</f>
        <v>0</v>
      </c>
      <c r="M92" s="42">
        <f>'дод. 4'!M130</f>
        <v>0</v>
      </c>
      <c r="N92" s="42">
        <f>'дод. 4'!N130</f>
        <v>0</v>
      </c>
      <c r="O92" s="42">
        <f>'дод. 4'!O130</f>
        <v>0</v>
      </c>
      <c r="P92" s="42">
        <f t="shared" si="12"/>
        <v>410997000</v>
      </c>
      <c r="Q92" s="120"/>
    </row>
    <row r="93" spans="1:17" s="20" customFormat="1" ht="60">
      <c r="A93" s="18"/>
      <c r="B93" s="21" t="s">
        <v>283</v>
      </c>
      <c r="C93" s="21" t="s">
        <v>165</v>
      </c>
      <c r="D93" s="22" t="s">
        <v>284</v>
      </c>
      <c r="E93" s="42">
        <f t="shared" si="13"/>
        <v>130829.89000000001</v>
      </c>
      <c r="F93" s="42">
        <f>'дод. 4'!F131</f>
        <v>130829.89000000001</v>
      </c>
      <c r="G93" s="42">
        <f>'дод. 4'!G131</f>
        <v>0</v>
      </c>
      <c r="H93" s="42">
        <f>'дод. 4'!H131</f>
        <v>0</v>
      </c>
      <c r="I93" s="42">
        <f>'дод. 4'!I131</f>
        <v>0</v>
      </c>
      <c r="J93" s="42">
        <f t="shared" si="14"/>
        <v>0</v>
      </c>
      <c r="K93" s="42">
        <f>'дод. 4'!K131</f>
        <v>0</v>
      </c>
      <c r="L93" s="42">
        <f>'дод. 4'!L131</f>
        <v>0</v>
      </c>
      <c r="M93" s="42">
        <f>'дод. 4'!M131</f>
        <v>0</v>
      </c>
      <c r="N93" s="42">
        <f>'дод. 4'!N131</f>
        <v>0</v>
      </c>
      <c r="O93" s="42">
        <f>'дод. 4'!O131</f>
        <v>0</v>
      </c>
      <c r="P93" s="42">
        <f t="shared" si="12"/>
        <v>130829.89000000001</v>
      </c>
      <c r="Q93" s="120"/>
    </row>
    <row r="94" spans="1:17" s="20" customFormat="1" ht="15">
      <c r="A94" s="18"/>
      <c r="B94" s="21"/>
      <c r="C94" s="21"/>
      <c r="D94" s="22" t="s">
        <v>262</v>
      </c>
      <c r="E94" s="42">
        <f t="shared" si="13"/>
        <v>130829.89000000001</v>
      </c>
      <c r="F94" s="42">
        <f>'дод. 4'!F132</f>
        <v>130829.89000000001</v>
      </c>
      <c r="G94" s="42">
        <f>'дод. 4'!G132</f>
        <v>0</v>
      </c>
      <c r="H94" s="42">
        <f>'дод. 4'!H132</f>
        <v>0</v>
      </c>
      <c r="I94" s="42">
        <f>'дод. 4'!I132</f>
        <v>0</v>
      </c>
      <c r="J94" s="42">
        <f t="shared" si="14"/>
        <v>0</v>
      </c>
      <c r="K94" s="42">
        <f>'дод. 4'!K132</f>
        <v>0</v>
      </c>
      <c r="L94" s="42">
        <f>'дод. 4'!L132</f>
        <v>0</v>
      </c>
      <c r="M94" s="42">
        <f>'дод. 4'!M132</f>
        <v>0</v>
      </c>
      <c r="N94" s="42">
        <f>'дод. 4'!N132</f>
        <v>0</v>
      </c>
      <c r="O94" s="42">
        <f>'дод. 4'!O132</f>
        <v>0</v>
      </c>
      <c r="P94" s="42">
        <f t="shared" si="12"/>
        <v>130829.89000000001</v>
      </c>
      <c r="Q94" s="120"/>
    </row>
    <row r="95" spans="1:17" s="20" customFormat="1" ht="30">
      <c r="A95" s="18"/>
      <c r="B95" s="21" t="s">
        <v>17</v>
      </c>
      <c r="C95" s="21" t="s">
        <v>138</v>
      </c>
      <c r="D95" s="22" t="s">
        <v>18</v>
      </c>
      <c r="E95" s="42">
        <f t="shared" si="13"/>
        <v>6843809.96</v>
      </c>
      <c r="F95" s="42">
        <f>'дод. 4'!F133+'дод. 4'!F15</f>
        <v>6843809.96</v>
      </c>
      <c r="G95" s="42">
        <f>'дод. 4'!G133+'дод. 4'!G15</f>
        <v>0</v>
      </c>
      <c r="H95" s="42">
        <f>'дод. 4'!H133+'дод. 4'!H15</f>
        <v>0</v>
      </c>
      <c r="I95" s="42">
        <f>'дод. 4'!I133+'дод. 4'!I15</f>
        <v>0</v>
      </c>
      <c r="J95" s="42">
        <f t="shared" si="14"/>
        <v>0</v>
      </c>
      <c r="K95" s="42">
        <f>'дод. 4'!K133+'дод. 4'!K15</f>
        <v>0</v>
      </c>
      <c r="L95" s="42">
        <f>'дод. 4'!L133+'дод. 4'!L15</f>
        <v>0</v>
      </c>
      <c r="M95" s="42">
        <f>'дод. 4'!M133+'дод. 4'!M15</f>
        <v>0</v>
      </c>
      <c r="N95" s="42">
        <f>'дод. 4'!N133+'дод. 4'!N15</f>
        <v>0</v>
      </c>
      <c r="O95" s="42">
        <f>'дод. 4'!O133+'дод. 4'!O15</f>
        <v>0</v>
      </c>
      <c r="P95" s="42">
        <f t="shared" si="12"/>
        <v>6843809.96</v>
      </c>
      <c r="Q95" s="120"/>
    </row>
    <row r="96" spans="1:17" s="20" customFormat="1" ht="30">
      <c r="A96" s="18"/>
      <c r="B96" s="21" t="s">
        <v>279</v>
      </c>
      <c r="C96" s="21" t="s">
        <v>166</v>
      </c>
      <c r="D96" s="22" t="s">
        <v>280</v>
      </c>
      <c r="E96" s="42">
        <f t="shared" si="13"/>
        <v>7746300</v>
      </c>
      <c r="F96" s="42">
        <f>'дод. 4'!F134</f>
        <v>7746300</v>
      </c>
      <c r="G96" s="42"/>
      <c r="H96" s="42"/>
      <c r="I96" s="42"/>
      <c r="J96" s="42">
        <f t="shared" si="14"/>
        <v>0</v>
      </c>
      <c r="K96" s="42"/>
      <c r="L96" s="42"/>
      <c r="M96" s="42"/>
      <c r="N96" s="42"/>
      <c r="O96" s="42"/>
      <c r="P96" s="42">
        <f t="shared" si="12"/>
        <v>7746300</v>
      </c>
      <c r="Q96" s="120"/>
    </row>
    <row r="97" spans="1:17" s="20" customFormat="1" ht="15">
      <c r="A97" s="18"/>
      <c r="B97" s="21"/>
      <c r="C97" s="21"/>
      <c r="D97" s="22" t="s">
        <v>262</v>
      </c>
      <c r="E97" s="42">
        <f t="shared" si="13"/>
        <v>7746300</v>
      </c>
      <c r="F97" s="42">
        <f>'дод. 4'!F135</f>
        <v>7746300</v>
      </c>
      <c r="G97" s="42"/>
      <c r="H97" s="42"/>
      <c r="I97" s="42"/>
      <c r="J97" s="42">
        <f t="shared" si="14"/>
        <v>0</v>
      </c>
      <c r="K97" s="42"/>
      <c r="L97" s="42"/>
      <c r="M97" s="42"/>
      <c r="N97" s="42"/>
      <c r="O97" s="42"/>
      <c r="P97" s="42">
        <f t="shared" si="12"/>
        <v>7746300</v>
      </c>
      <c r="Q97" s="120"/>
    </row>
    <row r="98" spans="1:17" s="20" customFormat="1" ht="30">
      <c r="A98" s="18"/>
      <c r="B98" s="21" t="s">
        <v>95</v>
      </c>
      <c r="C98" s="21" t="s">
        <v>163</v>
      </c>
      <c r="D98" s="22" t="s">
        <v>96</v>
      </c>
      <c r="E98" s="42">
        <f t="shared" si="13"/>
        <v>1600463</v>
      </c>
      <c r="F98" s="42">
        <f>'дод. 4'!F136</f>
        <v>1600463</v>
      </c>
      <c r="G98" s="42">
        <f>'дод. 4'!G136</f>
        <v>0</v>
      </c>
      <c r="H98" s="42">
        <f>'дод. 4'!H136</f>
        <v>0</v>
      </c>
      <c r="I98" s="42">
        <f>'дод. 4'!I136</f>
        <v>0</v>
      </c>
      <c r="J98" s="42">
        <f t="shared" si="14"/>
        <v>0</v>
      </c>
      <c r="K98" s="42">
        <f>'дод. 4'!K136</f>
        <v>0</v>
      </c>
      <c r="L98" s="42">
        <f>'дод. 4'!L136</f>
        <v>0</v>
      </c>
      <c r="M98" s="42">
        <f>'дод. 4'!M136</f>
        <v>0</v>
      </c>
      <c r="N98" s="42">
        <f>'дод. 4'!N136</f>
        <v>0</v>
      </c>
      <c r="O98" s="42">
        <f>'дод. 4'!O136</f>
        <v>0</v>
      </c>
      <c r="P98" s="42">
        <f t="shared" si="12"/>
        <v>1600463</v>
      </c>
      <c r="Q98" s="120"/>
    </row>
    <row r="99" spans="1:17" s="20" customFormat="1" ht="30">
      <c r="A99" s="18"/>
      <c r="B99" s="21" t="s">
        <v>254</v>
      </c>
      <c r="C99" s="21" t="s">
        <v>163</v>
      </c>
      <c r="D99" s="22" t="s">
        <v>255</v>
      </c>
      <c r="E99" s="42">
        <f t="shared" si="13"/>
        <v>181400</v>
      </c>
      <c r="F99" s="30">
        <f>'дод. 4'!F137</f>
        <v>181400</v>
      </c>
      <c r="G99" s="30">
        <f>'дод. 4'!G137</f>
        <v>0</v>
      </c>
      <c r="H99" s="30">
        <f>'дод. 4'!H137</f>
        <v>0</v>
      </c>
      <c r="I99" s="30">
        <f>'дод. 4'!I137</f>
        <v>0</v>
      </c>
      <c r="J99" s="42">
        <f t="shared" si="14"/>
        <v>0</v>
      </c>
      <c r="K99" s="30">
        <f>'дод. 4'!K137</f>
        <v>0</v>
      </c>
      <c r="L99" s="30">
        <f>'дод. 4'!L137</f>
        <v>0</v>
      </c>
      <c r="M99" s="30">
        <f>'дод. 4'!M137</f>
        <v>0</v>
      </c>
      <c r="N99" s="30">
        <f>'дод. 4'!N137</f>
        <v>0</v>
      </c>
      <c r="O99" s="30">
        <f>'дод. 4'!O137</f>
        <v>0</v>
      </c>
      <c r="P99" s="42">
        <f t="shared" si="12"/>
        <v>181400</v>
      </c>
      <c r="Q99" s="120"/>
    </row>
    <row r="100" spans="1:17" s="20" customFormat="1" ht="30">
      <c r="A100" s="18"/>
      <c r="B100" s="21" t="s">
        <v>207</v>
      </c>
      <c r="C100" s="21" t="s">
        <v>208</v>
      </c>
      <c r="D100" s="22" t="s">
        <v>209</v>
      </c>
      <c r="E100" s="42">
        <f t="shared" si="13"/>
        <v>724903.0700000001</v>
      </c>
      <c r="F100" s="30">
        <f>'дод. 4'!F138+'дод. 4'!F164</f>
        <v>724903.0700000001</v>
      </c>
      <c r="G100" s="30">
        <f>'дод. 4'!G138+'дод. 4'!G164</f>
        <v>307212.86</v>
      </c>
      <c r="H100" s="30">
        <f>'дод. 4'!H138+'дод. 4'!H164</f>
        <v>0</v>
      </c>
      <c r="I100" s="30">
        <f>'дод. 4'!I138+'дод. 4'!I164</f>
        <v>0</v>
      </c>
      <c r="J100" s="42">
        <f t="shared" si="14"/>
        <v>0</v>
      </c>
      <c r="K100" s="30">
        <f>'дод. 4'!K138+'дод. 4'!K164</f>
        <v>0</v>
      </c>
      <c r="L100" s="30">
        <f>'дод. 4'!L138+'дод. 4'!L164</f>
        <v>0</v>
      </c>
      <c r="M100" s="30">
        <f>'дод. 4'!M138+'дод. 4'!M164</f>
        <v>0</v>
      </c>
      <c r="N100" s="30">
        <f>'дод. 4'!N138+'дод. 4'!N164</f>
        <v>0</v>
      </c>
      <c r="O100" s="30">
        <f>'дод. 4'!O138+'дод. 4'!O164</f>
        <v>0</v>
      </c>
      <c r="P100" s="42">
        <f t="shared" si="12"/>
        <v>724903.0700000001</v>
      </c>
      <c r="Q100" s="120"/>
    </row>
    <row r="101" spans="1:17" s="20" customFormat="1" ht="15">
      <c r="A101" s="18"/>
      <c r="B101" s="21" t="s">
        <v>109</v>
      </c>
      <c r="C101" s="21" t="s">
        <v>139</v>
      </c>
      <c r="D101" s="22" t="s">
        <v>110</v>
      </c>
      <c r="E101" s="42">
        <f t="shared" si="13"/>
        <v>50000</v>
      </c>
      <c r="F101" s="30">
        <f>'дод. 4'!F154</f>
        <v>50000</v>
      </c>
      <c r="G101" s="30">
        <f>'дод. 4'!G154</f>
        <v>0</v>
      </c>
      <c r="H101" s="30">
        <f>'дод. 4'!H154</f>
        <v>0</v>
      </c>
      <c r="I101" s="30">
        <f>'дод. 4'!I154</f>
        <v>0</v>
      </c>
      <c r="J101" s="42">
        <f t="shared" si="14"/>
        <v>0</v>
      </c>
      <c r="K101" s="30">
        <f>'дод. 4'!K154</f>
        <v>0</v>
      </c>
      <c r="L101" s="30">
        <f>'дод. 4'!L154</f>
        <v>0</v>
      </c>
      <c r="M101" s="30">
        <f>'дод. 4'!M154</f>
        <v>0</v>
      </c>
      <c r="N101" s="30">
        <f>'дод. 4'!N154</f>
        <v>0</v>
      </c>
      <c r="O101" s="30">
        <f>'дод. 4'!O154</f>
        <v>0</v>
      </c>
      <c r="P101" s="42">
        <f t="shared" si="12"/>
        <v>50000</v>
      </c>
      <c r="Q101" s="120"/>
    </row>
    <row r="102" spans="1:17" s="20" customFormat="1" ht="30">
      <c r="A102" s="18"/>
      <c r="B102" s="21" t="s">
        <v>19</v>
      </c>
      <c r="C102" s="21" t="s">
        <v>139</v>
      </c>
      <c r="D102" s="22" t="s">
        <v>20</v>
      </c>
      <c r="E102" s="42">
        <f t="shared" si="13"/>
        <v>717600</v>
      </c>
      <c r="F102" s="30">
        <f>'дод. 4'!F16</f>
        <v>717600</v>
      </c>
      <c r="G102" s="30">
        <f>'дод. 4'!G16</f>
        <v>502990</v>
      </c>
      <c r="H102" s="30">
        <f>'дод. 4'!H16</f>
        <v>55897</v>
      </c>
      <c r="I102" s="30">
        <f>'дод. 4'!I16</f>
        <v>0</v>
      </c>
      <c r="J102" s="42">
        <f t="shared" si="14"/>
        <v>0</v>
      </c>
      <c r="K102" s="30">
        <f>'дод. 4'!K16</f>
        <v>0</v>
      </c>
      <c r="L102" s="30">
        <f>'дод. 4'!L16</f>
        <v>0</v>
      </c>
      <c r="M102" s="30">
        <f>'дод. 4'!M16</f>
        <v>0</v>
      </c>
      <c r="N102" s="30">
        <f>'дод. 4'!N16</f>
        <v>0</v>
      </c>
      <c r="O102" s="30">
        <f>'дод. 4'!O16</f>
        <v>0</v>
      </c>
      <c r="P102" s="42">
        <f t="shared" si="12"/>
        <v>717600</v>
      </c>
      <c r="Q102" s="120"/>
    </row>
    <row r="103" spans="1:17" s="20" customFormat="1" ht="30">
      <c r="A103" s="18"/>
      <c r="B103" s="21" t="s">
        <v>21</v>
      </c>
      <c r="C103" s="21" t="s">
        <v>139</v>
      </c>
      <c r="D103" s="22" t="s">
        <v>22</v>
      </c>
      <c r="E103" s="42">
        <f t="shared" si="13"/>
        <v>40000</v>
      </c>
      <c r="F103" s="30">
        <f>'дод. 4'!F17</f>
        <v>40000</v>
      </c>
      <c r="G103" s="30">
        <f>'дод. 4'!G17</f>
        <v>0</v>
      </c>
      <c r="H103" s="30">
        <f>'дод. 4'!H17</f>
        <v>0</v>
      </c>
      <c r="I103" s="30">
        <f>'дод. 4'!I17</f>
        <v>0</v>
      </c>
      <c r="J103" s="42">
        <f t="shared" si="14"/>
        <v>0</v>
      </c>
      <c r="K103" s="30">
        <f>'дод. 4'!K17</f>
        <v>0</v>
      </c>
      <c r="L103" s="30">
        <f>'дод. 4'!L17</f>
        <v>0</v>
      </c>
      <c r="M103" s="30">
        <f>'дод. 4'!M17</f>
        <v>0</v>
      </c>
      <c r="N103" s="30">
        <f>'дод. 4'!N17</f>
        <v>0</v>
      </c>
      <c r="O103" s="30">
        <f>'дод. 4'!O17</f>
        <v>0</v>
      </c>
      <c r="P103" s="42">
        <f t="shared" si="12"/>
        <v>40000</v>
      </c>
      <c r="Q103" s="120"/>
    </row>
    <row r="104" spans="1:17" s="20" customFormat="1" ht="30">
      <c r="A104" s="18"/>
      <c r="B104" s="21" t="s">
        <v>23</v>
      </c>
      <c r="C104" s="21" t="s">
        <v>139</v>
      </c>
      <c r="D104" s="22" t="s">
        <v>24</v>
      </c>
      <c r="E104" s="42">
        <f t="shared" si="13"/>
        <v>605000</v>
      </c>
      <c r="F104" s="30">
        <f>'дод. 4'!F18</f>
        <v>605000</v>
      </c>
      <c r="G104" s="30">
        <f>'дод. 4'!G18</f>
        <v>0</v>
      </c>
      <c r="H104" s="30">
        <f>'дод. 4'!H18</f>
        <v>0</v>
      </c>
      <c r="I104" s="30">
        <f>'дод. 4'!I18</f>
        <v>0</v>
      </c>
      <c r="J104" s="42">
        <f t="shared" si="14"/>
        <v>0</v>
      </c>
      <c r="K104" s="30">
        <f>'дод. 4'!K18</f>
        <v>0</v>
      </c>
      <c r="L104" s="30">
        <f>'дод. 4'!L18</f>
        <v>0</v>
      </c>
      <c r="M104" s="30">
        <f>'дод. 4'!M18</f>
        <v>0</v>
      </c>
      <c r="N104" s="30">
        <f>'дод. 4'!N18</f>
        <v>0</v>
      </c>
      <c r="O104" s="30">
        <f>'дод. 4'!O18</f>
        <v>0</v>
      </c>
      <c r="P104" s="42">
        <f t="shared" si="12"/>
        <v>605000</v>
      </c>
      <c r="Q104" s="120"/>
    </row>
    <row r="105" spans="1:17" s="20" customFormat="1" ht="15">
      <c r="A105" s="18"/>
      <c r="B105" s="21" t="s">
        <v>25</v>
      </c>
      <c r="C105" s="21" t="s">
        <v>139</v>
      </c>
      <c r="D105" s="22" t="s">
        <v>26</v>
      </c>
      <c r="E105" s="42">
        <f t="shared" si="13"/>
        <v>511500</v>
      </c>
      <c r="F105" s="30">
        <f>'дод. 4'!F19</f>
        <v>511500</v>
      </c>
      <c r="G105" s="30">
        <f>'дод. 4'!G19</f>
        <v>338600</v>
      </c>
      <c r="H105" s="30">
        <f>'дод. 4'!H19</f>
        <v>72433</v>
      </c>
      <c r="I105" s="30">
        <f>'дод. 4'!I19</f>
        <v>0</v>
      </c>
      <c r="J105" s="42">
        <f t="shared" si="14"/>
        <v>9645</v>
      </c>
      <c r="K105" s="30">
        <f>'дод. 4'!K19</f>
        <v>0</v>
      </c>
      <c r="L105" s="30">
        <f>'дод. 4'!L19</f>
        <v>0</v>
      </c>
      <c r="M105" s="30">
        <f>'дод. 4'!M19</f>
        <v>0</v>
      </c>
      <c r="N105" s="30">
        <f>'дод. 4'!N19</f>
        <v>9645</v>
      </c>
      <c r="O105" s="30">
        <f>'дод. 4'!O19</f>
        <v>9645</v>
      </c>
      <c r="P105" s="42">
        <f t="shared" si="12"/>
        <v>521145</v>
      </c>
      <c r="Q105" s="120"/>
    </row>
    <row r="106" spans="1:17" s="20" customFormat="1" ht="75">
      <c r="A106" s="18"/>
      <c r="B106" s="21" t="s">
        <v>27</v>
      </c>
      <c r="C106" s="21" t="s">
        <v>139</v>
      </c>
      <c r="D106" s="23" t="s">
        <v>28</v>
      </c>
      <c r="E106" s="42">
        <f t="shared" si="13"/>
        <v>3216868</v>
      </c>
      <c r="F106" s="30">
        <f>'дод. 4'!F20+'дод. 4'!F64</f>
        <v>3216868</v>
      </c>
      <c r="G106" s="30">
        <f>'дод. 4'!G20+'дод. 4'!G64</f>
        <v>0</v>
      </c>
      <c r="H106" s="30">
        <f>'дод. 4'!H20+'дод. 4'!H64</f>
        <v>0</v>
      </c>
      <c r="I106" s="30">
        <f>'дод. 4'!I20+'дод. 4'!I64</f>
        <v>0</v>
      </c>
      <c r="J106" s="42">
        <f t="shared" si="14"/>
        <v>0</v>
      </c>
      <c r="K106" s="30">
        <f>'дод. 4'!K20+'дод. 4'!K64</f>
        <v>0</v>
      </c>
      <c r="L106" s="30">
        <f>'дод. 4'!L20+'дод. 4'!L64</f>
        <v>0</v>
      </c>
      <c r="M106" s="30">
        <f>'дод. 4'!M20+'дод. 4'!M64</f>
        <v>0</v>
      </c>
      <c r="N106" s="30">
        <f>'дод. 4'!N20+'дод. 4'!N64</f>
        <v>0</v>
      </c>
      <c r="O106" s="30">
        <f>'дод. 4'!O20+'дод. 4'!O64</f>
        <v>0</v>
      </c>
      <c r="P106" s="42">
        <f t="shared" si="12"/>
        <v>3216868</v>
      </c>
      <c r="Q106" s="120"/>
    </row>
    <row r="107" spans="1:17" s="20" customFormat="1" ht="45">
      <c r="A107" s="18"/>
      <c r="B107" s="21" t="s">
        <v>97</v>
      </c>
      <c r="C107" s="21" t="s">
        <v>167</v>
      </c>
      <c r="D107" s="22" t="s">
        <v>98</v>
      </c>
      <c r="E107" s="42">
        <f t="shared" si="13"/>
        <v>5921275</v>
      </c>
      <c r="F107" s="30">
        <f>'дод. 4'!F139</f>
        <v>5921275</v>
      </c>
      <c r="G107" s="30">
        <f>'дод. 4'!G139</f>
        <v>4341370</v>
      </c>
      <c r="H107" s="30">
        <f>'дод. 4'!H139</f>
        <v>156566</v>
      </c>
      <c r="I107" s="30">
        <f>'дод. 4'!I139</f>
        <v>0</v>
      </c>
      <c r="J107" s="42">
        <f t="shared" si="14"/>
        <v>460703</v>
      </c>
      <c r="K107" s="30">
        <f>'дод. 4'!K139</f>
        <v>27800</v>
      </c>
      <c r="L107" s="30">
        <f>'дод. 4'!L139</f>
        <v>18822</v>
      </c>
      <c r="M107" s="30">
        <f>'дод. 4'!M139</f>
        <v>0</v>
      </c>
      <c r="N107" s="30">
        <f>'дод. 4'!N139</f>
        <v>432903</v>
      </c>
      <c r="O107" s="30">
        <f>'дод. 4'!O139</f>
        <v>432903</v>
      </c>
      <c r="P107" s="42">
        <f t="shared" si="12"/>
        <v>6381978</v>
      </c>
      <c r="Q107" s="120"/>
    </row>
    <row r="108" spans="1:17" s="20" customFormat="1" ht="90">
      <c r="A108" s="18"/>
      <c r="B108" s="21" t="s">
        <v>99</v>
      </c>
      <c r="C108" s="21" t="s">
        <v>166</v>
      </c>
      <c r="D108" s="22" t="s">
        <v>100</v>
      </c>
      <c r="E108" s="42">
        <f t="shared" si="13"/>
        <v>1397200</v>
      </c>
      <c r="F108" s="30">
        <f>'дод. 4'!F140</f>
        <v>1397200</v>
      </c>
      <c r="G108" s="30">
        <f>'дод. 4'!G140</f>
        <v>0</v>
      </c>
      <c r="H108" s="30">
        <f>'дод. 4'!H140</f>
        <v>0</v>
      </c>
      <c r="I108" s="30">
        <f>'дод. 4'!I140</f>
        <v>0</v>
      </c>
      <c r="J108" s="42">
        <f t="shared" si="14"/>
        <v>0</v>
      </c>
      <c r="K108" s="30">
        <f>'дод. 4'!K140</f>
        <v>0</v>
      </c>
      <c r="L108" s="30">
        <f>'дод. 4'!L140</f>
        <v>0</v>
      </c>
      <c r="M108" s="30">
        <f>'дод. 4'!M140</f>
        <v>0</v>
      </c>
      <c r="N108" s="30">
        <f>'дод. 4'!N140</f>
        <v>0</v>
      </c>
      <c r="O108" s="30">
        <f>'дод. 4'!O140</f>
        <v>0</v>
      </c>
      <c r="P108" s="42">
        <f t="shared" si="12"/>
        <v>1397200</v>
      </c>
      <c r="Q108" s="120" t="s">
        <v>357</v>
      </c>
    </row>
    <row r="109" spans="1:17" s="20" customFormat="1" ht="90">
      <c r="A109" s="18"/>
      <c r="B109" s="21" t="s">
        <v>101</v>
      </c>
      <c r="C109" s="21" t="s">
        <v>165</v>
      </c>
      <c r="D109" s="22" t="s">
        <v>102</v>
      </c>
      <c r="E109" s="42">
        <f t="shared" si="13"/>
        <v>2107046</v>
      </c>
      <c r="F109" s="30">
        <f>'дод. 4'!F141</f>
        <v>2107046</v>
      </c>
      <c r="G109" s="30">
        <f>'дод. 4'!G141</f>
        <v>0</v>
      </c>
      <c r="H109" s="30">
        <f>'дод. 4'!H141</f>
        <v>0</v>
      </c>
      <c r="I109" s="30">
        <f>'дод. 4'!I141</f>
        <v>0</v>
      </c>
      <c r="J109" s="42">
        <f t="shared" si="14"/>
        <v>0</v>
      </c>
      <c r="K109" s="30">
        <f>'дод. 4'!K141</f>
        <v>0</v>
      </c>
      <c r="L109" s="30">
        <f>'дод. 4'!L141</f>
        <v>0</v>
      </c>
      <c r="M109" s="30">
        <f>'дод. 4'!M141</f>
        <v>0</v>
      </c>
      <c r="N109" s="30">
        <f>'дод. 4'!N141</f>
        <v>0</v>
      </c>
      <c r="O109" s="30">
        <f>'дод. 4'!O141</f>
        <v>0</v>
      </c>
      <c r="P109" s="42">
        <f t="shared" si="12"/>
        <v>2107046</v>
      </c>
      <c r="Q109" s="120"/>
    </row>
    <row r="110" spans="1:17" s="20" customFormat="1" ht="30">
      <c r="A110" s="18"/>
      <c r="B110" s="21" t="s">
        <v>103</v>
      </c>
      <c r="C110" s="21" t="s">
        <v>163</v>
      </c>
      <c r="D110" s="22" t="s">
        <v>104</v>
      </c>
      <c r="E110" s="42">
        <f t="shared" si="13"/>
        <v>798900</v>
      </c>
      <c r="F110" s="30">
        <f>'дод. 4'!F142</f>
        <v>798900</v>
      </c>
      <c r="G110" s="30">
        <f>'дод. 4'!G142</f>
        <v>0</v>
      </c>
      <c r="H110" s="30">
        <f>'дод. 4'!H142</f>
        <v>0</v>
      </c>
      <c r="I110" s="30">
        <f>'дод. 4'!I142</f>
        <v>0</v>
      </c>
      <c r="J110" s="42">
        <f t="shared" si="14"/>
        <v>0</v>
      </c>
      <c r="K110" s="30">
        <f>'дод. 4'!K142</f>
        <v>0</v>
      </c>
      <c r="L110" s="30">
        <f>'дод. 4'!L142</f>
        <v>0</v>
      </c>
      <c r="M110" s="30">
        <f>'дод. 4'!M142</f>
        <v>0</v>
      </c>
      <c r="N110" s="30">
        <f>'дод. 4'!N142</f>
        <v>0</v>
      </c>
      <c r="O110" s="30">
        <f>'дод. 4'!O142</f>
        <v>0</v>
      </c>
      <c r="P110" s="42">
        <f t="shared" si="12"/>
        <v>798900</v>
      </c>
      <c r="Q110" s="120"/>
    </row>
    <row r="111" spans="1:17" s="20" customFormat="1" ht="30">
      <c r="A111" s="18"/>
      <c r="B111" s="21" t="s">
        <v>250</v>
      </c>
      <c r="C111" s="21" t="s">
        <v>138</v>
      </c>
      <c r="D111" s="22" t="s">
        <v>251</v>
      </c>
      <c r="E111" s="42">
        <f t="shared" si="13"/>
        <v>114457</v>
      </c>
      <c r="F111" s="30">
        <f>'дод. 4'!F143</f>
        <v>114457</v>
      </c>
      <c r="G111" s="30">
        <f>'дод. 4'!G143</f>
        <v>0</v>
      </c>
      <c r="H111" s="30">
        <f>'дод. 4'!H143</f>
        <v>0</v>
      </c>
      <c r="I111" s="30">
        <f>'дод. 4'!I143</f>
        <v>0</v>
      </c>
      <c r="J111" s="42">
        <f t="shared" si="14"/>
        <v>0</v>
      </c>
      <c r="K111" s="30">
        <f>'дод. 4'!K143</f>
        <v>0</v>
      </c>
      <c r="L111" s="30">
        <f>'дод. 4'!L143</f>
        <v>0</v>
      </c>
      <c r="M111" s="30">
        <f>'дод. 4'!M143</f>
        <v>0</v>
      </c>
      <c r="N111" s="30">
        <f>'дод. 4'!N143</f>
        <v>0</v>
      </c>
      <c r="O111" s="30">
        <f>'дод. 4'!O143</f>
        <v>0</v>
      </c>
      <c r="P111" s="42">
        <f t="shared" si="12"/>
        <v>114457</v>
      </c>
      <c r="Q111" s="120"/>
    </row>
    <row r="112" spans="1:17" s="20" customFormat="1" ht="15">
      <c r="A112" s="18"/>
      <c r="B112" s="21" t="s">
        <v>105</v>
      </c>
      <c r="C112" s="21" t="s">
        <v>138</v>
      </c>
      <c r="D112" s="22" t="s">
        <v>106</v>
      </c>
      <c r="E112" s="42">
        <f t="shared" si="13"/>
        <v>1481942</v>
      </c>
      <c r="F112" s="30">
        <f>'дод. 4'!F144</f>
        <v>1481942</v>
      </c>
      <c r="G112" s="30">
        <f>'дод. 4'!G144</f>
        <v>898400</v>
      </c>
      <c r="H112" s="30">
        <f>'дод. 4'!H144</f>
        <v>129899</v>
      </c>
      <c r="I112" s="30">
        <f>'дод. 4'!I144</f>
        <v>0</v>
      </c>
      <c r="J112" s="42">
        <f t="shared" si="14"/>
        <v>243500</v>
      </c>
      <c r="K112" s="30">
        <f>'дод. 4'!K144</f>
        <v>0</v>
      </c>
      <c r="L112" s="30">
        <f>'дод. 4'!L144</f>
        <v>0</v>
      </c>
      <c r="M112" s="30">
        <f>'дод. 4'!M144</f>
        <v>0</v>
      </c>
      <c r="N112" s="30">
        <f>'дод. 4'!N144</f>
        <v>243500</v>
      </c>
      <c r="O112" s="30">
        <f>'дод. 4'!O144</f>
        <v>243500</v>
      </c>
      <c r="P112" s="42">
        <f t="shared" si="12"/>
        <v>1725442</v>
      </c>
      <c r="Q112" s="120"/>
    </row>
    <row r="113" spans="1:17" s="20" customFormat="1" ht="30">
      <c r="A113" s="18"/>
      <c r="B113" s="21" t="s">
        <v>260</v>
      </c>
      <c r="C113" s="21" t="s">
        <v>166</v>
      </c>
      <c r="D113" s="22" t="s">
        <v>261</v>
      </c>
      <c r="E113" s="42">
        <f t="shared" si="13"/>
        <v>42037897</v>
      </c>
      <c r="F113" s="30">
        <f>'дод. 4'!F145</f>
        <v>42037897</v>
      </c>
      <c r="G113" s="30">
        <f>'дод. 4'!G145</f>
        <v>0</v>
      </c>
      <c r="H113" s="30">
        <f>'дод. 4'!H145</f>
        <v>0</v>
      </c>
      <c r="I113" s="30">
        <f>'дод. 4'!I145</f>
        <v>0</v>
      </c>
      <c r="J113" s="42">
        <f t="shared" si="14"/>
        <v>0</v>
      </c>
      <c r="K113" s="30">
        <f>'дод. 4'!K145</f>
        <v>0</v>
      </c>
      <c r="L113" s="30">
        <f>'дод. 4'!L145</f>
        <v>0</v>
      </c>
      <c r="M113" s="30">
        <f>'дод. 4'!M145</f>
        <v>0</v>
      </c>
      <c r="N113" s="30">
        <f>'дод. 4'!N145</f>
        <v>0</v>
      </c>
      <c r="O113" s="30">
        <f>'дод. 4'!O145</f>
        <v>0</v>
      </c>
      <c r="P113" s="42">
        <f t="shared" si="12"/>
        <v>42037897</v>
      </c>
      <c r="Q113" s="120"/>
    </row>
    <row r="114" spans="1:17" s="20" customFormat="1" ht="15">
      <c r="A114" s="18"/>
      <c r="B114" s="21"/>
      <c r="C114" s="21"/>
      <c r="D114" s="22" t="s">
        <v>262</v>
      </c>
      <c r="E114" s="42">
        <f t="shared" si="13"/>
        <v>42037897</v>
      </c>
      <c r="F114" s="30">
        <f>'дод. 4'!F146</f>
        <v>42037897</v>
      </c>
      <c r="G114" s="30">
        <f>'дод. 4'!G146</f>
        <v>0</v>
      </c>
      <c r="H114" s="30">
        <f>'дод. 4'!H146</f>
        <v>0</v>
      </c>
      <c r="I114" s="30">
        <f>'дод. 4'!I146</f>
        <v>0</v>
      </c>
      <c r="J114" s="42">
        <f t="shared" si="14"/>
        <v>0</v>
      </c>
      <c r="K114" s="30">
        <f>'дод. 4'!K146</f>
        <v>0</v>
      </c>
      <c r="L114" s="30">
        <f>'дод. 4'!L146</f>
        <v>0</v>
      </c>
      <c r="M114" s="30">
        <f>'дод. 4'!M146</f>
        <v>0</v>
      </c>
      <c r="N114" s="30">
        <f>'дод. 4'!N146</f>
        <v>0</v>
      </c>
      <c r="O114" s="30">
        <f>'дод. 4'!O146</f>
        <v>0</v>
      </c>
      <c r="P114" s="42">
        <f t="shared" si="12"/>
        <v>42037897</v>
      </c>
      <c r="Q114" s="120"/>
    </row>
    <row r="115" spans="1:17" s="20" customFormat="1" ht="60">
      <c r="A115" s="18"/>
      <c r="B115" s="21" t="s">
        <v>256</v>
      </c>
      <c r="C115" s="21" t="s">
        <v>166</v>
      </c>
      <c r="D115" s="22" t="s">
        <v>257</v>
      </c>
      <c r="E115" s="42">
        <f t="shared" si="13"/>
        <v>162275</v>
      </c>
      <c r="F115" s="30">
        <f>'дод. 4'!F147</f>
        <v>162275</v>
      </c>
      <c r="G115" s="30">
        <f>'дод. 4'!G147</f>
        <v>0</v>
      </c>
      <c r="H115" s="30">
        <f>'дод. 4'!H147</f>
        <v>0</v>
      </c>
      <c r="I115" s="30">
        <f>'дод. 4'!I147</f>
        <v>0</v>
      </c>
      <c r="J115" s="42">
        <f t="shared" si="14"/>
        <v>0</v>
      </c>
      <c r="K115" s="30">
        <f>'дод. 4'!K147</f>
        <v>0</v>
      </c>
      <c r="L115" s="30">
        <f>'дод. 4'!L147</f>
        <v>0</v>
      </c>
      <c r="M115" s="30">
        <f>'дод. 4'!M147</f>
        <v>0</v>
      </c>
      <c r="N115" s="30">
        <f>'дод. 4'!N147</f>
        <v>0</v>
      </c>
      <c r="O115" s="30">
        <f>'дод. 4'!O147</f>
        <v>0</v>
      </c>
      <c r="P115" s="42">
        <f t="shared" si="12"/>
        <v>162275</v>
      </c>
      <c r="Q115" s="120"/>
    </row>
    <row r="116" spans="1:17" s="20" customFormat="1" ht="30">
      <c r="A116" s="18"/>
      <c r="B116" s="21" t="s">
        <v>258</v>
      </c>
      <c r="C116" s="21" t="s">
        <v>166</v>
      </c>
      <c r="D116" s="22" t="s">
        <v>259</v>
      </c>
      <c r="E116" s="42">
        <f t="shared" si="13"/>
        <v>4800</v>
      </c>
      <c r="F116" s="30">
        <f>'дод. 4'!F148</f>
        <v>4800</v>
      </c>
      <c r="G116" s="30">
        <f>'дод. 4'!G148</f>
        <v>0</v>
      </c>
      <c r="H116" s="30">
        <f>'дод. 4'!H148</f>
        <v>0</v>
      </c>
      <c r="I116" s="30">
        <f>'дод. 4'!I148</f>
        <v>0</v>
      </c>
      <c r="J116" s="42">
        <f t="shared" si="14"/>
        <v>0</v>
      </c>
      <c r="K116" s="30">
        <f>'дод. 4'!K148</f>
        <v>0</v>
      </c>
      <c r="L116" s="30">
        <f>'дод. 4'!L148</f>
        <v>0</v>
      </c>
      <c r="M116" s="30">
        <f>'дод. 4'!M148</f>
        <v>0</v>
      </c>
      <c r="N116" s="30">
        <f>'дод. 4'!N148</f>
        <v>0</v>
      </c>
      <c r="O116" s="30">
        <f>'дод. 4'!O148</f>
        <v>0</v>
      </c>
      <c r="P116" s="42">
        <f t="shared" si="12"/>
        <v>4800</v>
      </c>
      <c r="Q116" s="120"/>
    </row>
    <row r="117" spans="1:17" s="20" customFormat="1" ht="15">
      <c r="A117" s="18"/>
      <c r="B117" s="50" t="s">
        <v>221</v>
      </c>
      <c r="C117" s="51"/>
      <c r="D117" s="51" t="s">
        <v>222</v>
      </c>
      <c r="E117" s="54">
        <f>E118+E119+E120+E121+E122+E123+E124</f>
        <v>100003674.88000001</v>
      </c>
      <c r="F117" s="54">
        <f aca="true" t="shared" si="15" ref="F117:P117">F118+F119+F120+F121+F122+F123+F124</f>
        <v>74358346.41</v>
      </c>
      <c r="G117" s="54">
        <f t="shared" si="15"/>
        <v>0</v>
      </c>
      <c r="H117" s="54">
        <f t="shared" si="15"/>
        <v>9875309.79</v>
      </c>
      <c r="I117" s="54">
        <f t="shared" si="15"/>
        <v>25645328.47</v>
      </c>
      <c r="J117" s="54">
        <f t="shared" si="15"/>
        <v>178553481.37</v>
      </c>
      <c r="K117" s="54">
        <f t="shared" si="15"/>
        <v>0</v>
      </c>
      <c r="L117" s="54">
        <f t="shared" si="15"/>
        <v>0</v>
      </c>
      <c r="M117" s="54">
        <f t="shared" si="15"/>
        <v>0</v>
      </c>
      <c r="N117" s="54">
        <f t="shared" si="15"/>
        <v>178553481.37</v>
      </c>
      <c r="O117" s="54">
        <f t="shared" si="15"/>
        <v>178553481.37</v>
      </c>
      <c r="P117" s="54">
        <f t="shared" si="15"/>
        <v>278557156.25</v>
      </c>
      <c r="Q117" s="120"/>
    </row>
    <row r="118" spans="1:17" s="20" customFormat="1" ht="15">
      <c r="A118" s="18"/>
      <c r="B118" s="21" t="s">
        <v>248</v>
      </c>
      <c r="C118" s="21" t="s">
        <v>173</v>
      </c>
      <c r="D118" s="22" t="s">
        <v>249</v>
      </c>
      <c r="E118" s="30">
        <f aca="true" t="shared" si="16" ref="E118:E124">F118+I118</f>
        <v>1680000</v>
      </c>
      <c r="F118" s="30">
        <f>'дод. 4'!F165</f>
        <v>1680000</v>
      </c>
      <c r="G118" s="30">
        <f>'дод. 4'!G165</f>
        <v>0</v>
      </c>
      <c r="H118" s="30">
        <f>'дод. 4'!H165</f>
        <v>0</v>
      </c>
      <c r="I118" s="30">
        <f>'дод. 4'!I165</f>
        <v>0</v>
      </c>
      <c r="J118" s="30">
        <f aca="true" t="shared" si="17" ref="J118:J124">K118+N118</f>
        <v>0</v>
      </c>
      <c r="K118" s="30">
        <f>'дод. 4'!K165</f>
        <v>0</v>
      </c>
      <c r="L118" s="30">
        <f>'дод. 4'!L165</f>
        <v>0</v>
      </c>
      <c r="M118" s="30">
        <f>'дод. 4'!M165</f>
        <v>0</v>
      </c>
      <c r="N118" s="30">
        <f>'дод. 4'!N165</f>
        <v>0</v>
      </c>
      <c r="O118" s="30">
        <f>'дод. 4'!O165</f>
        <v>0</v>
      </c>
      <c r="P118" s="30">
        <f aca="true" t="shared" si="18" ref="P118:P124">E118+J118</f>
        <v>1680000</v>
      </c>
      <c r="Q118" s="120"/>
    </row>
    <row r="119" spans="1:17" s="20" customFormat="1" ht="30">
      <c r="A119" s="18"/>
      <c r="B119" s="21" t="s">
        <v>117</v>
      </c>
      <c r="C119" s="21" t="s">
        <v>173</v>
      </c>
      <c r="D119" s="22" t="s">
        <v>118</v>
      </c>
      <c r="E119" s="30">
        <f t="shared" si="16"/>
        <v>585000</v>
      </c>
      <c r="F119" s="30">
        <f>'дод. 4'!F166</f>
        <v>585000</v>
      </c>
      <c r="G119" s="30">
        <f>'дод. 4'!G166</f>
        <v>0</v>
      </c>
      <c r="H119" s="30">
        <f>'дод. 4'!H166</f>
        <v>0</v>
      </c>
      <c r="I119" s="30">
        <f>'дод. 4'!I166</f>
        <v>0</v>
      </c>
      <c r="J119" s="30">
        <f t="shared" si="17"/>
        <v>63715444.14</v>
      </c>
      <c r="K119" s="30">
        <f>'дод. 4'!K166</f>
        <v>0</v>
      </c>
      <c r="L119" s="30">
        <f>'дод. 4'!L166</f>
        <v>0</v>
      </c>
      <c r="M119" s="30">
        <f>'дод. 4'!M166</f>
        <v>0</v>
      </c>
      <c r="N119" s="30">
        <f>'дод. 4'!N166</f>
        <v>63715444.14</v>
      </c>
      <c r="O119" s="30">
        <f>'дод. 4'!O166</f>
        <v>63715444.14</v>
      </c>
      <c r="P119" s="30">
        <f t="shared" si="18"/>
        <v>64300444.14</v>
      </c>
      <c r="Q119" s="120"/>
    </row>
    <row r="120" spans="1:17" s="20" customFormat="1" ht="45">
      <c r="A120" s="18"/>
      <c r="B120" s="21" t="s">
        <v>119</v>
      </c>
      <c r="C120" s="21" t="s">
        <v>173</v>
      </c>
      <c r="D120" s="22" t="s">
        <v>120</v>
      </c>
      <c r="E120" s="30">
        <f t="shared" si="16"/>
        <v>0</v>
      </c>
      <c r="F120" s="30">
        <f>'дод. 4'!F167</f>
        <v>0</v>
      </c>
      <c r="G120" s="30">
        <f>'дод. 4'!G167</f>
        <v>0</v>
      </c>
      <c r="H120" s="30">
        <f>'дод. 4'!H167</f>
        <v>0</v>
      </c>
      <c r="I120" s="30">
        <f>'дод. 4'!I167</f>
        <v>0</v>
      </c>
      <c r="J120" s="30">
        <f t="shared" si="17"/>
        <v>7000000</v>
      </c>
      <c r="K120" s="30">
        <f>'дод. 4'!K167</f>
        <v>0</v>
      </c>
      <c r="L120" s="30">
        <f>'дод. 4'!L167</f>
        <v>0</v>
      </c>
      <c r="M120" s="30">
        <f>'дод. 4'!M167</f>
        <v>0</v>
      </c>
      <c r="N120" s="30">
        <f>'дод. 4'!N167</f>
        <v>7000000</v>
      </c>
      <c r="O120" s="30">
        <f>'дод. 4'!O167</f>
        <v>7000000</v>
      </c>
      <c r="P120" s="30">
        <f t="shared" si="18"/>
        <v>7000000</v>
      </c>
      <c r="Q120" s="120"/>
    </row>
    <row r="121" spans="1:17" s="20" customFormat="1" ht="30">
      <c r="A121" s="18"/>
      <c r="B121" s="21" t="s">
        <v>121</v>
      </c>
      <c r="C121" s="21" t="s">
        <v>140</v>
      </c>
      <c r="D121" s="22" t="s">
        <v>122</v>
      </c>
      <c r="E121" s="30">
        <f t="shared" si="16"/>
        <v>6231711</v>
      </c>
      <c r="F121" s="30">
        <f>'дод. 4'!F168</f>
        <v>0</v>
      </c>
      <c r="G121" s="30">
        <f>'дод. 4'!G168</f>
        <v>0</v>
      </c>
      <c r="H121" s="30">
        <f>'дод. 4'!H168</f>
        <v>0</v>
      </c>
      <c r="I121" s="30">
        <f>'дод. 4'!I168</f>
        <v>6231711</v>
      </c>
      <c r="J121" s="30">
        <f t="shared" si="17"/>
        <v>4642909</v>
      </c>
      <c r="K121" s="30">
        <f>'дод. 4'!K168</f>
        <v>0</v>
      </c>
      <c r="L121" s="30">
        <f>'дод. 4'!L168</f>
        <v>0</v>
      </c>
      <c r="M121" s="30">
        <f>'дод. 4'!M168</f>
        <v>0</v>
      </c>
      <c r="N121" s="30">
        <f>'дод. 4'!N168</f>
        <v>4642909</v>
      </c>
      <c r="O121" s="30">
        <f>'дод. 4'!O168</f>
        <v>4642909</v>
      </c>
      <c r="P121" s="30">
        <f t="shared" si="18"/>
        <v>10874620</v>
      </c>
      <c r="Q121" s="120"/>
    </row>
    <row r="122" spans="1:17" s="20" customFormat="1" ht="15">
      <c r="A122" s="18"/>
      <c r="B122" s="21" t="s">
        <v>29</v>
      </c>
      <c r="C122" s="21" t="s">
        <v>140</v>
      </c>
      <c r="D122" s="22" t="s">
        <v>30</v>
      </c>
      <c r="E122" s="30">
        <f t="shared" si="16"/>
        <v>91210245.59</v>
      </c>
      <c r="F122" s="30">
        <f>'дод. 4'!F169+'дод. 4'!F21+'дод. 4'!F199+'дод. 4'!F227</f>
        <v>72093346.41</v>
      </c>
      <c r="G122" s="30">
        <f>'дод. 4'!G169+'дод. 4'!G21+'дод. 4'!G199+'дод. 4'!G227</f>
        <v>0</v>
      </c>
      <c r="H122" s="30">
        <f>'дод. 4'!H169+'дод. 4'!H21+'дод. 4'!H199+'дод. 4'!H227</f>
        <v>9875309.79</v>
      </c>
      <c r="I122" s="30">
        <f>'дод. 4'!I169+'дод. 4'!I21+'дод. 4'!I199+'дод. 4'!I227</f>
        <v>19116899.18</v>
      </c>
      <c r="J122" s="30">
        <f t="shared" si="17"/>
        <v>102349190.23</v>
      </c>
      <c r="K122" s="30">
        <f>'дод. 4'!K169+'дод. 4'!K21+'дод. 4'!K199+'дод. 4'!K227</f>
        <v>0</v>
      </c>
      <c r="L122" s="30">
        <f>'дод. 4'!L169+'дод. 4'!L21+'дод. 4'!L199+'дод. 4'!L227</f>
        <v>0</v>
      </c>
      <c r="M122" s="30">
        <f>'дод. 4'!M169+'дод. 4'!M21+'дод. 4'!M199+'дод. 4'!M227</f>
        <v>0</v>
      </c>
      <c r="N122" s="30">
        <f>'дод. 4'!N169+'дод. 4'!N21+'дод. 4'!N199+'дод. 4'!N227</f>
        <v>102349190.23</v>
      </c>
      <c r="O122" s="30">
        <f>'дод. 4'!O169+'дод. 4'!O21+'дод. 4'!O199+'дод. 4'!O227</f>
        <v>102349190.23</v>
      </c>
      <c r="P122" s="30">
        <f t="shared" si="18"/>
        <v>193559435.82</v>
      </c>
      <c r="Q122" s="120"/>
    </row>
    <row r="123" spans="1:17" s="20" customFormat="1" ht="45">
      <c r="A123" s="18"/>
      <c r="B123" s="21" t="s">
        <v>309</v>
      </c>
      <c r="C123" s="21" t="s">
        <v>140</v>
      </c>
      <c r="D123" s="22" t="s">
        <v>310</v>
      </c>
      <c r="E123" s="30">
        <f t="shared" si="16"/>
        <v>0</v>
      </c>
      <c r="F123" s="30">
        <f>'дод. 4'!F170</f>
        <v>0</v>
      </c>
      <c r="G123" s="30">
        <f>'дод. 4'!G170</f>
        <v>0</v>
      </c>
      <c r="H123" s="30">
        <f>'дод. 4'!H170</f>
        <v>0</v>
      </c>
      <c r="I123" s="30">
        <f>'дод. 4'!I170</f>
        <v>0</v>
      </c>
      <c r="J123" s="30">
        <f t="shared" si="17"/>
        <v>845938</v>
      </c>
      <c r="K123" s="30">
        <f>'дод. 4'!K170</f>
        <v>0</v>
      </c>
      <c r="L123" s="30">
        <f>'дод. 4'!L170</f>
        <v>0</v>
      </c>
      <c r="M123" s="30">
        <f>'дод. 4'!M170</f>
        <v>0</v>
      </c>
      <c r="N123" s="30">
        <f>'дод. 4'!N170</f>
        <v>845938</v>
      </c>
      <c r="O123" s="30">
        <f>'дод. 4'!O170</f>
        <v>845938</v>
      </c>
      <c r="P123" s="30">
        <f t="shared" si="18"/>
        <v>845938</v>
      </c>
      <c r="Q123" s="120"/>
    </row>
    <row r="124" spans="1:17" s="20" customFormat="1" ht="60">
      <c r="A124" s="18"/>
      <c r="B124" s="21" t="s">
        <v>323</v>
      </c>
      <c r="C124" s="21" t="s">
        <v>140</v>
      </c>
      <c r="D124" s="22" t="s">
        <v>324</v>
      </c>
      <c r="E124" s="30">
        <f t="shared" si="16"/>
        <v>296718.29</v>
      </c>
      <c r="F124" s="30">
        <f>'дод. 4'!F171</f>
        <v>0</v>
      </c>
      <c r="G124" s="30">
        <f>'дод. 4'!G171</f>
        <v>0</v>
      </c>
      <c r="H124" s="30">
        <f>'дод. 4'!H171</f>
        <v>0</v>
      </c>
      <c r="I124" s="30">
        <f>'дод. 4'!I171</f>
        <v>296718.29</v>
      </c>
      <c r="J124" s="30">
        <f t="shared" si="17"/>
        <v>0</v>
      </c>
      <c r="K124" s="30">
        <f>'дод. 4'!K171</f>
        <v>0</v>
      </c>
      <c r="L124" s="30">
        <f>'дод. 4'!L171</f>
        <v>0</v>
      </c>
      <c r="M124" s="30">
        <f>'дод. 4'!M171</f>
        <v>0</v>
      </c>
      <c r="N124" s="30">
        <f>'дод. 4'!N171</f>
        <v>0</v>
      </c>
      <c r="O124" s="30">
        <f>'дод. 4'!O171</f>
        <v>0</v>
      </c>
      <c r="P124" s="30">
        <f t="shared" si="18"/>
        <v>296718.29</v>
      </c>
      <c r="Q124" s="120"/>
    </row>
    <row r="125" spans="1:17" s="20" customFormat="1" ht="15">
      <c r="A125" s="18"/>
      <c r="B125" s="50" t="s">
        <v>223</v>
      </c>
      <c r="C125" s="51"/>
      <c r="D125" s="51" t="s">
        <v>224</v>
      </c>
      <c r="E125" s="54">
        <f>E126+E127+E128+E129</f>
        <v>31392672</v>
      </c>
      <c r="F125" s="54">
        <f aca="true" t="shared" si="19" ref="F125:P125">F126+F127+F128+F129</f>
        <v>31392672</v>
      </c>
      <c r="G125" s="54">
        <f t="shared" si="19"/>
        <v>21664684</v>
      </c>
      <c r="H125" s="54">
        <f t="shared" si="19"/>
        <v>1855080</v>
      </c>
      <c r="I125" s="54">
        <f t="shared" si="19"/>
        <v>0</v>
      </c>
      <c r="J125" s="54">
        <f t="shared" si="19"/>
        <v>2586679</v>
      </c>
      <c r="K125" s="54">
        <f t="shared" si="19"/>
        <v>1320320</v>
      </c>
      <c r="L125" s="54">
        <f t="shared" si="19"/>
        <v>953732</v>
      </c>
      <c r="M125" s="54">
        <f t="shared" si="19"/>
        <v>0</v>
      </c>
      <c r="N125" s="54">
        <f t="shared" si="19"/>
        <v>1266359</v>
      </c>
      <c r="O125" s="54">
        <f t="shared" si="19"/>
        <v>1261759</v>
      </c>
      <c r="P125" s="54">
        <f t="shared" si="19"/>
        <v>33979351</v>
      </c>
      <c r="Q125" s="120"/>
    </row>
    <row r="126" spans="1:17" s="20" customFormat="1" ht="30">
      <c r="A126" s="18"/>
      <c r="B126" s="21" t="s">
        <v>111</v>
      </c>
      <c r="C126" s="21" t="s">
        <v>170</v>
      </c>
      <c r="D126" s="22" t="s">
        <v>112</v>
      </c>
      <c r="E126" s="30">
        <f>F126+I126</f>
        <v>1240000</v>
      </c>
      <c r="F126" s="30">
        <f>'дод. 4'!F157</f>
        <v>1240000</v>
      </c>
      <c r="G126" s="30">
        <f>'дод. 4'!G157</f>
        <v>0</v>
      </c>
      <c r="H126" s="30">
        <f>'дод. 4'!H157</f>
        <v>0</v>
      </c>
      <c r="I126" s="30">
        <f>'дод. 4'!I157</f>
        <v>0</v>
      </c>
      <c r="J126" s="30">
        <f>K126+N126</f>
        <v>0</v>
      </c>
      <c r="K126" s="30">
        <f>'дод. 4'!K157</f>
        <v>0</v>
      </c>
      <c r="L126" s="30">
        <f>'дод. 4'!L157</f>
        <v>0</v>
      </c>
      <c r="M126" s="30">
        <f>'дод. 4'!M157</f>
        <v>0</v>
      </c>
      <c r="N126" s="30">
        <f>'дод. 4'!N157</f>
        <v>0</v>
      </c>
      <c r="O126" s="30">
        <f>'дод. 4'!O157</f>
        <v>0</v>
      </c>
      <c r="P126" s="30">
        <f>E126+J126</f>
        <v>1240000</v>
      </c>
      <c r="Q126" s="120"/>
    </row>
    <row r="127" spans="1:17" s="20" customFormat="1" ht="15">
      <c r="A127" s="18"/>
      <c r="B127" s="21" t="s">
        <v>113</v>
      </c>
      <c r="C127" s="21" t="s">
        <v>171</v>
      </c>
      <c r="D127" s="22" t="s">
        <v>114</v>
      </c>
      <c r="E127" s="30">
        <f>F127+I127</f>
        <v>10529452</v>
      </c>
      <c r="F127" s="30">
        <f>'дод. 4'!F158</f>
        <v>10529452</v>
      </c>
      <c r="G127" s="30">
        <f>'дод. 4'!G158</f>
        <v>7058552</v>
      </c>
      <c r="H127" s="30">
        <f>'дод. 4'!H158</f>
        <v>1039633</v>
      </c>
      <c r="I127" s="30">
        <f>'дод. 4'!I158</f>
        <v>0</v>
      </c>
      <c r="J127" s="30">
        <f>K127+N127</f>
        <v>705500</v>
      </c>
      <c r="K127" s="30">
        <f>'дод. 4'!K158</f>
        <v>21000</v>
      </c>
      <c r="L127" s="30">
        <f>'дод. 4'!L158</f>
        <v>5000</v>
      </c>
      <c r="M127" s="30">
        <f>'дод. 4'!M158</f>
        <v>0</v>
      </c>
      <c r="N127" s="30">
        <f>'дод. 4'!N158</f>
        <v>684500</v>
      </c>
      <c r="O127" s="30">
        <f>'дод. 4'!O158</f>
        <v>684500</v>
      </c>
      <c r="P127" s="30">
        <f>E127+J127</f>
        <v>11234952</v>
      </c>
      <c r="Q127" s="120"/>
    </row>
    <row r="128" spans="1:17" s="40" customFormat="1" ht="15">
      <c r="A128" s="39"/>
      <c r="B128" s="21" t="s">
        <v>115</v>
      </c>
      <c r="C128" s="21" t="s">
        <v>154</v>
      </c>
      <c r="D128" s="22" t="s">
        <v>116</v>
      </c>
      <c r="E128" s="30">
        <f>F128+I128</f>
        <v>16979240</v>
      </c>
      <c r="F128" s="30">
        <f>'дод. 4'!F159</f>
        <v>16979240</v>
      </c>
      <c r="G128" s="30">
        <f>'дод. 4'!G159</f>
        <v>13079650</v>
      </c>
      <c r="H128" s="30">
        <f>'дод. 4'!H159</f>
        <v>702306</v>
      </c>
      <c r="I128" s="30">
        <f>'дод. 4'!I159</f>
        <v>0</v>
      </c>
      <c r="J128" s="30">
        <f>K128+N128</f>
        <v>1741420</v>
      </c>
      <c r="K128" s="30">
        <f>'дод. 4'!K159</f>
        <v>1299320</v>
      </c>
      <c r="L128" s="30">
        <f>'дод. 4'!L159</f>
        <v>948732</v>
      </c>
      <c r="M128" s="30">
        <f>'дод. 4'!M159</f>
        <v>0</v>
      </c>
      <c r="N128" s="30">
        <f>'дод. 4'!N159</f>
        <v>442100</v>
      </c>
      <c r="O128" s="30">
        <f>'дод. 4'!O159</f>
        <v>437500</v>
      </c>
      <c r="P128" s="30">
        <f>E128+J128</f>
        <v>18720660</v>
      </c>
      <c r="Q128" s="120"/>
    </row>
    <row r="129" spans="1:17" s="20" customFormat="1" ht="15">
      <c r="A129" s="18"/>
      <c r="B129" s="21" t="s">
        <v>31</v>
      </c>
      <c r="C129" s="21" t="s">
        <v>141</v>
      </c>
      <c r="D129" s="22" t="s">
        <v>32</v>
      </c>
      <c r="E129" s="30">
        <f>F129+I129</f>
        <v>2643980</v>
      </c>
      <c r="F129" s="30">
        <f>'дод. 4'!F160+'дод. 4'!F22</f>
        <v>2643980</v>
      </c>
      <c r="G129" s="30">
        <f>'дод. 4'!G160+'дод. 4'!G22</f>
        <v>1526482</v>
      </c>
      <c r="H129" s="30">
        <f>'дод. 4'!H160+'дод. 4'!H22</f>
        <v>113141</v>
      </c>
      <c r="I129" s="30">
        <f>'дод. 4'!I160+'дод. 4'!I22</f>
        <v>0</v>
      </c>
      <c r="J129" s="30">
        <f>K129+N129</f>
        <v>139759</v>
      </c>
      <c r="K129" s="30">
        <f>'дод. 4'!K160+'дод. 4'!K22</f>
        <v>0</v>
      </c>
      <c r="L129" s="30">
        <f>'дод. 4'!L160+'дод. 4'!L22</f>
        <v>0</v>
      </c>
      <c r="M129" s="30">
        <f>'дод. 4'!M160+'дод. 4'!M22</f>
        <v>0</v>
      </c>
      <c r="N129" s="30">
        <f>'дод. 4'!N160+'дод. 4'!N22</f>
        <v>139759</v>
      </c>
      <c r="O129" s="30">
        <f>'дод. 4'!O160+'дод. 4'!O22</f>
        <v>139759</v>
      </c>
      <c r="P129" s="30">
        <f>E129+J129</f>
        <v>2783739</v>
      </c>
      <c r="Q129" s="120" t="s">
        <v>358</v>
      </c>
    </row>
    <row r="130" spans="1:17" s="20" customFormat="1" ht="15">
      <c r="A130" s="18"/>
      <c r="B130" s="50" t="s">
        <v>225</v>
      </c>
      <c r="C130" s="51"/>
      <c r="D130" s="51" t="s">
        <v>226</v>
      </c>
      <c r="E130" s="54">
        <f>E131</f>
        <v>101500</v>
      </c>
      <c r="F130" s="54">
        <f aca="true" t="shared" si="20" ref="F130:P130">F131</f>
        <v>101500</v>
      </c>
      <c r="G130" s="54">
        <f t="shared" si="20"/>
        <v>0</v>
      </c>
      <c r="H130" s="54">
        <f t="shared" si="20"/>
        <v>0</v>
      </c>
      <c r="I130" s="54">
        <f t="shared" si="20"/>
        <v>0</v>
      </c>
      <c r="J130" s="54">
        <f t="shared" si="20"/>
        <v>0</v>
      </c>
      <c r="K130" s="54">
        <f t="shared" si="20"/>
        <v>0</v>
      </c>
      <c r="L130" s="54">
        <f t="shared" si="20"/>
        <v>0</v>
      </c>
      <c r="M130" s="54">
        <f t="shared" si="20"/>
        <v>0</v>
      </c>
      <c r="N130" s="54">
        <f t="shared" si="20"/>
        <v>0</v>
      </c>
      <c r="O130" s="54">
        <f t="shared" si="20"/>
        <v>0</v>
      </c>
      <c r="P130" s="54">
        <f t="shared" si="20"/>
        <v>101500</v>
      </c>
      <c r="Q130" s="120"/>
    </row>
    <row r="131" spans="1:17" s="20" customFormat="1" ht="15">
      <c r="A131" s="18"/>
      <c r="B131" s="21" t="s">
        <v>190</v>
      </c>
      <c r="C131" s="21" t="s">
        <v>192</v>
      </c>
      <c r="D131" s="22" t="s">
        <v>191</v>
      </c>
      <c r="E131" s="30">
        <f>F131+I131</f>
        <v>101500</v>
      </c>
      <c r="F131" s="30">
        <f>'дод. 4'!F23</f>
        <v>101500</v>
      </c>
      <c r="G131" s="30">
        <f>'дод. 4'!G23</f>
        <v>0</v>
      </c>
      <c r="H131" s="30">
        <f>'дод. 4'!H23</f>
        <v>0</v>
      </c>
      <c r="I131" s="30">
        <f>'дод. 4'!I23</f>
        <v>0</v>
      </c>
      <c r="J131" s="30">
        <f>K131+N131</f>
        <v>0</v>
      </c>
      <c r="K131" s="30">
        <f>'дод. 4'!K23</f>
        <v>0</v>
      </c>
      <c r="L131" s="30">
        <f>'дод. 4'!L23</f>
        <v>0</v>
      </c>
      <c r="M131" s="30">
        <f>'дод. 4'!M23</f>
        <v>0</v>
      </c>
      <c r="N131" s="30">
        <f>'дод. 4'!N23</f>
        <v>0</v>
      </c>
      <c r="O131" s="30">
        <f>'дод. 4'!O23</f>
        <v>0</v>
      </c>
      <c r="P131" s="30">
        <f>E131+J131</f>
        <v>101500</v>
      </c>
      <c r="Q131" s="120"/>
    </row>
    <row r="132" spans="1:17" s="20" customFormat="1" ht="15">
      <c r="A132" s="18"/>
      <c r="B132" s="50" t="s">
        <v>227</v>
      </c>
      <c r="C132" s="51"/>
      <c r="D132" s="51" t="s">
        <v>228</v>
      </c>
      <c r="E132" s="54">
        <f>E133+E134+E135+E136+E137+E138</f>
        <v>17807189</v>
      </c>
      <c r="F132" s="54">
        <f aca="true" t="shared" si="21" ref="F132:P132">F133+F134+F135+F136+F137+F138</f>
        <v>17807189</v>
      </c>
      <c r="G132" s="54">
        <f t="shared" si="21"/>
        <v>6289101</v>
      </c>
      <c r="H132" s="54">
        <f t="shared" si="21"/>
        <v>976907</v>
      </c>
      <c r="I132" s="54">
        <f t="shared" si="21"/>
        <v>0</v>
      </c>
      <c r="J132" s="54">
        <f t="shared" si="21"/>
        <v>1181314</v>
      </c>
      <c r="K132" s="54">
        <f t="shared" si="21"/>
        <v>317714</v>
      </c>
      <c r="L132" s="54">
        <f t="shared" si="21"/>
        <v>144491</v>
      </c>
      <c r="M132" s="54">
        <f t="shared" si="21"/>
        <v>97628</v>
      </c>
      <c r="N132" s="54">
        <f t="shared" si="21"/>
        <v>863600</v>
      </c>
      <c r="O132" s="54">
        <f t="shared" si="21"/>
        <v>863600</v>
      </c>
      <c r="P132" s="54">
        <f t="shared" si="21"/>
        <v>18988503</v>
      </c>
      <c r="Q132" s="120"/>
    </row>
    <row r="133" spans="1:17" s="20" customFormat="1" ht="30">
      <c r="A133" s="18"/>
      <c r="B133" s="21" t="s">
        <v>33</v>
      </c>
      <c r="C133" s="21" t="s">
        <v>142</v>
      </c>
      <c r="D133" s="22" t="s">
        <v>34</v>
      </c>
      <c r="E133" s="30">
        <f aca="true" t="shared" si="22" ref="E133:E138">F133+I133</f>
        <v>500000</v>
      </c>
      <c r="F133" s="30">
        <f>'дод. 4'!F24</f>
        <v>500000</v>
      </c>
      <c r="G133" s="30">
        <f>'дод. 4'!G24</f>
        <v>0</v>
      </c>
      <c r="H133" s="30">
        <f>'дод. 4'!H24</f>
        <v>0</v>
      </c>
      <c r="I133" s="30">
        <f>'дод. 4'!I24</f>
        <v>0</v>
      </c>
      <c r="J133" s="30">
        <f aca="true" t="shared" si="23" ref="J133:J138">K133+N133</f>
        <v>0</v>
      </c>
      <c r="K133" s="30">
        <f>'дод. 4'!K24</f>
        <v>0</v>
      </c>
      <c r="L133" s="30">
        <f>'дод. 4'!L24</f>
        <v>0</v>
      </c>
      <c r="M133" s="30">
        <f>'дод. 4'!M24</f>
        <v>0</v>
      </c>
      <c r="N133" s="30">
        <f>'дод. 4'!N24</f>
        <v>0</v>
      </c>
      <c r="O133" s="30">
        <f>'дод. 4'!O24</f>
        <v>0</v>
      </c>
      <c r="P133" s="30">
        <f aca="true" t="shared" si="24" ref="P133:P138">E133+J133</f>
        <v>500000</v>
      </c>
      <c r="Q133" s="120"/>
    </row>
    <row r="134" spans="1:17" s="20" customFormat="1" ht="45">
      <c r="A134" s="18"/>
      <c r="B134" s="21" t="s">
        <v>35</v>
      </c>
      <c r="C134" s="21" t="s">
        <v>142</v>
      </c>
      <c r="D134" s="22" t="s">
        <v>36</v>
      </c>
      <c r="E134" s="30">
        <f t="shared" si="22"/>
        <v>523780</v>
      </c>
      <c r="F134" s="30">
        <f>'дод. 4'!F25</f>
        <v>523780</v>
      </c>
      <c r="G134" s="30">
        <f>'дод. 4'!G25</f>
        <v>0</v>
      </c>
      <c r="H134" s="30">
        <f>'дод. 4'!H25</f>
        <v>0</v>
      </c>
      <c r="I134" s="30">
        <f>'дод. 4'!I25</f>
        <v>0</v>
      </c>
      <c r="J134" s="30">
        <f t="shared" si="23"/>
        <v>0</v>
      </c>
      <c r="K134" s="30">
        <f>'дод. 4'!K25</f>
        <v>0</v>
      </c>
      <c r="L134" s="30">
        <f>'дод. 4'!L25</f>
        <v>0</v>
      </c>
      <c r="M134" s="30">
        <f>'дод. 4'!M25</f>
        <v>0</v>
      </c>
      <c r="N134" s="30">
        <f>'дод. 4'!N25</f>
        <v>0</v>
      </c>
      <c r="O134" s="30">
        <f>'дод. 4'!O25</f>
        <v>0</v>
      </c>
      <c r="P134" s="30">
        <f t="shared" si="24"/>
        <v>523780</v>
      </c>
      <c r="Q134" s="120"/>
    </row>
    <row r="135" spans="1:17" s="20" customFormat="1" ht="45">
      <c r="A135" s="18"/>
      <c r="B135" s="21" t="s">
        <v>37</v>
      </c>
      <c r="C135" s="21" t="s">
        <v>142</v>
      </c>
      <c r="D135" s="22" t="s">
        <v>38</v>
      </c>
      <c r="E135" s="30">
        <f t="shared" si="22"/>
        <v>8057003</v>
      </c>
      <c r="F135" s="30">
        <f>'дод. 4'!F26+'дод. 4'!F65</f>
        <v>8057003</v>
      </c>
      <c r="G135" s="30">
        <f>'дод. 4'!G26+'дод. 4'!G65</f>
        <v>5353609</v>
      </c>
      <c r="H135" s="30">
        <f>'дод. 4'!H26+'дод. 4'!H65</f>
        <v>592617</v>
      </c>
      <c r="I135" s="30">
        <f>'дод. 4'!I26+'дод. 4'!I65</f>
        <v>0</v>
      </c>
      <c r="J135" s="30">
        <f t="shared" si="23"/>
        <v>244000</v>
      </c>
      <c r="K135" s="30">
        <f>'дод. 4'!K26+'дод. 4'!K65</f>
        <v>0</v>
      </c>
      <c r="L135" s="30">
        <f>'дод. 4'!L26+'дод. 4'!L65</f>
        <v>0</v>
      </c>
      <c r="M135" s="30">
        <f>'дод. 4'!M26+'дод. 4'!M65</f>
        <v>0</v>
      </c>
      <c r="N135" s="30">
        <f>'дод. 4'!N26+'дод. 4'!N65</f>
        <v>244000</v>
      </c>
      <c r="O135" s="30">
        <f>'дод. 4'!O26+'дод. 4'!O65</f>
        <v>244000</v>
      </c>
      <c r="P135" s="30">
        <f t="shared" si="24"/>
        <v>8301003</v>
      </c>
      <c r="Q135" s="120"/>
    </row>
    <row r="136" spans="1:17" s="20" customFormat="1" ht="15">
      <c r="A136" s="18"/>
      <c r="B136" s="21" t="s">
        <v>39</v>
      </c>
      <c r="C136" s="21" t="s">
        <v>142</v>
      </c>
      <c r="D136" s="22" t="s">
        <v>26</v>
      </c>
      <c r="E136" s="30">
        <f t="shared" si="22"/>
        <v>2373363</v>
      </c>
      <c r="F136" s="30">
        <f>'дод. 4'!F27</f>
        <v>2373363</v>
      </c>
      <c r="G136" s="30">
        <f>'дод. 4'!G27</f>
        <v>0</v>
      </c>
      <c r="H136" s="30">
        <f>'дод. 4'!H27</f>
        <v>0</v>
      </c>
      <c r="I136" s="30">
        <f>'дод. 4'!I27</f>
        <v>0</v>
      </c>
      <c r="J136" s="30">
        <f t="shared" si="23"/>
        <v>0</v>
      </c>
      <c r="K136" s="30">
        <f>'дод. 4'!K27</f>
        <v>0</v>
      </c>
      <c r="L136" s="30">
        <f>'дод. 4'!L27</f>
        <v>0</v>
      </c>
      <c r="M136" s="30">
        <f>'дод. 4'!M27</f>
        <v>0</v>
      </c>
      <c r="N136" s="30">
        <f>'дод. 4'!N27</f>
        <v>0</v>
      </c>
      <c r="O136" s="30">
        <f>'дод. 4'!O27</f>
        <v>0</v>
      </c>
      <c r="P136" s="30">
        <f t="shared" si="24"/>
        <v>2373363</v>
      </c>
      <c r="Q136" s="120"/>
    </row>
    <row r="137" spans="1:17" s="20" customFormat="1" ht="30">
      <c r="A137" s="18"/>
      <c r="B137" s="21" t="s">
        <v>40</v>
      </c>
      <c r="C137" s="21" t="s">
        <v>142</v>
      </c>
      <c r="D137" s="22" t="s">
        <v>41</v>
      </c>
      <c r="E137" s="30">
        <f t="shared" si="22"/>
        <v>2125166</v>
      </c>
      <c r="F137" s="30">
        <f>'дод. 4'!F28</f>
        <v>2125166</v>
      </c>
      <c r="G137" s="30">
        <f>'дод. 4'!G28</f>
        <v>935492</v>
      </c>
      <c r="H137" s="30">
        <f>'дод. 4'!H28</f>
        <v>384290</v>
      </c>
      <c r="I137" s="30">
        <f>'дод. 4'!I28</f>
        <v>0</v>
      </c>
      <c r="J137" s="30">
        <f t="shared" si="23"/>
        <v>914314</v>
      </c>
      <c r="K137" s="30">
        <f>'дод. 4'!K28</f>
        <v>317714</v>
      </c>
      <c r="L137" s="30">
        <f>'дод. 4'!L28</f>
        <v>144491</v>
      </c>
      <c r="M137" s="30">
        <f>'дод. 4'!M28</f>
        <v>97628</v>
      </c>
      <c r="N137" s="30">
        <f>'дод. 4'!N28</f>
        <v>596600</v>
      </c>
      <c r="O137" s="30">
        <f>'дод. 4'!O28</f>
        <v>596600</v>
      </c>
      <c r="P137" s="30">
        <f t="shared" si="24"/>
        <v>3039480</v>
      </c>
      <c r="Q137" s="120"/>
    </row>
    <row r="138" spans="1:17" s="20" customFormat="1" ht="75">
      <c r="A138" s="18"/>
      <c r="B138" s="21" t="s">
        <v>42</v>
      </c>
      <c r="C138" s="21" t="s">
        <v>142</v>
      </c>
      <c r="D138" s="22" t="s">
        <v>43</v>
      </c>
      <c r="E138" s="30">
        <f t="shared" si="22"/>
        <v>4227877</v>
      </c>
      <c r="F138" s="30">
        <f>'дод. 4'!F29</f>
        <v>4227877</v>
      </c>
      <c r="G138" s="30">
        <f>'дод. 4'!G29</f>
        <v>0</v>
      </c>
      <c r="H138" s="30">
        <f>'дод. 4'!H29</f>
        <v>0</v>
      </c>
      <c r="I138" s="30">
        <f>'дод. 4'!I29</f>
        <v>0</v>
      </c>
      <c r="J138" s="30">
        <f t="shared" si="23"/>
        <v>23000</v>
      </c>
      <c r="K138" s="30">
        <f>'дод. 4'!K29</f>
        <v>0</v>
      </c>
      <c r="L138" s="30">
        <f>'дод. 4'!L29</f>
        <v>0</v>
      </c>
      <c r="M138" s="30">
        <f>'дод. 4'!M29</f>
        <v>0</v>
      </c>
      <c r="N138" s="30">
        <f>'дод. 4'!N29</f>
        <v>23000</v>
      </c>
      <c r="O138" s="30">
        <f>'дод. 4'!O29</f>
        <v>23000</v>
      </c>
      <c r="P138" s="30">
        <f t="shared" si="24"/>
        <v>4250877</v>
      </c>
      <c r="Q138" s="120"/>
    </row>
    <row r="139" spans="1:17" s="20" customFormat="1" ht="15">
      <c r="A139" s="18"/>
      <c r="B139" s="50" t="s">
        <v>229</v>
      </c>
      <c r="C139" s="51"/>
      <c r="D139" s="51" t="s">
        <v>230</v>
      </c>
      <c r="E139" s="54">
        <f>E141+E144+E145+E143</f>
        <v>798370</v>
      </c>
      <c r="F139" s="54">
        <f aca="true" t="shared" si="25" ref="F139:P139">F141+F144+F145+F143</f>
        <v>99000</v>
      </c>
      <c r="G139" s="54">
        <f t="shared" si="25"/>
        <v>0</v>
      </c>
      <c r="H139" s="54">
        <f t="shared" si="25"/>
        <v>0</v>
      </c>
      <c r="I139" s="54">
        <f t="shared" si="25"/>
        <v>699370</v>
      </c>
      <c r="J139" s="54">
        <f t="shared" si="25"/>
        <v>153898182.94</v>
      </c>
      <c r="K139" s="54">
        <f t="shared" si="25"/>
        <v>0</v>
      </c>
      <c r="L139" s="54">
        <f t="shared" si="25"/>
        <v>0</v>
      </c>
      <c r="M139" s="54">
        <f t="shared" si="25"/>
        <v>0</v>
      </c>
      <c r="N139" s="54">
        <f t="shared" si="25"/>
        <v>153898182.94</v>
      </c>
      <c r="O139" s="54">
        <f t="shared" si="25"/>
        <v>153898182.94</v>
      </c>
      <c r="P139" s="54">
        <f t="shared" si="25"/>
        <v>154696552.94</v>
      </c>
      <c r="Q139" s="120"/>
    </row>
    <row r="140" spans="1:17" s="20" customFormat="1" ht="15">
      <c r="A140" s="18"/>
      <c r="B140" s="50"/>
      <c r="C140" s="51"/>
      <c r="D140" s="34" t="s">
        <v>210</v>
      </c>
      <c r="E140" s="54">
        <f>E142</f>
        <v>0</v>
      </c>
      <c r="F140" s="54">
        <f aca="true" t="shared" si="26" ref="F140:P140">F142</f>
        <v>0</v>
      </c>
      <c r="G140" s="54">
        <f t="shared" si="26"/>
        <v>0</v>
      </c>
      <c r="H140" s="54">
        <f t="shared" si="26"/>
        <v>0</v>
      </c>
      <c r="I140" s="54">
        <f t="shared" si="26"/>
        <v>0</v>
      </c>
      <c r="J140" s="54">
        <f t="shared" si="26"/>
        <v>4494800</v>
      </c>
      <c r="K140" s="54">
        <f t="shared" si="26"/>
        <v>0</v>
      </c>
      <c r="L140" s="54">
        <f t="shared" si="26"/>
        <v>0</v>
      </c>
      <c r="M140" s="54">
        <f t="shared" si="26"/>
        <v>0</v>
      </c>
      <c r="N140" s="54">
        <f t="shared" si="26"/>
        <v>4494800</v>
      </c>
      <c r="O140" s="54">
        <f t="shared" si="26"/>
        <v>4494800</v>
      </c>
      <c r="P140" s="54">
        <f t="shared" si="26"/>
        <v>4494800</v>
      </c>
      <c r="Q140" s="120"/>
    </row>
    <row r="141" spans="1:17" s="20" customFormat="1" ht="14.25" customHeight="1">
      <c r="A141" s="18"/>
      <c r="B141" s="21" t="s">
        <v>129</v>
      </c>
      <c r="C141" s="21" t="s">
        <v>145</v>
      </c>
      <c r="D141" s="22" t="s">
        <v>130</v>
      </c>
      <c r="E141" s="30">
        <f>F141+I141</f>
        <v>0</v>
      </c>
      <c r="F141" s="30">
        <f>'дод. 4'!F200+'дод. 4'!F172</f>
        <v>0</v>
      </c>
      <c r="G141" s="30">
        <f>'дод. 4'!G200+'дод. 4'!G172</f>
        <v>0</v>
      </c>
      <c r="H141" s="30">
        <f>'дод. 4'!H200+'дод. 4'!H172</f>
        <v>0</v>
      </c>
      <c r="I141" s="30">
        <f>'дод. 4'!I200+'дод. 4'!I172</f>
        <v>0</v>
      </c>
      <c r="J141" s="30">
        <f>K141+N141</f>
        <v>153128182.94</v>
      </c>
      <c r="K141" s="30">
        <f>'дод. 4'!K200+'дод. 4'!K172</f>
        <v>0</v>
      </c>
      <c r="L141" s="30">
        <f>'дод. 4'!L200+'дод. 4'!L172</f>
        <v>0</v>
      </c>
      <c r="M141" s="30">
        <f>'дод. 4'!M200+'дод. 4'!M172</f>
        <v>0</v>
      </c>
      <c r="N141" s="30">
        <f>'дод. 4'!N200+'дод. 4'!N172</f>
        <v>153128182.94</v>
      </c>
      <c r="O141" s="30">
        <f>'дод. 4'!O200+'дод. 4'!O172</f>
        <v>153128182.94</v>
      </c>
      <c r="P141" s="30">
        <f>E141+J141</f>
        <v>153128182.94</v>
      </c>
      <c r="Q141" s="120"/>
    </row>
    <row r="142" spans="1:17" s="20" customFormat="1" ht="14.25" customHeight="1">
      <c r="A142" s="18"/>
      <c r="B142" s="21"/>
      <c r="C142" s="21"/>
      <c r="D142" s="34" t="s">
        <v>210</v>
      </c>
      <c r="E142" s="30">
        <f>'дод. 4'!E201</f>
        <v>0</v>
      </c>
      <c r="F142" s="30">
        <f>'дод. 4'!F201</f>
        <v>0</v>
      </c>
      <c r="G142" s="30">
        <f>'дод. 4'!G201</f>
        <v>0</v>
      </c>
      <c r="H142" s="30">
        <f>'дод. 4'!H201</f>
        <v>0</v>
      </c>
      <c r="I142" s="30">
        <f>'дод. 4'!I201</f>
        <v>0</v>
      </c>
      <c r="J142" s="30">
        <f>K142+N142</f>
        <v>4494800</v>
      </c>
      <c r="K142" s="30">
        <f>'дод. 4'!K201</f>
        <v>0</v>
      </c>
      <c r="L142" s="30">
        <f>'дод. 4'!L201</f>
        <v>0</v>
      </c>
      <c r="M142" s="30">
        <f>'дод. 4'!M201</f>
        <v>0</v>
      </c>
      <c r="N142" s="30">
        <f>'дод. 4'!N201+'дод. 4'!N173</f>
        <v>4494800</v>
      </c>
      <c r="O142" s="30">
        <f>'дод. 4'!O201+'дод. 4'!O173</f>
        <v>4494800</v>
      </c>
      <c r="P142" s="30">
        <f>'дод. 4'!P201+'дод. 4'!P173</f>
        <v>4494800</v>
      </c>
      <c r="Q142" s="120"/>
    </row>
    <row r="143" spans="1:17" s="20" customFormat="1" ht="14.25" customHeight="1">
      <c r="A143" s="18"/>
      <c r="B143" s="21" t="s">
        <v>344</v>
      </c>
      <c r="C143" s="21" t="s">
        <v>165</v>
      </c>
      <c r="D143" s="22" t="s">
        <v>345</v>
      </c>
      <c r="E143" s="30">
        <f>'дод. 4'!E202</f>
        <v>0</v>
      </c>
      <c r="F143" s="30">
        <f>'дод. 4'!F202</f>
        <v>0</v>
      </c>
      <c r="G143" s="30">
        <f>'дод. 4'!G202</f>
        <v>0</v>
      </c>
      <c r="H143" s="30">
        <f>'дод. 4'!H202</f>
        <v>0</v>
      </c>
      <c r="I143" s="30">
        <f>'дод. 4'!I202</f>
        <v>0</v>
      </c>
      <c r="J143" s="30">
        <f>'дод. 4'!J202</f>
        <v>500000</v>
      </c>
      <c r="K143" s="30">
        <f>'дод. 4'!K202</f>
        <v>0</v>
      </c>
      <c r="L143" s="30">
        <f>'дод. 4'!L202</f>
        <v>0</v>
      </c>
      <c r="M143" s="30">
        <f>'дод. 4'!M202</f>
        <v>0</v>
      </c>
      <c r="N143" s="30">
        <f>'дод. 4'!N202</f>
        <v>500000</v>
      </c>
      <c r="O143" s="30">
        <f>'дод. 4'!O202</f>
        <v>500000</v>
      </c>
      <c r="P143" s="30">
        <f>'дод. 4'!P202</f>
        <v>500000</v>
      </c>
      <c r="Q143" s="120"/>
    </row>
    <row r="144" spans="1:17" s="20" customFormat="1" ht="30" customHeight="1">
      <c r="A144" s="18"/>
      <c r="B144" s="21" t="s">
        <v>338</v>
      </c>
      <c r="C144" s="21" t="s">
        <v>141</v>
      </c>
      <c r="D144" s="22" t="s">
        <v>339</v>
      </c>
      <c r="E144" s="30">
        <f>F144+I144</f>
        <v>0</v>
      </c>
      <c r="F144" s="30">
        <f>'дод. 4'!F203</f>
        <v>0</v>
      </c>
      <c r="G144" s="30">
        <f>'дод. 4'!G203</f>
        <v>0</v>
      </c>
      <c r="H144" s="30">
        <f>'дод. 4'!H203</f>
        <v>0</v>
      </c>
      <c r="I144" s="30">
        <f>'дод. 4'!I203</f>
        <v>0</v>
      </c>
      <c r="J144" s="30">
        <f>K144+N144</f>
        <v>270000</v>
      </c>
      <c r="K144" s="30">
        <f>'дод. 4'!K203</f>
        <v>0</v>
      </c>
      <c r="L144" s="30">
        <f>'дод. 4'!L203</f>
        <v>0</v>
      </c>
      <c r="M144" s="30">
        <f>'дод. 4'!M203</f>
        <v>0</v>
      </c>
      <c r="N144" s="30">
        <f>'дод. 4'!N203</f>
        <v>270000</v>
      </c>
      <c r="O144" s="30">
        <f>'дод. 4'!O203</f>
        <v>270000</v>
      </c>
      <c r="P144" s="30">
        <f>E144+J144</f>
        <v>270000</v>
      </c>
      <c r="Q144" s="120"/>
    </row>
    <row r="145" spans="1:17" s="20" customFormat="1" ht="30">
      <c r="A145" s="18"/>
      <c r="B145" s="21" t="s">
        <v>193</v>
      </c>
      <c r="C145" s="21" t="s">
        <v>195</v>
      </c>
      <c r="D145" s="22" t="s">
        <v>194</v>
      </c>
      <c r="E145" s="30">
        <f>F145+I145</f>
        <v>798370</v>
      </c>
      <c r="F145" s="30">
        <f>'дод. 4'!F174+'дод. 4'!F30+'дод. 4'!F204</f>
        <v>99000</v>
      </c>
      <c r="G145" s="30">
        <f>'дод. 4'!G174+'дод. 4'!G30+'дод. 4'!G204</f>
        <v>0</v>
      </c>
      <c r="H145" s="30">
        <f>'дод. 4'!H174+'дод. 4'!H30+'дод. 4'!H204</f>
        <v>0</v>
      </c>
      <c r="I145" s="30">
        <f>'дод. 4'!I174+'дод. 4'!I30+'дод. 4'!I204</f>
        <v>699370</v>
      </c>
      <c r="J145" s="30">
        <f>K145+N145</f>
        <v>0</v>
      </c>
      <c r="K145" s="30">
        <f>'дод. 4'!K174+'дод. 4'!K30+'дод. 4'!K204</f>
        <v>0</v>
      </c>
      <c r="L145" s="30">
        <f>'дод. 4'!L174+'дод. 4'!L30+'дод. 4'!L204</f>
        <v>0</v>
      </c>
      <c r="M145" s="30">
        <f>'дод. 4'!M174+'дод. 4'!M30+'дод. 4'!M204</f>
        <v>0</v>
      </c>
      <c r="N145" s="30">
        <f>'дод. 4'!N174+'дод. 4'!N30+'дод. 4'!N204</f>
        <v>0</v>
      </c>
      <c r="O145" s="30">
        <f>'дод. 4'!O174+'дод. 4'!O30+'дод. 4'!O204</f>
        <v>0</v>
      </c>
      <c r="P145" s="30">
        <f>E145+J145</f>
        <v>798370</v>
      </c>
      <c r="Q145" s="120"/>
    </row>
    <row r="146" spans="1:17" s="20" customFormat="1" ht="28.5">
      <c r="A146" s="18"/>
      <c r="B146" s="50" t="s">
        <v>231</v>
      </c>
      <c r="C146" s="51"/>
      <c r="D146" s="51" t="s">
        <v>232</v>
      </c>
      <c r="E146" s="54">
        <f>E147</f>
        <v>242300</v>
      </c>
      <c r="F146" s="54">
        <f aca="true" t="shared" si="27" ref="F146:P146">F147</f>
        <v>242300</v>
      </c>
      <c r="G146" s="54">
        <f t="shared" si="27"/>
        <v>0</v>
      </c>
      <c r="H146" s="54">
        <f t="shared" si="27"/>
        <v>0</v>
      </c>
      <c r="I146" s="54">
        <f t="shared" si="27"/>
        <v>0</v>
      </c>
      <c r="J146" s="54">
        <f t="shared" si="27"/>
        <v>107000</v>
      </c>
      <c r="K146" s="54">
        <f t="shared" si="27"/>
        <v>0</v>
      </c>
      <c r="L146" s="54">
        <f t="shared" si="27"/>
        <v>0</v>
      </c>
      <c r="M146" s="54">
        <f t="shared" si="27"/>
        <v>0</v>
      </c>
      <c r="N146" s="54">
        <f t="shared" si="27"/>
        <v>107000</v>
      </c>
      <c r="O146" s="54">
        <f t="shared" si="27"/>
        <v>107000</v>
      </c>
      <c r="P146" s="54">
        <f t="shared" si="27"/>
        <v>349300</v>
      </c>
      <c r="Q146" s="120"/>
    </row>
    <row r="147" spans="1:17" s="20" customFormat="1" ht="15">
      <c r="A147" s="18"/>
      <c r="B147" s="21" t="s">
        <v>123</v>
      </c>
      <c r="C147" s="21" t="s">
        <v>174</v>
      </c>
      <c r="D147" s="22" t="s">
        <v>124</v>
      </c>
      <c r="E147" s="30">
        <f>F147+I147</f>
        <v>242300</v>
      </c>
      <c r="F147" s="30">
        <f>'дод. 4'!F187+'дод. 4'!F216+'дод. 4'!F175+'дод. 4'!F205+'дод. 4'!F191</f>
        <v>242300</v>
      </c>
      <c r="G147" s="30">
        <f>'дод. 4'!G187+'дод. 4'!G216+'дод. 4'!G175+'дод. 4'!G205+'дод. 4'!G191</f>
        <v>0</v>
      </c>
      <c r="H147" s="30">
        <f>'дод. 4'!H187+'дод. 4'!H216+'дод. 4'!H175+'дод. 4'!H205+'дод. 4'!H191</f>
        <v>0</v>
      </c>
      <c r="I147" s="30">
        <f>'дод. 4'!I187+'дод. 4'!I216+'дод. 4'!I175+'дод. 4'!I205+'дод. 4'!I191</f>
        <v>0</v>
      </c>
      <c r="J147" s="30">
        <f>K147+N147</f>
        <v>107000</v>
      </c>
      <c r="K147" s="30">
        <f>'дод. 4'!K187+'дод. 4'!K216+'дод. 4'!K175+'дод. 4'!K205+'дод. 4'!K191</f>
        <v>0</v>
      </c>
      <c r="L147" s="30">
        <f>'дод. 4'!L187+'дод. 4'!L216+'дод. 4'!L175+'дод. 4'!L205+'дод. 4'!L191</f>
        <v>0</v>
      </c>
      <c r="M147" s="30">
        <f>'дод. 4'!M187+'дод. 4'!M216+'дод. 4'!M175+'дод. 4'!M205+'дод. 4'!M191</f>
        <v>0</v>
      </c>
      <c r="N147" s="30">
        <f>'дод. 4'!N187+'дод. 4'!N216+'дод. 4'!N175+'дод. 4'!N205+'дод. 4'!N191</f>
        <v>107000</v>
      </c>
      <c r="O147" s="30">
        <f>'дод. 4'!O187+'дод. 4'!O216+'дод. 4'!O175+'дод. 4'!O205+'дод. 4'!O191</f>
        <v>107000</v>
      </c>
      <c r="P147" s="30">
        <f>E147+J147</f>
        <v>349300</v>
      </c>
      <c r="Q147" s="120"/>
    </row>
    <row r="148" spans="1:18" s="20" customFormat="1" ht="42.75">
      <c r="A148" s="18"/>
      <c r="B148" s="50" t="s">
        <v>233</v>
      </c>
      <c r="C148" s="51"/>
      <c r="D148" s="51" t="s">
        <v>234</v>
      </c>
      <c r="E148" s="54">
        <f>E149+E151+E152+E153+E154+E150+E155</f>
        <v>32837855</v>
      </c>
      <c r="F148" s="54">
        <f aca="true" t="shared" si="28" ref="F148:P148">F149+F151+F152+F153+F154+F150+F155</f>
        <v>13538215</v>
      </c>
      <c r="G148" s="54">
        <f t="shared" si="28"/>
        <v>0</v>
      </c>
      <c r="H148" s="54">
        <f t="shared" si="28"/>
        <v>0</v>
      </c>
      <c r="I148" s="54">
        <f t="shared" si="28"/>
        <v>19299640</v>
      </c>
      <c r="J148" s="54">
        <f t="shared" si="28"/>
        <v>713447.59</v>
      </c>
      <c r="K148" s="54">
        <f t="shared" si="28"/>
        <v>0</v>
      </c>
      <c r="L148" s="54">
        <f t="shared" si="28"/>
        <v>0</v>
      </c>
      <c r="M148" s="54">
        <f t="shared" si="28"/>
        <v>0</v>
      </c>
      <c r="N148" s="54">
        <f t="shared" si="28"/>
        <v>713447.59</v>
      </c>
      <c r="O148" s="54">
        <f t="shared" si="28"/>
        <v>650000</v>
      </c>
      <c r="P148" s="54">
        <f t="shared" si="28"/>
        <v>33551302.59</v>
      </c>
      <c r="Q148" s="120"/>
      <c r="R148" s="37"/>
    </row>
    <row r="149" spans="1:17" s="20" customFormat="1" ht="30">
      <c r="A149" s="18"/>
      <c r="B149" s="21" t="s">
        <v>197</v>
      </c>
      <c r="C149" s="21" t="s">
        <v>200</v>
      </c>
      <c r="D149" s="22" t="s">
        <v>199</v>
      </c>
      <c r="E149" s="30">
        <f aca="true" t="shared" si="29" ref="E149:E154">F149+I149</f>
        <v>1642000</v>
      </c>
      <c r="F149" s="30">
        <f>'дод. 4'!F31</f>
        <v>0</v>
      </c>
      <c r="G149" s="30">
        <f>'дод. 4'!G31</f>
        <v>0</v>
      </c>
      <c r="H149" s="30">
        <f>'дод. 4'!H31</f>
        <v>0</v>
      </c>
      <c r="I149" s="30">
        <f>'дод. 4'!I31</f>
        <v>1642000</v>
      </c>
      <c r="J149" s="30">
        <f aca="true" t="shared" si="30" ref="J149:J154">K149+N149</f>
        <v>0</v>
      </c>
      <c r="K149" s="30">
        <f>'дод. 4'!K31</f>
        <v>0</v>
      </c>
      <c r="L149" s="30">
        <f>'дод. 4'!L31</f>
        <v>0</v>
      </c>
      <c r="M149" s="30">
        <f>'дод. 4'!M31</f>
        <v>0</v>
      </c>
      <c r="N149" s="30">
        <f>'дод. 4'!N31</f>
        <v>0</v>
      </c>
      <c r="O149" s="30">
        <f>'дод. 4'!O31</f>
        <v>0</v>
      </c>
      <c r="P149" s="30">
        <f aca="true" t="shared" si="31" ref="P149:P154">E149+J149</f>
        <v>1642000</v>
      </c>
      <c r="Q149" s="120"/>
    </row>
    <row r="150" spans="1:17" s="20" customFormat="1" ht="45">
      <c r="A150" s="18"/>
      <c r="B150" s="21" t="s">
        <v>336</v>
      </c>
      <c r="C150" s="21" t="s">
        <v>164</v>
      </c>
      <c r="D150" s="22" t="s">
        <v>337</v>
      </c>
      <c r="E150" s="30">
        <f t="shared" si="29"/>
        <v>3818057</v>
      </c>
      <c r="F150" s="30">
        <f>'дод. 4'!F149</f>
        <v>3818057</v>
      </c>
      <c r="G150" s="30">
        <f>'дод. 4'!G149</f>
        <v>0</v>
      </c>
      <c r="H150" s="30">
        <f>'дод. 4'!H149</f>
        <v>0</v>
      </c>
      <c r="I150" s="30">
        <f>'дод. 4'!I149</f>
        <v>0</v>
      </c>
      <c r="J150" s="30">
        <f t="shared" si="30"/>
        <v>0</v>
      </c>
      <c r="K150" s="30">
        <f>'дод. 4'!K149</f>
        <v>0</v>
      </c>
      <c r="L150" s="30">
        <f>'дод. 4'!L149</f>
        <v>0</v>
      </c>
      <c r="M150" s="30">
        <f>'дод. 4'!M149</f>
        <v>0</v>
      </c>
      <c r="N150" s="30">
        <f>'дод. 4'!N149</f>
        <v>0</v>
      </c>
      <c r="O150" s="30">
        <f>'дод. 4'!O149</f>
        <v>0</v>
      </c>
      <c r="P150" s="30">
        <f t="shared" si="31"/>
        <v>3818057</v>
      </c>
      <c r="Q150" s="120"/>
    </row>
    <row r="151" spans="1:17" s="20" customFormat="1" ht="30">
      <c r="A151" s="18"/>
      <c r="B151" s="21" t="s">
        <v>314</v>
      </c>
      <c r="C151" s="21" t="s">
        <v>200</v>
      </c>
      <c r="D151" s="22" t="s">
        <v>315</v>
      </c>
      <c r="E151" s="30">
        <f t="shared" si="29"/>
        <v>2572500</v>
      </c>
      <c r="F151" s="30">
        <f>'дод. 4'!F32</f>
        <v>0</v>
      </c>
      <c r="G151" s="30">
        <f>'дод. 4'!G32</f>
        <v>0</v>
      </c>
      <c r="H151" s="30">
        <f>'дод. 4'!H32</f>
        <v>0</v>
      </c>
      <c r="I151" s="30">
        <f>'дод. 4'!I32</f>
        <v>2572500</v>
      </c>
      <c r="J151" s="30">
        <f t="shared" si="30"/>
        <v>0</v>
      </c>
      <c r="K151" s="30">
        <f>'дод. 4'!K32</f>
        <v>0</v>
      </c>
      <c r="L151" s="30">
        <f>'дод. 4'!L32</f>
        <v>0</v>
      </c>
      <c r="M151" s="30">
        <f>'дод. 4'!M32</f>
        <v>0</v>
      </c>
      <c r="N151" s="30">
        <f>'дод. 4'!N32</f>
        <v>0</v>
      </c>
      <c r="O151" s="30">
        <f>'дод. 4'!O32</f>
        <v>0</v>
      </c>
      <c r="P151" s="30">
        <f t="shared" si="31"/>
        <v>2572500</v>
      </c>
      <c r="Q151" s="120"/>
    </row>
    <row r="152" spans="1:17" s="20" customFormat="1" ht="30">
      <c r="A152" s="18"/>
      <c r="B152" s="21" t="s">
        <v>198</v>
      </c>
      <c r="C152" s="21" t="s">
        <v>202</v>
      </c>
      <c r="D152" s="22" t="s">
        <v>201</v>
      </c>
      <c r="E152" s="30">
        <f t="shared" si="29"/>
        <v>3607600</v>
      </c>
      <c r="F152" s="30">
        <f>'дод. 4'!F33</f>
        <v>0</v>
      </c>
      <c r="G152" s="30">
        <f>'дод. 4'!G33</f>
        <v>0</v>
      </c>
      <c r="H152" s="30">
        <f>'дод. 4'!H33</f>
        <v>0</v>
      </c>
      <c r="I152" s="30">
        <f>'дод. 4'!I33</f>
        <v>3607600</v>
      </c>
      <c r="J152" s="30">
        <f t="shared" si="30"/>
        <v>0</v>
      </c>
      <c r="K152" s="30">
        <f>'дод. 4'!K33</f>
        <v>0</v>
      </c>
      <c r="L152" s="30">
        <f>'дод. 4'!L33</f>
        <v>0</v>
      </c>
      <c r="M152" s="30">
        <f>'дод. 4'!M33</f>
        <v>0</v>
      </c>
      <c r="N152" s="30">
        <f>'дод. 4'!N33</f>
        <v>0</v>
      </c>
      <c r="O152" s="30">
        <f>'дод. 4'!O33</f>
        <v>0</v>
      </c>
      <c r="P152" s="30">
        <f t="shared" si="31"/>
        <v>3607600</v>
      </c>
      <c r="Q152" s="120"/>
    </row>
    <row r="153" spans="1:17" s="20" customFormat="1" ht="45">
      <c r="A153" s="18"/>
      <c r="B153" s="21" t="s">
        <v>107</v>
      </c>
      <c r="C153" s="21" t="s">
        <v>164</v>
      </c>
      <c r="D153" s="22" t="s">
        <v>108</v>
      </c>
      <c r="E153" s="30">
        <f t="shared" si="29"/>
        <v>9720158</v>
      </c>
      <c r="F153" s="30">
        <f>'дод. 4'!F34+'дод. 4'!F150</f>
        <v>9720158</v>
      </c>
      <c r="G153" s="30">
        <f>'дод. 4'!G34+'дод. 4'!G150</f>
        <v>0</v>
      </c>
      <c r="H153" s="30">
        <f>'дод. 4'!H34+'дод. 4'!H150</f>
        <v>0</v>
      </c>
      <c r="I153" s="30">
        <f>'дод. 4'!I34+'дод. 4'!I150</f>
        <v>0</v>
      </c>
      <c r="J153" s="30">
        <f t="shared" si="30"/>
        <v>0</v>
      </c>
      <c r="K153" s="30">
        <f>'дод. 4'!K34+'дод. 4'!K150</f>
        <v>0</v>
      </c>
      <c r="L153" s="30">
        <f>'дод. 4'!L34+'дод. 4'!L150</f>
        <v>0</v>
      </c>
      <c r="M153" s="30">
        <f>'дод. 4'!M34+'дод. 4'!M150</f>
        <v>0</v>
      </c>
      <c r="N153" s="30">
        <f>'дод. 4'!N34+'дод. 4'!N150</f>
        <v>0</v>
      </c>
      <c r="O153" s="30">
        <f>'дод. 4'!O34+'дод. 4'!O150</f>
        <v>0</v>
      </c>
      <c r="P153" s="30">
        <f t="shared" si="31"/>
        <v>9720158</v>
      </c>
      <c r="Q153" s="120"/>
    </row>
    <row r="154" spans="1:17" s="20" customFormat="1" ht="15">
      <c r="A154" s="18"/>
      <c r="B154" s="21" t="s">
        <v>44</v>
      </c>
      <c r="C154" s="21" t="s">
        <v>143</v>
      </c>
      <c r="D154" s="22" t="s">
        <v>45</v>
      </c>
      <c r="E154" s="30">
        <f t="shared" si="29"/>
        <v>11477540</v>
      </c>
      <c r="F154" s="30">
        <f>'дод. 4'!F35</f>
        <v>0</v>
      </c>
      <c r="G154" s="30">
        <f>'дод. 4'!G35</f>
        <v>0</v>
      </c>
      <c r="H154" s="30">
        <f>'дод. 4'!H35</f>
        <v>0</v>
      </c>
      <c r="I154" s="30">
        <f>'дод. 4'!I35</f>
        <v>11477540</v>
      </c>
      <c r="J154" s="30">
        <f t="shared" si="30"/>
        <v>650000</v>
      </c>
      <c r="K154" s="30">
        <f>'дод. 4'!K35</f>
        <v>0</v>
      </c>
      <c r="L154" s="30">
        <f>'дод. 4'!L35</f>
        <v>0</v>
      </c>
      <c r="M154" s="30">
        <f>'дод. 4'!M35</f>
        <v>0</v>
      </c>
      <c r="N154" s="30">
        <f>'дод. 4'!N35</f>
        <v>650000</v>
      </c>
      <c r="O154" s="30">
        <f>'дод. 4'!O35</f>
        <v>650000</v>
      </c>
      <c r="P154" s="30">
        <f t="shared" si="31"/>
        <v>12127540</v>
      </c>
      <c r="Q154" s="120"/>
    </row>
    <row r="155" spans="1:17" s="20" customFormat="1" ht="60">
      <c r="A155" s="18"/>
      <c r="B155" s="21" t="s">
        <v>341</v>
      </c>
      <c r="C155" s="21" t="s">
        <v>342</v>
      </c>
      <c r="D155" s="22" t="s">
        <v>343</v>
      </c>
      <c r="E155" s="30">
        <f>'дод. 4'!E206</f>
        <v>0</v>
      </c>
      <c r="F155" s="30">
        <f>'дод. 4'!F206</f>
        <v>0</v>
      </c>
      <c r="G155" s="30">
        <f>'дод. 4'!G206</f>
        <v>0</v>
      </c>
      <c r="H155" s="30">
        <f>'дод. 4'!H206</f>
        <v>0</v>
      </c>
      <c r="I155" s="30">
        <f>'дод. 4'!I206</f>
        <v>0</v>
      </c>
      <c r="J155" s="30">
        <f>'дод. 4'!J206</f>
        <v>63447.59</v>
      </c>
      <c r="K155" s="30">
        <f>'дод. 4'!K206</f>
        <v>0</v>
      </c>
      <c r="L155" s="30">
        <f>'дод. 4'!L206</f>
        <v>0</v>
      </c>
      <c r="M155" s="30">
        <f>'дод. 4'!M206</f>
        <v>0</v>
      </c>
      <c r="N155" s="30">
        <f>'дод. 4'!N206</f>
        <v>63447.59</v>
      </c>
      <c r="O155" s="30">
        <f>'дод. 4'!O206</f>
        <v>0</v>
      </c>
      <c r="P155" s="30">
        <f>'дод. 4'!P206</f>
        <v>63447.59</v>
      </c>
      <c r="Q155" s="120" t="s">
        <v>359</v>
      </c>
    </row>
    <row r="156" spans="1:17" s="20" customFormat="1" ht="28.5">
      <c r="A156" s="18"/>
      <c r="B156" s="50" t="s">
        <v>235</v>
      </c>
      <c r="C156" s="51"/>
      <c r="D156" s="51" t="s">
        <v>236</v>
      </c>
      <c r="E156" s="54">
        <f>E157+E158+E159+E160</f>
        <v>2012300</v>
      </c>
      <c r="F156" s="54">
        <f aca="true" t="shared" si="32" ref="F156:P156">F157+F158+F159+F160</f>
        <v>1957300</v>
      </c>
      <c r="G156" s="54">
        <f t="shared" si="32"/>
        <v>0</v>
      </c>
      <c r="H156" s="54">
        <f t="shared" si="32"/>
        <v>0</v>
      </c>
      <c r="I156" s="54">
        <f t="shared" si="32"/>
        <v>55000</v>
      </c>
      <c r="J156" s="54">
        <f t="shared" si="32"/>
        <v>98259816</v>
      </c>
      <c r="K156" s="54">
        <f t="shared" si="32"/>
        <v>0</v>
      </c>
      <c r="L156" s="54">
        <f t="shared" si="32"/>
        <v>0</v>
      </c>
      <c r="M156" s="54">
        <f t="shared" si="32"/>
        <v>0</v>
      </c>
      <c r="N156" s="54">
        <f t="shared" si="32"/>
        <v>98259816</v>
      </c>
      <c r="O156" s="54">
        <f t="shared" si="32"/>
        <v>98259816</v>
      </c>
      <c r="P156" s="54">
        <f t="shared" si="32"/>
        <v>100272116</v>
      </c>
      <c r="Q156" s="120"/>
    </row>
    <row r="157" spans="1:17" s="20" customFormat="1" ht="15">
      <c r="A157" s="18"/>
      <c r="B157" s="21" t="s">
        <v>125</v>
      </c>
      <c r="C157" s="21" t="s">
        <v>175</v>
      </c>
      <c r="D157" s="22" t="s">
        <v>126</v>
      </c>
      <c r="E157" s="30">
        <f>F157+I157</f>
        <v>1090000</v>
      </c>
      <c r="F157" s="30">
        <f>'дод. 4'!F176</f>
        <v>1035000</v>
      </c>
      <c r="G157" s="30">
        <f>'дод. 4'!G176</f>
        <v>0</v>
      </c>
      <c r="H157" s="30">
        <f>'дод. 4'!H176</f>
        <v>0</v>
      </c>
      <c r="I157" s="30">
        <f>'дод. 4'!I176</f>
        <v>55000</v>
      </c>
      <c r="J157" s="30">
        <f>K157+N157</f>
        <v>0</v>
      </c>
      <c r="K157" s="30">
        <f>'дод. 4'!K176</f>
        <v>0</v>
      </c>
      <c r="L157" s="30">
        <f>'дод. 4'!L176</f>
        <v>0</v>
      </c>
      <c r="M157" s="30">
        <f>'дод. 4'!M176</f>
        <v>0</v>
      </c>
      <c r="N157" s="30">
        <f>'дод. 4'!N176</f>
        <v>0</v>
      </c>
      <c r="O157" s="30">
        <f>'дод. 4'!O176</f>
        <v>0</v>
      </c>
      <c r="P157" s="30">
        <f>E157+J157</f>
        <v>1090000</v>
      </c>
      <c r="Q157" s="120"/>
    </row>
    <row r="158" spans="1:17" s="20" customFormat="1" ht="30">
      <c r="A158" s="18"/>
      <c r="B158" s="21" t="s">
        <v>46</v>
      </c>
      <c r="C158" s="21" t="s">
        <v>144</v>
      </c>
      <c r="D158" s="22" t="s">
        <v>47</v>
      </c>
      <c r="E158" s="30">
        <f>F158+I158</f>
        <v>85000</v>
      </c>
      <c r="F158" s="30">
        <f>'дод. 4'!F36</f>
        <v>85000</v>
      </c>
      <c r="G158" s="30">
        <f>'дод. 4'!G36</f>
        <v>0</v>
      </c>
      <c r="H158" s="30">
        <f>'дод. 4'!H36</f>
        <v>0</v>
      </c>
      <c r="I158" s="30">
        <f>'дод. 4'!I36</f>
        <v>0</v>
      </c>
      <c r="J158" s="30">
        <f>K158+N158</f>
        <v>0</v>
      </c>
      <c r="K158" s="30">
        <f>'дод. 4'!K36</f>
        <v>0</v>
      </c>
      <c r="L158" s="30">
        <f>'дод. 4'!L36</f>
        <v>0</v>
      </c>
      <c r="M158" s="30">
        <f>'дод. 4'!M36</f>
        <v>0</v>
      </c>
      <c r="N158" s="30">
        <f>'дод. 4'!N36</f>
        <v>0</v>
      </c>
      <c r="O158" s="30">
        <f>'дод. 4'!O36</f>
        <v>0</v>
      </c>
      <c r="P158" s="30">
        <f>E158+J158</f>
        <v>85000</v>
      </c>
      <c r="Q158" s="120"/>
    </row>
    <row r="159" spans="1:17" s="20" customFormat="1" ht="60">
      <c r="A159" s="18"/>
      <c r="B159" s="21" t="s">
        <v>48</v>
      </c>
      <c r="C159" s="21" t="s">
        <v>145</v>
      </c>
      <c r="D159" s="22" t="s">
        <v>49</v>
      </c>
      <c r="E159" s="30">
        <f>F159+I159</f>
        <v>0</v>
      </c>
      <c r="F159" s="30">
        <f>'дод. 4'!F37+'дод. 4'!F177+'дод. 4'!F207+'дод. 4'!F221</f>
        <v>0</v>
      </c>
      <c r="G159" s="30">
        <f>'дод. 4'!G37+'дод. 4'!G177+'дод. 4'!G207+'дод. 4'!G221</f>
        <v>0</v>
      </c>
      <c r="H159" s="30">
        <f>'дод. 4'!H37+'дод. 4'!H177+'дод. 4'!H207+'дод. 4'!H221</f>
        <v>0</v>
      </c>
      <c r="I159" s="30">
        <f>'дод. 4'!I37+'дод. 4'!I177+'дод. 4'!I207+'дод. 4'!I221</f>
        <v>0</v>
      </c>
      <c r="J159" s="30">
        <f>K159+N159</f>
        <v>98259816</v>
      </c>
      <c r="K159" s="30">
        <f>'дод. 4'!K37+'дод. 4'!K177+'дод. 4'!K207+'дод. 4'!K221</f>
        <v>0</v>
      </c>
      <c r="L159" s="30">
        <f>'дод. 4'!L37+'дод. 4'!L177+'дод. 4'!L207+'дод. 4'!L221</f>
        <v>0</v>
      </c>
      <c r="M159" s="30">
        <f>'дод. 4'!M37+'дод. 4'!M177+'дод. 4'!M207+'дод. 4'!M221</f>
        <v>0</v>
      </c>
      <c r="N159" s="30">
        <f>'дод. 4'!N37+'дод. 4'!N177+'дод. 4'!N207+'дод. 4'!N221</f>
        <v>98259816</v>
      </c>
      <c r="O159" s="30">
        <f>'дод. 4'!O37+'дод. 4'!O177+'дод. 4'!O207+'дод. 4'!O221</f>
        <v>98259816</v>
      </c>
      <c r="P159" s="30">
        <f>E159+J159</f>
        <v>98259816</v>
      </c>
      <c r="Q159" s="120"/>
    </row>
    <row r="160" spans="1:17" s="20" customFormat="1" ht="30">
      <c r="A160" s="18"/>
      <c r="B160" s="21" t="s">
        <v>50</v>
      </c>
      <c r="C160" s="21" t="s">
        <v>144</v>
      </c>
      <c r="D160" s="22" t="s">
        <v>51</v>
      </c>
      <c r="E160" s="30">
        <f>F160+I160</f>
        <v>837300</v>
      </c>
      <c r="F160" s="30">
        <f>'дод. 4'!F38</f>
        <v>837300</v>
      </c>
      <c r="G160" s="30">
        <f>'дод. 4'!G38</f>
        <v>0</v>
      </c>
      <c r="H160" s="30">
        <f>'дод. 4'!H38</f>
        <v>0</v>
      </c>
      <c r="I160" s="30">
        <f>'дод. 4'!I38</f>
        <v>0</v>
      </c>
      <c r="J160" s="30">
        <f>K160+N160</f>
        <v>0</v>
      </c>
      <c r="K160" s="30">
        <f>'дод. 4'!K38</f>
        <v>0</v>
      </c>
      <c r="L160" s="30">
        <f>'дод. 4'!L38</f>
        <v>0</v>
      </c>
      <c r="M160" s="30">
        <f>'дод. 4'!M38</f>
        <v>0</v>
      </c>
      <c r="N160" s="30">
        <f>'дод. 4'!N38</f>
        <v>0</v>
      </c>
      <c r="O160" s="30">
        <f>'дод. 4'!O38</f>
        <v>0</v>
      </c>
      <c r="P160" s="30">
        <f>E160+J160</f>
        <v>837300</v>
      </c>
      <c r="Q160" s="120"/>
    </row>
    <row r="161" spans="1:17" s="20" customFormat="1" ht="28.5">
      <c r="A161" s="18"/>
      <c r="B161" s="52" t="s">
        <v>244</v>
      </c>
      <c r="C161" s="52"/>
      <c r="D161" s="51" t="s">
        <v>245</v>
      </c>
      <c r="E161" s="54">
        <f>E162</f>
        <v>158800</v>
      </c>
      <c r="F161" s="54">
        <f aca="true" t="shared" si="33" ref="F161:P161">F162</f>
        <v>158800</v>
      </c>
      <c r="G161" s="54">
        <f t="shared" si="33"/>
        <v>0</v>
      </c>
      <c r="H161" s="54">
        <f t="shared" si="33"/>
        <v>0</v>
      </c>
      <c r="I161" s="54">
        <f t="shared" si="33"/>
        <v>0</v>
      </c>
      <c r="J161" s="54">
        <f t="shared" si="33"/>
        <v>0</v>
      </c>
      <c r="K161" s="54">
        <f t="shared" si="33"/>
        <v>0</v>
      </c>
      <c r="L161" s="54">
        <f t="shared" si="33"/>
        <v>0</v>
      </c>
      <c r="M161" s="54">
        <f t="shared" si="33"/>
        <v>0</v>
      </c>
      <c r="N161" s="54">
        <f t="shared" si="33"/>
        <v>0</v>
      </c>
      <c r="O161" s="54">
        <f t="shared" si="33"/>
        <v>0</v>
      </c>
      <c r="P161" s="54">
        <f t="shared" si="33"/>
        <v>158800</v>
      </c>
      <c r="Q161" s="120"/>
    </row>
    <row r="162" spans="1:17" s="20" customFormat="1" ht="15" customHeight="1">
      <c r="A162" s="18"/>
      <c r="B162" s="21" t="s">
        <v>196</v>
      </c>
      <c r="C162" s="21" t="s">
        <v>156</v>
      </c>
      <c r="D162" s="22" t="s">
        <v>81</v>
      </c>
      <c r="E162" s="30">
        <f>F162+I162</f>
        <v>158800</v>
      </c>
      <c r="F162" s="30">
        <f>'дод. 4'!F178</f>
        <v>158800</v>
      </c>
      <c r="G162" s="30">
        <f>'дод. 4'!G178</f>
        <v>0</v>
      </c>
      <c r="H162" s="30">
        <f>'дод. 4'!H178</f>
        <v>0</v>
      </c>
      <c r="I162" s="30">
        <f>'дод. 4'!I178</f>
        <v>0</v>
      </c>
      <c r="J162" s="30">
        <f>K162+N162</f>
        <v>0</v>
      </c>
      <c r="K162" s="30">
        <f>'дод. 4'!K178</f>
        <v>0</v>
      </c>
      <c r="L162" s="30">
        <f>'дод. 4'!L178</f>
        <v>0</v>
      </c>
      <c r="M162" s="30">
        <f>'дод. 4'!M178</f>
        <v>0</v>
      </c>
      <c r="N162" s="30">
        <f>'дод. 4'!N178</f>
        <v>0</v>
      </c>
      <c r="O162" s="30">
        <f>'дод. 4'!O178</f>
        <v>0</v>
      </c>
      <c r="P162" s="30">
        <f>E162+J162</f>
        <v>158800</v>
      </c>
      <c r="Q162" s="120"/>
    </row>
    <row r="163" spans="1:17" s="20" customFormat="1" ht="42.75">
      <c r="A163" s="18"/>
      <c r="B163" s="50" t="s">
        <v>237</v>
      </c>
      <c r="C163" s="51"/>
      <c r="D163" s="51" t="s">
        <v>238</v>
      </c>
      <c r="E163" s="54">
        <f>E164+E165</f>
        <v>1072510</v>
      </c>
      <c r="F163" s="54">
        <f aca="true" t="shared" si="34" ref="F163:P163">F164+F165</f>
        <v>1072510</v>
      </c>
      <c r="G163" s="54">
        <f t="shared" si="34"/>
        <v>640600</v>
      </c>
      <c r="H163" s="54">
        <f t="shared" si="34"/>
        <v>50677</v>
      </c>
      <c r="I163" s="54">
        <f t="shared" si="34"/>
        <v>0</v>
      </c>
      <c r="J163" s="54">
        <f t="shared" si="34"/>
        <v>4700</v>
      </c>
      <c r="K163" s="54">
        <f t="shared" si="34"/>
        <v>4700</v>
      </c>
      <c r="L163" s="54">
        <f t="shared" si="34"/>
        <v>0</v>
      </c>
      <c r="M163" s="54">
        <f t="shared" si="34"/>
        <v>720</v>
      </c>
      <c r="N163" s="54">
        <f t="shared" si="34"/>
        <v>0</v>
      </c>
      <c r="O163" s="54">
        <f t="shared" si="34"/>
        <v>0</v>
      </c>
      <c r="P163" s="54">
        <f t="shared" si="34"/>
        <v>1077210</v>
      </c>
      <c r="Q163" s="120"/>
    </row>
    <row r="164" spans="1:17" s="20" customFormat="1" ht="45">
      <c r="A164" s="18"/>
      <c r="B164" s="21" t="s">
        <v>52</v>
      </c>
      <c r="C164" s="21" t="s">
        <v>146</v>
      </c>
      <c r="D164" s="22" t="s">
        <v>53</v>
      </c>
      <c r="E164" s="30">
        <f>F164+I164</f>
        <v>172410</v>
      </c>
      <c r="F164" s="30">
        <f>'дод. 4'!F39</f>
        <v>172410</v>
      </c>
      <c r="G164" s="30">
        <f>'дод. 4'!G39</f>
        <v>0</v>
      </c>
      <c r="H164" s="30">
        <f>'дод. 4'!H39</f>
        <v>4300</v>
      </c>
      <c r="I164" s="30">
        <f>'дод. 4'!I39</f>
        <v>0</v>
      </c>
      <c r="J164" s="30">
        <f>K164+N164</f>
        <v>0</v>
      </c>
      <c r="K164" s="30">
        <f>'дод. 4'!K39</f>
        <v>0</v>
      </c>
      <c r="L164" s="30">
        <f>'дод. 4'!L39</f>
        <v>0</v>
      </c>
      <c r="M164" s="30">
        <f>'дод. 4'!M39</f>
        <v>0</v>
      </c>
      <c r="N164" s="30">
        <f>'дод. 4'!N39</f>
        <v>0</v>
      </c>
      <c r="O164" s="30">
        <f>'дод. 4'!O39</f>
        <v>0</v>
      </c>
      <c r="P164" s="30">
        <f>E164+J164</f>
        <v>172410</v>
      </c>
      <c r="Q164" s="120"/>
    </row>
    <row r="165" spans="1:17" s="20" customFormat="1" ht="15">
      <c r="A165" s="18"/>
      <c r="B165" s="24" t="s">
        <v>54</v>
      </c>
      <c r="C165" s="24" t="s">
        <v>147</v>
      </c>
      <c r="D165" s="22" t="s">
        <v>55</v>
      </c>
      <c r="E165" s="30">
        <f>F165+I165</f>
        <v>900100</v>
      </c>
      <c r="F165" s="30">
        <f>'дод. 4'!F40</f>
        <v>900100</v>
      </c>
      <c r="G165" s="30">
        <f>'дод. 4'!G40</f>
        <v>640600</v>
      </c>
      <c r="H165" s="30">
        <f>'дод. 4'!H40</f>
        <v>46377</v>
      </c>
      <c r="I165" s="30">
        <f>'дод. 4'!I40</f>
        <v>0</v>
      </c>
      <c r="J165" s="30">
        <f>K165+N165</f>
        <v>4700</v>
      </c>
      <c r="K165" s="30">
        <f>'дод. 4'!K40</f>
        <v>4700</v>
      </c>
      <c r="L165" s="30">
        <f>'дод. 4'!L40</f>
        <v>0</v>
      </c>
      <c r="M165" s="30">
        <f>'дод. 4'!M40</f>
        <v>720</v>
      </c>
      <c r="N165" s="30">
        <f>'дод. 4'!N40</f>
        <v>0</v>
      </c>
      <c r="O165" s="30">
        <f>'дод. 4'!O40</f>
        <v>0</v>
      </c>
      <c r="P165" s="30">
        <f>E165+J165</f>
        <v>904800</v>
      </c>
      <c r="Q165" s="120"/>
    </row>
    <row r="166" spans="1:17" s="20" customFormat="1" ht="15">
      <c r="A166" s="18"/>
      <c r="B166" s="52" t="s">
        <v>203</v>
      </c>
      <c r="C166" s="52"/>
      <c r="D166" s="51" t="s">
        <v>204</v>
      </c>
      <c r="E166" s="54">
        <f>E167</f>
        <v>98800</v>
      </c>
      <c r="F166" s="54">
        <f aca="true" t="shared" si="35" ref="F166:P166">F167</f>
        <v>98800</v>
      </c>
      <c r="G166" s="54">
        <f t="shared" si="35"/>
        <v>0</v>
      </c>
      <c r="H166" s="54">
        <f t="shared" si="35"/>
        <v>0</v>
      </c>
      <c r="I166" s="54">
        <f t="shared" si="35"/>
        <v>0</v>
      </c>
      <c r="J166" s="54">
        <f t="shared" si="35"/>
        <v>0</v>
      </c>
      <c r="K166" s="54">
        <f t="shared" si="35"/>
        <v>0</v>
      </c>
      <c r="L166" s="54">
        <f t="shared" si="35"/>
        <v>0</v>
      </c>
      <c r="M166" s="54">
        <f t="shared" si="35"/>
        <v>0</v>
      </c>
      <c r="N166" s="54">
        <f t="shared" si="35"/>
        <v>0</v>
      </c>
      <c r="O166" s="54">
        <f t="shared" si="35"/>
        <v>0</v>
      </c>
      <c r="P166" s="54">
        <f t="shared" si="35"/>
        <v>98800</v>
      </c>
      <c r="Q166" s="120"/>
    </row>
    <row r="167" spans="1:17" s="20" customFormat="1" ht="15">
      <c r="A167" s="18"/>
      <c r="B167" s="21" t="s">
        <v>203</v>
      </c>
      <c r="C167" s="21" t="s">
        <v>211</v>
      </c>
      <c r="D167" s="22" t="s">
        <v>204</v>
      </c>
      <c r="E167" s="30">
        <f>F167+I167</f>
        <v>98800</v>
      </c>
      <c r="F167" s="30">
        <f>'дод. 4'!F231</f>
        <v>98800</v>
      </c>
      <c r="G167" s="30">
        <f>'дод. 4'!G231</f>
        <v>0</v>
      </c>
      <c r="H167" s="30">
        <f>'дод. 4'!H231</f>
        <v>0</v>
      </c>
      <c r="I167" s="30">
        <f>'дод. 4'!I231</f>
        <v>0</v>
      </c>
      <c r="J167" s="30">
        <f>K167+N167</f>
        <v>0</v>
      </c>
      <c r="K167" s="30">
        <f>'дод. 4'!K231</f>
        <v>0</v>
      </c>
      <c r="L167" s="30">
        <f>'дод. 4'!L231</f>
        <v>0</v>
      </c>
      <c r="M167" s="30">
        <f>'дод. 4'!M231</f>
        <v>0</v>
      </c>
      <c r="N167" s="30">
        <f>'дод. 4'!N231</f>
        <v>0</v>
      </c>
      <c r="O167" s="30">
        <f>'дод. 4'!O231</f>
        <v>0</v>
      </c>
      <c r="P167" s="30">
        <f>E167+J167</f>
        <v>98800</v>
      </c>
      <c r="Q167" s="120"/>
    </row>
    <row r="168" spans="1:17" s="20" customFormat="1" ht="15">
      <c r="A168" s="18"/>
      <c r="B168" s="50" t="s">
        <v>239</v>
      </c>
      <c r="C168" s="51"/>
      <c r="D168" s="51" t="s">
        <v>240</v>
      </c>
      <c r="E168" s="54">
        <f>E169+E170+E172+E173+E174+E171</f>
        <v>0</v>
      </c>
      <c r="F168" s="54">
        <f aca="true" t="shared" si="36" ref="F168:P168">F169+F170+F172+F173+F174+F171</f>
        <v>0</v>
      </c>
      <c r="G168" s="54">
        <f t="shared" si="36"/>
        <v>0</v>
      </c>
      <c r="H168" s="54">
        <f t="shared" si="36"/>
        <v>0</v>
      </c>
      <c r="I168" s="54">
        <f t="shared" si="36"/>
        <v>0</v>
      </c>
      <c r="J168" s="54">
        <f t="shared" si="36"/>
        <v>10953596.91</v>
      </c>
      <c r="K168" s="54">
        <f t="shared" si="36"/>
        <v>1983837.47</v>
      </c>
      <c r="L168" s="54">
        <f t="shared" si="36"/>
        <v>0</v>
      </c>
      <c r="M168" s="54">
        <f t="shared" si="36"/>
        <v>0</v>
      </c>
      <c r="N168" s="54">
        <f>N169+N170+N172+N173+N174+N171</f>
        <v>8969759.440000001</v>
      </c>
      <c r="O168" s="54">
        <f t="shared" si="36"/>
        <v>0</v>
      </c>
      <c r="P168" s="54">
        <f t="shared" si="36"/>
        <v>10953596.91</v>
      </c>
      <c r="Q168" s="120"/>
    </row>
    <row r="169" spans="1:17" s="20" customFormat="1" ht="30">
      <c r="A169" s="18"/>
      <c r="B169" s="21" t="s">
        <v>127</v>
      </c>
      <c r="C169" s="21" t="s">
        <v>176</v>
      </c>
      <c r="D169" s="22" t="s">
        <v>128</v>
      </c>
      <c r="E169" s="30">
        <f aca="true" t="shared" si="37" ref="E169:E174">F169+I169</f>
        <v>0</v>
      </c>
      <c r="F169" s="30">
        <f>'дод. 4'!F179+'дод. 4'!F208</f>
        <v>0</v>
      </c>
      <c r="G169" s="30">
        <f>'дод. 4'!G179+'дод. 4'!G208</f>
        <v>0</v>
      </c>
      <c r="H169" s="30">
        <f>'дод. 4'!H179+'дод. 4'!H208</f>
        <v>0</v>
      </c>
      <c r="I169" s="30">
        <f>'дод. 4'!I179+'дод. 4'!I208</f>
        <v>0</v>
      </c>
      <c r="J169" s="30">
        <f aca="true" t="shared" si="38" ref="J169:J174">K169+N169</f>
        <v>5952082</v>
      </c>
      <c r="K169" s="30">
        <f>'дод. 4'!K179+'дод. 4'!K208</f>
        <v>615344</v>
      </c>
      <c r="L169" s="30">
        <f>'дод. 4'!L179+'дод. 4'!L208</f>
        <v>0</v>
      </c>
      <c r="M169" s="30">
        <f>'дод. 4'!M179+'дод. 4'!M208</f>
        <v>0</v>
      </c>
      <c r="N169" s="30">
        <f>'дод. 4'!N179+'дод. 4'!N208</f>
        <v>5336738</v>
      </c>
      <c r="O169" s="30">
        <f>'дод. 4'!O179+'дод. 4'!O208</f>
        <v>0</v>
      </c>
      <c r="P169" s="30">
        <f aca="true" t="shared" si="39" ref="P169:P174">E169+J169</f>
        <v>5952082</v>
      </c>
      <c r="Q169" s="120"/>
    </row>
    <row r="170" spans="1:17" s="20" customFormat="1" ht="15">
      <c r="A170" s="18"/>
      <c r="B170" s="21" t="s">
        <v>303</v>
      </c>
      <c r="C170" s="21" t="s">
        <v>304</v>
      </c>
      <c r="D170" s="22" t="s">
        <v>305</v>
      </c>
      <c r="E170" s="30">
        <f t="shared" si="37"/>
        <v>0</v>
      </c>
      <c r="F170" s="30">
        <f>'дод. 4'!F180</f>
        <v>0</v>
      </c>
      <c r="G170" s="30">
        <f>'дод. 4'!G180</f>
        <v>0</v>
      </c>
      <c r="H170" s="30">
        <f>'дод. 4'!H180</f>
        <v>0</v>
      </c>
      <c r="I170" s="30">
        <f>'дод. 4'!I180</f>
        <v>0</v>
      </c>
      <c r="J170" s="30">
        <f t="shared" si="38"/>
        <v>250000</v>
      </c>
      <c r="K170" s="30">
        <f>'дод. 4'!K180</f>
        <v>250000</v>
      </c>
      <c r="L170" s="30">
        <f>'дод. 4'!L180</f>
        <v>0</v>
      </c>
      <c r="M170" s="30">
        <f>'дод. 4'!M180</f>
        <v>0</v>
      </c>
      <c r="N170" s="30">
        <f>'дод. 4'!N180</f>
        <v>0</v>
      </c>
      <c r="O170" s="30">
        <f>'дод. 4'!O180</f>
        <v>0</v>
      </c>
      <c r="P170" s="30">
        <f t="shared" si="39"/>
        <v>250000</v>
      </c>
      <c r="Q170" s="120"/>
    </row>
    <row r="171" spans="1:17" s="20" customFormat="1" ht="30">
      <c r="A171" s="18"/>
      <c r="B171" s="21" t="s">
        <v>318</v>
      </c>
      <c r="C171" s="21" t="s">
        <v>320</v>
      </c>
      <c r="D171" s="22" t="s">
        <v>319</v>
      </c>
      <c r="E171" s="30">
        <f t="shared" si="37"/>
        <v>0</v>
      </c>
      <c r="F171" s="30">
        <f>'дод. 4'!F209</f>
        <v>0</v>
      </c>
      <c r="G171" s="30">
        <f>'дод. 4'!G209</f>
        <v>0</v>
      </c>
      <c r="H171" s="30">
        <f>'дод. 4'!H209</f>
        <v>0</v>
      </c>
      <c r="I171" s="30">
        <f>'дод. 4'!I209</f>
        <v>0</v>
      </c>
      <c r="J171" s="30">
        <f t="shared" si="38"/>
        <v>1340330</v>
      </c>
      <c r="K171" s="30">
        <f>'дод. 4'!K209</f>
        <v>0</v>
      </c>
      <c r="L171" s="30">
        <f>'дод. 4'!L209</f>
        <v>0</v>
      </c>
      <c r="M171" s="30">
        <f>'дод. 4'!M209</f>
        <v>0</v>
      </c>
      <c r="N171" s="30">
        <f>'дод. 4'!N209</f>
        <v>1340330</v>
      </c>
      <c r="O171" s="30">
        <f>'дод. 4'!O209</f>
        <v>0</v>
      </c>
      <c r="P171" s="30">
        <f t="shared" si="39"/>
        <v>1340330</v>
      </c>
      <c r="Q171" s="120"/>
    </row>
    <row r="172" spans="1:17" s="20" customFormat="1" ht="30">
      <c r="A172" s="18"/>
      <c r="B172" s="21" t="s">
        <v>306</v>
      </c>
      <c r="C172" s="21" t="s">
        <v>148</v>
      </c>
      <c r="D172" s="22" t="s">
        <v>307</v>
      </c>
      <c r="E172" s="30">
        <f t="shared" si="37"/>
        <v>0</v>
      </c>
      <c r="F172" s="30">
        <f>'дод. 4'!F41+'дод. 4'!F66+'дод. 4'!F232</f>
        <v>0</v>
      </c>
      <c r="G172" s="30">
        <f>'дод. 4'!G41+'дод. 4'!G66+'дод. 4'!G232</f>
        <v>0</v>
      </c>
      <c r="H172" s="30">
        <f>'дод. 4'!H41+'дод. 4'!H66+'дод. 4'!H232</f>
        <v>0</v>
      </c>
      <c r="I172" s="30">
        <f>'дод. 4'!I41+'дод. 4'!I66+'дод. 4'!I232</f>
        <v>0</v>
      </c>
      <c r="J172" s="30">
        <f t="shared" si="38"/>
        <v>118600</v>
      </c>
      <c r="K172" s="30">
        <f>'дод. 4'!K41+'дод. 4'!K66+'дод. 4'!K232</f>
        <v>91150</v>
      </c>
      <c r="L172" s="30">
        <f>'дод. 4'!L41+'дод. 4'!L66+'дод. 4'!L232</f>
        <v>0</v>
      </c>
      <c r="M172" s="30">
        <f>'дод. 4'!M41+'дод. 4'!M66+'дод. 4'!M232</f>
        <v>0</v>
      </c>
      <c r="N172" s="30">
        <f>'дод. 4'!N41+'дод. 4'!N66+'дод. 4'!N232</f>
        <v>27450</v>
      </c>
      <c r="O172" s="30">
        <f>'дод. 4'!O41+'дод. 4'!O66+'дод. 4'!O232</f>
        <v>0</v>
      </c>
      <c r="P172" s="30">
        <f t="shared" si="39"/>
        <v>118600</v>
      </c>
      <c r="Q172" s="120"/>
    </row>
    <row r="173" spans="1:17" s="20" customFormat="1" ht="15">
      <c r="A173" s="18"/>
      <c r="B173" s="21" t="s">
        <v>308</v>
      </c>
      <c r="C173" s="21" t="s">
        <v>156</v>
      </c>
      <c r="D173" s="22" t="s">
        <v>81</v>
      </c>
      <c r="E173" s="30">
        <f t="shared" si="37"/>
        <v>0</v>
      </c>
      <c r="F173" s="30">
        <f>'дод. 4'!F181+'дод. 4'!F67+'дод. 4'!F210</f>
        <v>0</v>
      </c>
      <c r="G173" s="30">
        <f>'дод. 4'!G181+'дод. 4'!G67+'дод. 4'!G210</f>
        <v>0</v>
      </c>
      <c r="H173" s="30">
        <f>'дод. 4'!H181+'дод. 4'!H67+'дод. 4'!H210</f>
        <v>0</v>
      </c>
      <c r="I173" s="30">
        <f>'дод. 4'!I181+'дод. 4'!I67+'дод. 4'!I210</f>
        <v>0</v>
      </c>
      <c r="J173" s="30">
        <f t="shared" si="38"/>
        <v>901200</v>
      </c>
      <c r="K173" s="30">
        <f>'дод. 4'!K181+'дод. 4'!K67+'дод. 4'!K210</f>
        <v>416400</v>
      </c>
      <c r="L173" s="30">
        <f>'дод. 4'!L181+'дод. 4'!L67+'дод. 4'!L210</f>
        <v>0</v>
      </c>
      <c r="M173" s="30">
        <f>'дод. 4'!M181+'дод. 4'!M67+'дод. 4'!M210</f>
        <v>0</v>
      </c>
      <c r="N173" s="30">
        <f>'дод. 4'!N181+'дод. 4'!N67+'дод. 4'!N210</f>
        <v>484800</v>
      </c>
      <c r="O173" s="30">
        <f>'дод. 4'!O181+'дод. 4'!O67+'дод. 4'!O210</f>
        <v>0</v>
      </c>
      <c r="P173" s="30">
        <f t="shared" si="39"/>
        <v>901200</v>
      </c>
      <c r="Q173" s="120"/>
    </row>
    <row r="174" spans="1:17" s="20" customFormat="1" ht="60">
      <c r="A174" s="18"/>
      <c r="B174" s="21" t="s">
        <v>56</v>
      </c>
      <c r="C174" s="21" t="s">
        <v>149</v>
      </c>
      <c r="D174" s="22" t="s">
        <v>57</v>
      </c>
      <c r="E174" s="30">
        <f t="shared" si="37"/>
        <v>0</v>
      </c>
      <c r="F174" s="30">
        <f>'дод. 4'!F42+'дод. 4'!F182+'дод. 4'!F217+'дод. 4'!F222</f>
        <v>0</v>
      </c>
      <c r="G174" s="30">
        <f>'дод. 4'!G42+'дод. 4'!G182+'дод. 4'!G217+'дод. 4'!G222</f>
        <v>0</v>
      </c>
      <c r="H174" s="30">
        <f>'дод. 4'!H42+'дод. 4'!H182+'дод. 4'!H217+'дод. 4'!H222</f>
        <v>0</v>
      </c>
      <c r="I174" s="30">
        <f>'дод. 4'!I42+'дод. 4'!I182+'дод. 4'!I217+'дод. 4'!I222</f>
        <v>0</v>
      </c>
      <c r="J174" s="30">
        <f t="shared" si="38"/>
        <v>2391384.91</v>
      </c>
      <c r="K174" s="30">
        <f>'дод. 4'!K42+'дод. 4'!K182+'дод. 4'!K217+'дод. 4'!K222</f>
        <v>610943.47</v>
      </c>
      <c r="L174" s="30">
        <f>'дод. 4'!L42+'дод. 4'!L182+'дод. 4'!L217+'дод. 4'!L222</f>
        <v>0</v>
      </c>
      <c r="M174" s="30">
        <f>'дод. 4'!M42+'дод. 4'!M182+'дод. 4'!M217+'дод. 4'!M222</f>
        <v>0</v>
      </c>
      <c r="N174" s="30">
        <f>'дод. 4'!N42+'дод. 4'!N182+'дод. 4'!N217+'дод. 4'!N222+'дод. 4'!N211</f>
        <v>1780441.4400000002</v>
      </c>
      <c r="O174" s="30">
        <f>'дод. 4'!O42+'дод. 4'!O182+'дод. 4'!O217+'дод. 4'!O222</f>
        <v>0</v>
      </c>
      <c r="P174" s="30">
        <f t="shared" si="39"/>
        <v>2391384.91</v>
      </c>
      <c r="Q174" s="120"/>
    </row>
    <row r="175" spans="1:17" s="20" customFormat="1" ht="28.5">
      <c r="A175" s="18"/>
      <c r="B175" s="50" t="s">
        <v>241</v>
      </c>
      <c r="C175" s="51"/>
      <c r="D175" s="51" t="s">
        <v>242</v>
      </c>
      <c r="E175" s="54">
        <f>E176+E177+E178</f>
        <v>15655998</v>
      </c>
      <c r="F175" s="54">
        <f aca="true" t="shared" si="40" ref="F175:P175">F176+F177+F178</f>
        <v>5854083</v>
      </c>
      <c r="G175" s="54">
        <f t="shared" si="40"/>
        <v>0</v>
      </c>
      <c r="H175" s="54">
        <f t="shared" si="40"/>
        <v>268820</v>
      </c>
      <c r="I175" s="54">
        <f t="shared" si="40"/>
        <v>0</v>
      </c>
      <c r="J175" s="54">
        <f t="shared" si="40"/>
        <v>58227.53</v>
      </c>
      <c r="K175" s="54">
        <f t="shared" si="40"/>
        <v>36027.53</v>
      </c>
      <c r="L175" s="54">
        <f t="shared" si="40"/>
        <v>0</v>
      </c>
      <c r="M175" s="54">
        <f t="shared" si="40"/>
        <v>0</v>
      </c>
      <c r="N175" s="54">
        <f t="shared" si="40"/>
        <v>22200</v>
      </c>
      <c r="O175" s="54">
        <f t="shared" si="40"/>
        <v>22200</v>
      </c>
      <c r="P175" s="54">
        <f t="shared" si="40"/>
        <v>15714225.53</v>
      </c>
      <c r="Q175" s="120"/>
    </row>
    <row r="176" spans="1:17" s="20" customFormat="1" ht="15">
      <c r="A176" s="18"/>
      <c r="B176" s="21" t="s">
        <v>133</v>
      </c>
      <c r="C176" s="21" t="s">
        <v>149</v>
      </c>
      <c r="D176" s="22" t="s">
        <v>134</v>
      </c>
      <c r="E176" s="30">
        <f>'дод. 4'!E234</f>
        <v>9801915</v>
      </c>
      <c r="F176" s="30">
        <f>'дод. 4'!F234</f>
        <v>0</v>
      </c>
      <c r="G176" s="30">
        <f>'дод. 4'!G234</f>
        <v>0</v>
      </c>
      <c r="H176" s="30">
        <f>'дод. 4'!H234</f>
        <v>0</v>
      </c>
      <c r="I176" s="30">
        <f>'дод. 4'!I234</f>
        <v>0</v>
      </c>
      <c r="J176" s="30">
        <f>K176+N176</f>
        <v>0</v>
      </c>
      <c r="K176" s="30">
        <f>'дод. 4'!K234</f>
        <v>0</v>
      </c>
      <c r="L176" s="30">
        <f>'дод. 4'!L234</f>
        <v>0</v>
      </c>
      <c r="M176" s="30">
        <f>'дод. 4'!M234</f>
        <v>0</v>
      </c>
      <c r="N176" s="30">
        <f>'дод. 4'!N234</f>
        <v>0</v>
      </c>
      <c r="O176" s="30">
        <f>'дод. 4'!O234</f>
        <v>0</v>
      </c>
      <c r="P176" s="30">
        <f>E176+J176</f>
        <v>9801915</v>
      </c>
      <c r="Q176" s="120"/>
    </row>
    <row r="177" spans="1:17" s="20" customFormat="1" ht="15">
      <c r="A177" s="18"/>
      <c r="B177" s="21" t="s">
        <v>58</v>
      </c>
      <c r="C177" s="21" t="s">
        <v>149</v>
      </c>
      <c r="D177" s="22" t="s">
        <v>26</v>
      </c>
      <c r="E177" s="30">
        <f>F177+I177</f>
        <v>5769178</v>
      </c>
      <c r="F177" s="30">
        <f>'дод. 4'!F44+'дод. 4'!F184+'дод. 4'!F188+'дод. 4'!F212+'дод. 4'!F218+'дод. 4'!F228+'дод. 4'!F192+'дод. 4'!F223</f>
        <v>5769178</v>
      </c>
      <c r="G177" s="30">
        <f>'дод. 4'!G44+'дод. 4'!G184+'дод. 4'!G188+'дод. 4'!G212+'дод. 4'!G218+'дод. 4'!G228+'дод. 4'!G192+'дод. 4'!G223</f>
        <v>0</v>
      </c>
      <c r="H177" s="30">
        <f>'дод. 4'!H44+'дод. 4'!H184+'дод. 4'!H188+'дод. 4'!H212+'дод. 4'!H218+'дод. 4'!H228+'дод. 4'!H192+'дод. 4'!H223</f>
        <v>268820</v>
      </c>
      <c r="I177" s="30">
        <f>'дод. 4'!I44+'дод. 4'!I184+'дод. 4'!I188+'дод. 4'!I212+'дод. 4'!I218+'дод. 4'!I228+'дод. 4'!I192+'дод. 4'!I223</f>
        <v>0</v>
      </c>
      <c r="J177" s="30">
        <f>K177+N177</f>
        <v>22200</v>
      </c>
      <c r="K177" s="30">
        <f>'дод. 4'!K44+'дод. 4'!K184+'дод. 4'!K188+'дод. 4'!K212+'дод. 4'!K218+'дод. 4'!K228+'дод. 4'!K192+'дод. 4'!K223</f>
        <v>0</v>
      </c>
      <c r="L177" s="30">
        <f>'дод. 4'!L44+'дод. 4'!L184+'дод. 4'!L188+'дод. 4'!L212+'дод. 4'!L218+'дод. 4'!L228+'дод. 4'!L192+'дод. 4'!L223</f>
        <v>0</v>
      </c>
      <c r="M177" s="30">
        <f>'дод. 4'!M44+'дод. 4'!M184+'дод. 4'!M188+'дод. 4'!M212+'дод. 4'!M218+'дод. 4'!M228+'дод. 4'!M192+'дод. 4'!M223</f>
        <v>0</v>
      </c>
      <c r="N177" s="30">
        <f>'дод. 4'!N44+'дод. 4'!N184+'дод. 4'!N188+'дод. 4'!N212+'дод. 4'!N218+'дод. 4'!N228+'дод. 4'!N192+'дод. 4'!N223</f>
        <v>22200</v>
      </c>
      <c r="O177" s="30">
        <f>'дод. 4'!O44+'дод. 4'!O184+'дод. 4'!O188+'дод. 4'!O212+'дод. 4'!O218+'дод. 4'!O228+'дод. 4'!O192+'дод. 4'!O223</f>
        <v>22200</v>
      </c>
      <c r="P177" s="30">
        <f>E177+J177</f>
        <v>5791378</v>
      </c>
      <c r="Q177" s="120"/>
    </row>
    <row r="178" spans="1:17" s="20" customFormat="1" ht="75">
      <c r="A178" s="18"/>
      <c r="B178" s="24" t="s">
        <v>131</v>
      </c>
      <c r="C178" s="24" t="s">
        <v>165</v>
      </c>
      <c r="D178" s="22" t="s">
        <v>132</v>
      </c>
      <c r="E178" s="30">
        <f>F178+I178</f>
        <v>84905</v>
      </c>
      <c r="F178" s="30">
        <f>'дод. 4'!F213</f>
        <v>84905</v>
      </c>
      <c r="G178" s="30">
        <f>'дод. 4'!G213</f>
        <v>0</v>
      </c>
      <c r="H178" s="30">
        <f>'дод. 4'!H213</f>
        <v>0</v>
      </c>
      <c r="I178" s="30">
        <f>'дод. 4'!I213</f>
        <v>0</v>
      </c>
      <c r="J178" s="30">
        <f>K178+N178</f>
        <v>36027.53</v>
      </c>
      <c r="K178" s="30">
        <f>'дод. 4'!K213</f>
        <v>36027.53</v>
      </c>
      <c r="L178" s="30">
        <f>'дод. 4'!L213</f>
        <v>0</v>
      </c>
      <c r="M178" s="30">
        <f>'дод. 4'!M213</f>
        <v>0</v>
      </c>
      <c r="N178" s="30">
        <f>'дод. 4'!N213</f>
        <v>0</v>
      </c>
      <c r="O178" s="30">
        <f>'дод. 4'!O213</f>
        <v>0</v>
      </c>
      <c r="P178" s="30">
        <f>E178+J178</f>
        <v>120932.53</v>
      </c>
      <c r="Q178" s="120"/>
    </row>
    <row r="179" spans="1:17" s="20" customFormat="1" ht="25.5" customHeight="1">
      <c r="A179" s="18"/>
      <c r="B179" s="21"/>
      <c r="C179" s="21"/>
      <c r="D179" s="51" t="s">
        <v>2</v>
      </c>
      <c r="E179" s="54">
        <f aca="true" t="shared" si="41" ref="E179:P179">E13+E15+E35+E53+E117+E125+E130+E132+E139+E146+E148+E156+E161+E163+E166+E168+E175</f>
        <v>1675285493.0000005</v>
      </c>
      <c r="F179" s="54">
        <f t="shared" si="41"/>
        <v>1619784239.5300004</v>
      </c>
      <c r="G179" s="54">
        <f t="shared" si="41"/>
        <v>458510170.64</v>
      </c>
      <c r="H179" s="54">
        <f t="shared" si="41"/>
        <v>95520742.62</v>
      </c>
      <c r="I179" s="54">
        <f t="shared" si="41"/>
        <v>45699338.47</v>
      </c>
      <c r="J179" s="54">
        <f t="shared" si="41"/>
        <v>559057836.7899998</v>
      </c>
      <c r="K179" s="54">
        <f t="shared" si="41"/>
        <v>53996894</v>
      </c>
      <c r="L179" s="54">
        <f t="shared" si="41"/>
        <v>11433840</v>
      </c>
      <c r="M179" s="54">
        <f t="shared" si="41"/>
        <v>2174142</v>
      </c>
      <c r="N179" s="54">
        <f t="shared" si="41"/>
        <v>505060942.78999996</v>
      </c>
      <c r="O179" s="54">
        <f t="shared" si="41"/>
        <v>495617635.76</v>
      </c>
      <c r="P179" s="54">
        <f t="shared" si="41"/>
        <v>2234343329.7900004</v>
      </c>
      <c r="Q179" s="124" t="s">
        <v>360</v>
      </c>
    </row>
    <row r="180" spans="1:17" s="20" customFormat="1" ht="36.75" customHeight="1">
      <c r="A180" s="18"/>
      <c r="B180" s="21"/>
      <c r="C180" s="21"/>
      <c r="D180" s="51" t="s">
        <v>212</v>
      </c>
      <c r="E180" s="54">
        <f>E16+E36+E54+E140</f>
        <v>1118794214.52</v>
      </c>
      <c r="F180" s="54">
        <f aca="true" t="shared" si="42" ref="F180:P180">F16+F36+F54+F140</f>
        <v>1118794214.52</v>
      </c>
      <c r="G180" s="54">
        <f t="shared" si="42"/>
        <v>259954796</v>
      </c>
      <c r="H180" s="54">
        <f t="shared" si="42"/>
        <v>47612257</v>
      </c>
      <c r="I180" s="54">
        <f t="shared" si="42"/>
        <v>0</v>
      </c>
      <c r="J180" s="54">
        <f t="shared" si="42"/>
        <v>10183810</v>
      </c>
      <c r="K180" s="54">
        <f t="shared" si="42"/>
        <v>0</v>
      </c>
      <c r="L180" s="54">
        <f t="shared" si="42"/>
        <v>0</v>
      </c>
      <c r="M180" s="54">
        <f t="shared" si="42"/>
        <v>0</v>
      </c>
      <c r="N180" s="54">
        <f t="shared" si="42"/>
        <v>10183810</v>
      </c>
      <c r="O180" s="54">
        <f t="shared" si="42"/>
        <v>10183810</v>
      </c>
      <c r="P180" s="54">
        <f t="shared" si="42"/>
        <v>1128978024.52</v>
      </c>
      <c r="Q180" s="124"/>
    </row>
    <row r="181" spans="1:17" s="20" customFormat="1" ht="27.75" customHeight="1">
      <c r="A181" s="18"/>
      <c r="B181" s="21"/>
      <c r="C181" s="21"/>
      <c r="D181" s="51" t="s">
        <v>243</v>
      </c>
      <c r="E181" s="54">
        <f>E182+E183+E185+E184</f>
        <v>59707883</v>
      </c>
      <c r="F181" s="54">
        <f aca="true" t="shared" si="43" ref="F181:P181">F182+F183+F185+F184</f>
        <v>59707883</v>
      </c>
      <c r="G181" s="54">
        <f t="shared" si="43"/>
        <v>0</v>
      </c>
      <c r="H181" s="54">
        <f t="shared" si="43"/>
        <v>0</v>
      </c>
      <c r="I181" s="54">
        <f t="shared" si="43"/>
        <v>0</v>
      </c>
      <c r="J181" s="54">
        <f t="shared" si="43"/>
        <v>7711730</v>
      </c>
      <c r="K181" s="54">
        <f t="shared" si="43"/>
        <v>0</v>
      </c>
      <c r="L181" s="54">
        <f t="shared" si="43"/>
        <v>0</v>
      </c>
      <c r="M181" s="54">
        <f t="shared" si="43"/>
        <v>0</v>
      </c>
      <c r="N181" s="54">
        <f t="shared" si="43"/>
        <v>7711730</v>
      </c>
      <c r="O181" s="54">
        <f t="shared" si="43"/>
        <v>7711730</v>
      </c>
      <c r="P181" s="54">
        <f t="shared" si="43"/>
        <v>67419613</v>
      </c>
      <c r="Q181" s="124"/>
    </row>
    <row r="182" spans="1:17" s="20" customFormat="1" ht="20.25" customHeight="1">
      <c r="A182" s="18"/>
      <c r="B182" s="21" t="s">
        <v>182</v>
      </c>
      <c r="C182" s="21" t="s">
        <v>180</v>
      </c>
      <c r="D182" s="22" t="s">
        <v>183</v>
      </c>
      <c r="E182" s="30">
        <f>F182+I182</f>
        <v>56401300</v>
      </c>
      <c r="F182" s="30">
        <f>'дод. 4'!F235</f>
        <v>56401300</v>
      </c>
      <c r="G182" s="30">
        <f>'дод. 4'!G235</f>
        <v>0</v>
      </c>
      <c r="H182" s="30">
        <f>'дод. 4'!H235</f>
        <v>0</v>
      </c>
      <c r="I182" s="30">
        <f>'дод. 4'!I235</f>
        <v>0</v>
      </c>
      <c r="J182" s="30">
        <f>K182+N182</f>
        <v>0</v>
      </c>
      <c r="K182" s="30">
        <f>'дод. 4'!K235</f>
        <v>0</v>
      </c>
      <c r="L182" s="30">
        <f>'дод. 4'!L235</f>
        <v>0</v>
      </c>
      <c r="M182" s="30">
        <f>'дод. 4'!M235</f>
        <v>0</v>
      </c>
      <c r="N182" s="30">
        <f>'дод. 4'!N235</f>
        <v>0</v>
      </c>
      <c r="O182" s="30">
        <f>'дод. 4'!O235</f>
        <v>0</v>
      </c>
      <c r="P182" s="30">
        <f>E182+J182</f>
        <v>56401300</v>
      </c>
      <c r="Q182" s="124"/>
    </row>
    <row r="183" spans="1:17" s="20" customFormat="1" ht="25.5" customHeight="1">
      <c r="A183" s="18"/>
      <c r="B183" s="21" t="s">
        <v>184</v>
      </c>
      <c r="C183" s="21" t="s">
        <v>180</v>
      </c>
      <c r="D183" s="22" t="s">
        <v>186</v>
      </c>
      <c r="E183" s="30">
        <f>F183+I183</f>
        <v>141957</v>
      </c>
      <c r="F183" s="30">
        <f>'дод. 4'!F236</f>
        <v>141957</v>
      </c>
      <c r="G183" s="30">
        <f>'дод. 4'!G236</f>
        <v>0</v>
      </c>
      <c r="H183" s="30">
        <f>'дод. 4'!H236</f>
        <v>0</v>
      </c>
      <c r="I183" s="30">
        <f>'дод. 4'!I236</f>
        <v>0</v>
      </c>
      <c r="J183" s="30">
        <f>K183+N183</f>
        <v>0</v>
      </c>
      <c r="K183" s="30">
        <f>'дод. 4'!K236</f>
        <v>0</v>
      </c>
      <c r="L183" s="30">
        <f>'дод. 4'!L236</f>
        <v>0</v>
      </c>
      <c r="M183" s="30">
        <f>'дод. 4'!M236</f>
        <v>0</v>
      </c>
      <c r="N183" s="30">
        <f>'дод. 4'!N236</f>
        <v>0</v>
      </c>
      <c r="O183" s="30">
        <f>'дод. 4'!O236</f>
        <v>0</v>
      </c>
      <c r="P183" s="30">
        <f>E183+J183</f>
        <v>141957</v>
      </c>
      <c r="Q183" s="124"/>
    </row>
    <row r="184" spans="1:17" s="20" customFormat="1" ht="75" customHeight="1">
      <c r="A184" s="18"/>
      <c r="B184" s="21" t="s">
        <v>316</v>
      </c>
      <c r="C184" s="21" t="s">
        <v>180</v>
      </c>
      <c r="D184" s="22" t="s">
        <v>317</v>
      </c>
      <c r="E184" s="30">
        <f>F184+I184</f>
        <v>720170</v>
      </c>
      <c r="F184" s="30">
        <f>'дод. 4'!F43</f>
        <v>720170</v>
      </c>
      <c r="G184" s="30">
        <f>'дод. 4'!G43</f>
        <v>0</v>
      </c>
      <c r="H184" s="30">
        <f>'дод. 4'!H43</f>
        <v>0</v>
      </c>
      <c r="I184" s="30">
        <f>'дод. 4'!I43</f>
        <v>0</v>
      </c>
      <c r="J184" s="30">
        <f>K184+N184</f>
        <v>608830</v>
      </c>
      <c r="K184" s="30">
        <f>'дод. 4'!K43</f>
        <v>0</v>
      </c>
      <c r="L184" s="30">
        <f>'дод. 4'!L43</f>
        <v>0</v>
      </c>
      <c r="M184" s="30">
        <f>'дод. 4'!M43</f>
        <v>0</v>
      </c>
      <c r="N184" s="30">
        <f>'дод. 4'!N43</f>
        <v>608830</v>
      </c>
      <c r="O184" s="30">
        <f>'дод. 4'!O43</f>
        <v>608830</v>
      </c>
      <c r="P184" s="30">
        <f>E184+J184</f>
        <v>1329000</v>
      </c>
      <c r="Q184" s="124"/>
    </row>
    <row r="185" spans="1:17" s="20" customFormat="1" ht="15" customHeight="1">
      <c r="A185" s="18"/>
      <c r="B185" s="21" t="s">
        <v>135</v>
      </c>
      <c r="C185" s="21" t="s">
        <v>180</v>
      </c>
      <c r="D185" s="29" t="s">
        <v>136</v>
      </c>
      <c r="E185" s="30">
        <f>F185+I185</f>
        <v>2444456</v>
      </c>
      <c r="F185" s="30">
        <f>'дод. 4'!F237+'дод. 4'!F183+'дод. 4'!F224+'дод. 4'!F151+'дод. 4'!F87</f>
        <v>2444456</v>
      </c>
      <c r="G185" s="30">
        <f>'дод. 4'!G237+'дод. 4'!G183+'дод. 4'!G224+'дод. 4'!G151+'дод. 4'!G87</f>
        <v>0</v>
      </c>
      <c r="H185" s="30">
        <f>'дод. 4'!H237+'дод. 4'!H183+'дод. 4'!H224+'дод. 4'!H151+'дод. 4'!H87</f>
        <v>0</v>
      </c>
      <c r="I185" s="30">
        <f>'дод. 4'!I237+'дод. 4'!I183+'дод. 4'!I224+'дод. 4'!I151+'дод. 4'!I87</f>
        <v>0</v>
      </c>
      <c r="J185" s="30">
        <f>K185+N185</f>
        <v>7102900</v>
      </c>
      <c r="K185" s="30">
        <f>'дод. 4'!K237+'дод. 4'!K183+'дод. 4'!K224+'дод. 4'!K151+'дод. 4'!K87</f>
        <v>0</v>
      </c>
      <c r="L185" s="30">
        <f>'дод. 4'!L237+'дод. 4'!L183+'дод. 4'!L224+'дод. 4'!L151+'дод. 4'!L87</f>
        <v>0</v>
      </c>
      <c r="M185" s="30">
        <f>'дод. 4'!M237+'дод. 4'!M183+'дод. 4'!M224+'дод. 4'!M151+'дод. 4'!M87</f>
        <v>0</v>
      </c>
      <c r="N185" s="30">
        <f>'дод. 4'!N237+'дод. 4'!N183+'дод. 4'!N224+'дод. 4'!N151+'дод. 4'!N87</f>
        <v>7102900</v>
      </c>
      <c r="O185" s="30">
        <f>'дод. 4'!O237+'дод. 4'!O183+'дод. 4'!O224+'дод. 4'!O151+'дод. 4'!O87</f>
        <v>7102900</v>
      </c>
      <c r="P185" s="30">
        <f>E185+J185</f>
        <v>9547356</v>
      </c>
      <c r="Q185" s="124"/>
    </row>
    <row r="186" spans="1:17" s="20" customFormat="1" ht="29.25" customHeight="1">
      <c r="A186" s="18"/>
      <c r="B186" s="25"/>
      <c r="C186" s="25"/>
      <c r="D186" s="26" t="s">
        <v>137</v>
      </c>
      <c r="E186" s="31">
        <f>E179+E181</f>
        <v>1734993376.0000005</v>
      </c>
      <c r="F186" s="31">
        <f aca="true" t="shared" si="44" ref="F186:P186">F179+F181</f>
        <v>1679492122.5300004</v>
      </c>
      <c r="G186" s="31">
        <f t="shared" si="44"/>
        <v>458510170.64</v>
      </c>
      <c r="H186" s="31">
        <f t="shared" si="44"/>
        <v>95520742.62</v>
      </c>
      <c r="I186" s="31">
        <f t="shared" si="44"/>
        <v>45699338.47</v>
      </c>
      <c r="J186" s="31">
        <f t="shared" si="44"/>
        <v>566769566.7899998</v>
      </c>
      <c r="K186" s="31">
        <f t="shared" si="44"/>
        <v>53996894</v>
      </c>
      <c r="L186" s="31">
        <f t="shared" si="44"/>
        <v>11433840</v>
      </c>
      <c r="M186" s="31">
        <f t="shared" si="44"/>
        <v>2174142</v>
      </c>
      <c r="N186" s="31">
        <f t="shared" si="44"/>
        <v>512772672.78999996</v>
      </c>
      <c r="O186" s="31">
        <f t="shared" si="44"/>
        <v>503329365.76</v>
      </c>
      <c r="P186" s="31">
        <f t="shared" si="44"/>
        <v>2301762942.7900004</v>
      </c>
      <c r="Q186" s="124"/>
    </row>
    <row r="187" spans="1:17" s="20" customFormat="1" ht="36.75" customHeight="1">
      <c r="A187" s="18"/>
      <c r="B187" s="25"/>
      <c r="C187" s="25"/>
      <c r="D187" s="26" t="s">
        <v>212</v>
      </c>
      <c r="E187" s="31">
        <f>E180</f>
        <v>1118794214.52</v>
      </c>
      <c r="F187" s="31">
        <f aca="true" t="shared" si="45" ref="F187:P187">F180</f>
        <v>1118794214.52</v>
      </c>
      <c r="G187" s="31">
        <f t="shared" si="45"/>
        <v>259954796</v>
      </c>
      <c r="H187" s="31">
        <f t="shared" si="45"/>
        <v>47612257</v>
      </c>
      <c r="I187" s="31">
        <f t="shared" si="45"/>
        <v>0</v>
      </c>
      <c r="J187" s="31">
        <f t="shared" si="45"/>
        <v>10183810</v>
      </c>
      <c r="K187" s="31">
        <f t="shared" si="45"/>
        <v>0</v>
      </c>
      <c r="L187" s="31">
        <f t="shared" si="45"/>
        <v>0</v>
      </c>
      <c r="M187" s="31">
        <f t="shared" si="45"/>
        <v>0</v>
      </c>
      <c r="N187" s="31">
        <f t="shared" si="45"/>
        <v>10183810</v>
      </c>
      <c r="O187" s="31">
        <f t="shared" si="45"/>
        <v>10183810</v>
      </c>
      <c r="P187" s="31">
        <f t="shared" si="45"/>
        <v>1128978024.52</v>
      </c>
      <c r="Q187" s="124"/>
    </row>
    <row r="188" spans="5:17" ht="15" customHeight="1">
      <c r="E188" s="49"/>
      <c r="F188" s="49"/>
      <c r="G188" s="49"/>
      <c r="H188" s="49"/>
      <c r="I188" s="49"/>
      <c r="J188" s="49"/>
      <c r="K188" s="49"/>
      <c r="L188" s="49"/>
      <c r="M188" s="49"/>
      <c r="N188" s="49"/>
      <c r="O188" s="49"/>
      <c r="P188" s="49"/>
      <c r="Q188" s="124"/>
    </row>
    <row r="189" spans="5:17" ht="38.25" customHeight="1">
      <c r="E189" s="49"/>
      <c r="F189" s="49"/>
      <c r="G189" s="49"/>
      <c r="H189" s="49"/>
      <c r="I189" s="49"/>
      <c r="J189" s="49"/>
      <c r="K189" s="49"/>
      <c r="L189" s="49"/>
      <c r="M189" s="49"/>
      <c r="N189" s="49"/>
      <c r="O189" s="49"/>
      <c r="P189" s="49"/>
      <c r="Q189" s="124"/>
    </row>
    <row r="190" spans="1:19" s="76" customFormat="1" ht="24" customHeight="1">
      <c r="A190" s="74"/>
      <c r="B190" s="123" t="s">
        <v>346</v>
      </c>
      <c r="C190" s="123"/>
      <c r="D190" s="123"/>
      <c r="E190" s="123"/>
      <c r="F190" s="123"/>
      <c r="G190" s="123"/>
      <c r="H190" s="123"/>
      <c r="I190" s="123"/>
      <c r="J190" s="7"/>
      <c r="K190" s="7"/>
      <c r="L190" s="119" t="s">
        <v>347</v>
      </c>
      <c r="M190" s="119"/>
      <c r="N190" s="119"/>
      <c r="O190" s="119"/>
      <c r="P190" s="75"/>
      <c r="Q190" s="124"/>
      <c r="S190" s="44"/>
    </row>
    <row r="191" spans="1:19" s="8" customFormat="1" ht="26.25" customHeight="1">
      <c r="A191" s="6"/>
      <c r="B191" s="121"/>
      <c r="C191" s="121"/>
      <c r="D191" s="73"/>
      <c r="E191" s="7"/>
      <c r="F191" s="7"/>
      <c r="G191" s="7"/>
      <c r="H191" s="7"/>
      <c r="I191" s="7"/>
      <c r="J191" s="7"/>
      <c r="K191" s="7"/>
      <c r="L191" s="110"/>
      <c r="M191" s="110"/>
      <c r="N191" s="110"/>
      <c r="O191" s="110"/>
      <c r="P191" s="6"/>
      <c r="Q191" s="124"/>
      <c r="S191" s="45"/>
    </row>
    <row r="192" spans="1:19" s="8" customFormat="1" ht="23.25">
      <c r="A192" s="6"/>
      <c r="B192" s="6"/>
      <c r="C192" s="103"/>
      <c r="D192" s="9"/>
      <c r="E192" s="9"/>
      <c r="F192" s="9"/>
      <c r="G192" s="9"/>
      <c r="H192" s="9"/>
      <c r="I192" s="9"/>
      <c r="J192" s="9"/>
      <c r="K192" s="9"/>
      <c r="L192" s="9"/>
      <c r="M192" s="9"/>
      <c r="N192" s="6"/>
      <c r="O192" s="6"/>
      <c r="P192" s="6"/>
      <c r="Q192" s="124"/>
      <c r="S192" s="45"/>
    </row>
    <row r="193" spans="1:17" s="84" customFormat="1" ht="9.75" customHeight="1">
      <c r="A193" s="78"/>
      <c r="B193" s="43"/>
      <c r="C193" s="79"/>
      <c r="D193" s="79"/>
      <c r="E193" s="80"/>
      <c r="F193" s="81"/>
      <c r="G193" s="81"/>
      <c r="H193" s="81"/>
      <c r="I193" s="81"/>
      <c r="J193" s="81"/>
      <c r="K193" s="81"/>
      <c r="L193" s="82"/>
      <c r="M193" s="82"/>
      <c r="N193" s="82"/>
      <c r="O193" s="83"/>
      <c r="P193" s="83"/>
      <c r="Q193" s="124"/>
    </row>
    <row r="194" spans="1:17" s="84" customFormat="1" ht="11.25" customHeight="1">
      <c r="A194" s="78"/>
      <c r="B194" s="109"/>
      <c r="C194" s="79"/>
      <c r="D194" s="79"/>
      <c r="E194" s="80"/>
      <c r="F194" s="81"/>
      <c r="G194" s="81"/>
      <c r="H194" s="81"/>
      <c r="I194" s="81"/>
      <c r="J194" s="81"/>
      <c r="K194" s="81"/>
      <c r="L194" s="82"/>
      <c r="M194" s="82"/>
      <c r="N194" s="82"/>
      <c r="O194" s="83"/>
      <c r="P194" s="83"/>
      <c r="Q194" s="124"/>
    </row>
    <row r="195" spans="2:19" ht="26.25">
      <c r="B195" s="86"/>
      <c r="C195" s="87"/>
      <c r="D195" s="87"/>
      <c r="Q195" s="124"/>
      <c r="S195" s="44"/>
    </row>
    <row r="196" spans="17:19" ht="26.25">
      <c r="Q196" s="94"/>
      <c r="S196" s="44"/>
    </row>
    <row r="197" spans="17:19" ht="26.25">
      <c r="Q197" s="94"/>
      <c r="S197" s="44"/>
    </row>
    <row r="198" ht="15" customHeight="1">
      <c r="Q198" s="94"/>
    </row>
    <row r="199" ht="15" customHeight="1">
      <c r="Q199" s="94"/>
    </row>
    <row r="200" ht="15" customHeight="1">
      <c r="Q200" s="94"/>
    </row>
    <row r="201" ht="15" customHeight="1">
      <c r="Q201" s="94"/>
    </row>
    <row r="202" ht="15" customHeight="1">
      <c r="Q202" s="94"/>
    </row>
    <row r="203" ht="15" customHeight="1">
      <c r="Q203" s="94"/>
    </row>
    <row r="204" ht="15" customHeight="1">
      <c r="Q204" s="94"/>
    </row>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sheetData>
  <sheetProtection/>
  <mergeCells count="36">
    <mergeCell ref="L1:O1"/>
    <mergeCell ref="L3:P3"/>
    <mergeCell ref="Q1:Q35"/>
    <mergeCell ref="Q36:Q56"/>
    <mergeCell ref="J9:O9"/>
    <mergeCell ref="P9:P12"/>
    <mergeCell ref="B7:P7"/>
    <mergeCell ref="M11:M12"/>
    <mergeCell ref="L11:L12"/>
    <mergeCell ref="H11:H12"/>
    <mergeCell ref="D9:D12"/>
    <mergeCell ref="B190:I190"/>
    <mergeCell ref="Q108:Q128"/>
    <mergeCell ref="Q129:Q154"/>
    <mergeCell ref="Q155:Q178"/>
    <mergeCell ref="Q179:Q195"/>
    <mergeCell ref="Q57:Q60"/>
    <mergeCell ref="Q61:Q66"/>
    <mergeCell ref="Q67:Q80"/>
    <mergeCell ref="Q81:Q107"/>
    <mergeCell ref="B191:C191"/>
    <mergeCell ref="B9:B12"/>
    <mergeCell ref="C9:C12"/>
    <mergeCell ref="E9:I9"/>
    <mergeCell ref="F10:F12"/>
    <mergeCell ref="G11:G12"/>
    <mergeCell ref="L191:O191"/>
    <mergeCell ref="E10:E12"/>
    <mergeCell ref="I10:I12"/>
    <mergeCell ref="K10:K12"/>
    <mergeCell ref="J10:J12"/>
    <mergeCell ref="G10:H10"/>
    <mergeCell ref="L190:O190"/>
    <mergeCell ref="O11:O12"/>
    <mergeCell ref="N10:N12"/>
    <mergeCell ref="L10:M10"/>
  </mergeCells>
  <printOptions horizontalCentered="1"/>
  <pageMargins left="0.1968503937007874" right="0.1968503937007874" top="1.0236220472440944" bottom="0.4330708661417323" header="0.35433070866141736" footer="0.2362204724409449"/>
  <pageSetup fitToHeight="10" horizontalDpi="600" verticalDpi="600" orientation="landscape" paperSize="9" scale="52" r:id="rId1"/>
  <headerFooter alignWithMargins="0">
    <oddHeader>&amp;R&amp;12Продовження додатку 3</oddHeader>
  </headerFooter>
  <rowBreaks count="1" manualBreakCount="1">
    <brk id="35" min="1" max="15" man="1"/>
  </rowBreaks>
</worksheet>
</file>

<file path=xl/worksheets/sheet2.xml><?xml version="1.0" encoding="utf-8"?>
<worksheet xmlns="http://schemas.openxmlformats.org/spreadsheetml/2006/main" xmlns:r="http://schemas.openxmlformats.org/officeDocument/2006/relationships">
  <sheetPr>
    <pageSetUpPr fitToPage="1"/>
  </sheetPr>
  <dimension ref="A1:V255"/>
  <sheetViews>
    <sheetView showGridLines="0" showZeros="0" view="pageBreakPreview" zoomScale="70" zoomScaleNormal="70" zoomScaleSheetLayoutView="70" zoomScalePageLayoutView="0" workbookViewId="0" topLeftCell="B1">
      <selection activeCell="L3" sqref="L3:P3"/>
    </sheetView>
  </sheetViews>
  <sheetFormatPr defaultColWidth="9.16015625" defaultRowHeight="12.75"/>
  <cols>
    <col min="1" max="1" width="3.83203125" style="70" hidden="1" customWidth="1"/>
    <col min="2" max="3" width="11.66015625" style="70" customWidth="1"/>
    <col min="4" max="4" width="46" style="70" customWidth="1"/>
    <col min="5" max="5" width="22.66015625" style="70" customWidth="1"/>
    <col min="6" max="6" width="19.5" style="70" customWidth="1"/>
    <col min="7" max="7" width="20" style="70" customWidth="1"/>
    <col min="8" max="8" width="16.83203125" style="70" customWidth="1"/>
    <col min="9" max="9" width="17" style="70" customWidth="1"/>
    <col min="10" max="11" width="18" style="70" customWidth="1"/>
    <col min="12" max="12" width="18.33203125" style="70" customWidth="1"/>
    <col min="13" max="13" width="15.83203125" style="70" customWidth="1"/>
    <col min="14" max="14" width="17.66015625" style="70" customWidth="1"/>
    <col min="15" max="15" width="21.5" style="70" customWidth="1"/>
    <col min="16" max="16" width="19.66015625" style="70" customWidth="1"/>
    <col min="17" max="17" width="6" style="92" customWidth="1"/>
    <col min="18" max="18" width="14.16015625" style="69" bestFit="1" customWidth="1"/>
    <col min="19" max="19" width="29.66015625" style="69" bestFit="1" customWidth="1"/>
    <col min="20" max="16384" width="9.16015625" style="69" customWidth="1"/>
  </cols>
  <sheetData>
    <row r="1" spans="1:22" ht="26.25">
      <c r="A1" s="1"/>
      <c r="B1" s="1"/>
      <c r="C1" s="1"/>
      <c r="D1" s="1"/>
      <c r="E1" s="1"/>
      <c r="F1" s="1" t="s">
        <v>322</v>
      </c>
      <c r="G1" s="1"/>
      <c r="H1" s="1"/>
      <c r="I1" s="1"/>
      <c r="J1" s="1"/>
      <c r="K1" s="1"/>
      <c r="L1" s="125" t="s">
        <v>350</v>
      </c>
      <c r="M1" s="125"/>
      <c r="N1" s="125"/>
      <c r="O1" s="125"/>
      <c r="P1" s="91"/>
      <c r="Q1" s="127" t="s">
        <v>361</v>
      </c>
      <c r="R1" s="130"/>
      <c r="S1" s="130"/>
      <c r="T1" s="130"/>
      <c r="U1" s="130"/>
      <c r="V1" s="89"/>
    </row>
    <row r="2" spans="1:22" ht="21.75" customHeight="1">
      <c r="A2" s="1"/>
      <c r="B2" s="1"/>
      <c r="C2" s="1"/>
      <c r="D2" s="1"/>
      <c r="E2" s="1"/>
      <c r="F2" s="1"/>
      <c r="G2" s="1"/>
      <c r="H2" s="1"/>
      <c r="I2" s="1"/>
      <c r="J2" s="1"/>
      <c r="K2" s="1"/>
      <c r="L2" s="91" t="s">
        <v>349</v>
      </c>
      <c r="M2" s="91"/>
      <c r="N2" s="91"/>
      <c r="O2" s="91"/>
      <c r="P2" s="91"/>
      <c r="Q2" s="127"/>
      <c r="R2" s="130"/>
      <c r="S2" s="130"/>
      <c r="T2" s="130"/>
      <c r="U2" s="130"/>
      <c r="V2" s="130"/>
    </row>
    <row r="3" spans="1:22" ht="29.25" customHeight="1">
      <c r="A3" s="1"/>
      <c r="B3" s="1"/>
      <c r="C3" s="1"/>
      <c r="D3" s="1"/>
      <c r="E3" s="1"/>
      <c r="F3" s="1"/>
      <c r="G3" s="1"/>
      <c r="H3" s="1"/>
      <c r="I3" s="1"/>
      <c r="J3" s="1"/>
      <c r="K3" s="1"/>
      <c r="L3" s="126" t="s">
        <v>373</v>
      </c>
      <c r="M3" s="126"/>
      <c r="N3" s="126"/>
      <c r="O3" s="126"/>
      <c r="P3" s="126"/>
      <c r="Q3" s="127"/>
      <c r="R3" s="95"/>
      <c r="S3" s="95"/>
      <c r="T3" s="95"/>
      <c r="U3" s="95"/>
      <c r="V3" s="95"/>
    </row>
    <row r="4" spans="1:22" ht="18.75" customHeight="1">
      <c r="A4" s="1"/>
      <c r="B4" s="1"/>
      <c r="C4" s="1"/>
      <c r="D4" s="1"/>
      <c r="E4" s="1"/>
      <c r="F4" s="1"/>
      <c r="G4" s="1"/>
      <c r="H4" s="1"/>
      <c r="I4" s="1"/>
      <c r="J4" s="1"/>
      <c r="K4" s="1"/>
      <c r="L4" s="91"/>
      <c r="M4" s="69"/>
      <c r="N4" s="98"/>
      <c r="O4" s="97"/>
      <c r="P4" s="97"/>
      <c r="Q4" s="127"/>
      <c r="R4" s="95"/>
      <c r="S4" s="95"/>
      <c r="T4" s="95"/>
      <c r="U4" s="95"/>
      <c r="V4" s="95"/>
    </row>
    <row r="5" spans="1:22" ht="25.5" customHeight="1">
      <c r="A5" s="1"/>
      <c r="B5" s="1"/>
      <c r="C5" s="1"/>
      <c r="D5" s="1"/>
      <c r="E5" s="1"/>
      <c r="F5" s="1"/>
      <c r="G5" s="1"/>
      <c r="H5" s="1"/>
      <c r="I5" s="1"/>
      <c r="J5" s="1"/>
      <c r="K5" s="1"/>
      <c r="L5" s="96"/>
      <c r="M5" s="69"/>
      <c r="N5" s="98"/>
      <c r="O5" s="97"/>
      <c r="P5" s="97"/>
      <c r="Q5" s="127"/>
      <c r="R5" s="90"/>
      <c r="S5" s="90"/>
      <c r="T5" s="90"/>
      <c r="U5" s="90"/>
      <c r="V5" s="90"/>
    </row>
    <row r="6" spans="12:22" ht="15.75" customHeight="1">
      <c r="L6" s="69"/>
      <c r="M6" s="38"/>
      <c r="N6" s="38"/>
      <c r="O6" s="38"/>
      <c r="P6" s="38"/>
      <c r="Q6" s="127"/>
      <c r="R6" s="129"/>
      <c r="S6" s="129"/>
      <c r="T6" s="129"/>
      <c r="U6" s="129"/>
      <c r="V6" s="129"/>
    </row>
    <row r="7" spans="2:22" ht="45" customHeight="1">
      <c r="B7" s="128" t="s">
        <v>247</v>
      </c>
      <c r="C7" s="128"/>
      <c r="D7" s="128"/>
      <c r="E7" s="128"/>
      <c r="F7" s="128"/>
      <c r="G7" s="128"/>
      <c r="H7" s="128"/>
      <c r="I7" s="128"/>
      <c r="J7" s="128"/>
      <c r="K7" s="128"/>
      <c r="L7" s="128"/>
      <c r="M7" s="128"/>
      <c r="N7" s="128"/>
      <c r="O7" s="128"/>
      <c r="P7" s="128"/>
      <c r="Q7" s="127"/>
      <c r="R7" s="129"/>
      <c r="S7" s="129"/>
      <c r="T7" s="129"/>
      <c r="U7" s="129"/>
      <c r="V7" s="129"/>
    </row>
    <row r="8" spans="2:17" ht="18.75">
      <c r="B8" s="71"/>
      <c r="C8" s="71"/>
      <c r="D8" s="71"/>
      <c r="E8" s="71"/>
      <c r="F8" s="71"/>
      <c r="G8" s="5"/>
      <c r="H8" s="2"/>
      <c r="I8" s="2"/>
      <c r="J8" s="3"/>
      <c r="K8" s="4"/>
      <c r="L8" s="4"/>
      <c r="M8" s="4"/>
      <c r="N8" s="4"/>
      <c r="O8" s="4"/>
      <c r="P8" s="35" t="s">
        <v>14</v>
      </c>
      <c r="Q8" s="127"/>
    </row>
    <row r="9" spans="1:17" s="14" customFormat="1" ht="21.75" customHeight="1">
      <c r="A9" s="12"/>
      <c r="B9" s="111" t="s">
        <v>13</v>
      </c>
      <c r="C9" s="111" t="s">
        <v>10</v>
      </c>
      <c r="D9" s="111" t="s">
        <v>185</v>
      </c>
      <c r="E9" s="117" t="s">
        <v>0</v>
      </c>
      <c r="F9" s="122"/>
      <c r="G9" s="122"/>
      <c r="H9" s="122"/>
      <c r="I9" s="118"/>
      <c r="J9" s="117" t="s">
        <v>1</v>
      </c>
      <c r="K9" s="122"/>
      <c r="L9" s="122"/>
      <c r="M9" s="122"/>
      <c r="N9" s="122"/>
      <c r="O9" s="118"/>
      <c r="P9" s="111" t="s">
        <v>2</v>
      </c>
      <c r="Q9" s="127"/>
    </row>
    <row r="10" spans="1:17" s="14" customFormat="1" ht="16.5" customHeight="1">
      <c r="A10" s="15"/>
      <c r="B10" s="112"/>
      <c r="C10" s="112"/>
      <c r="D10" s="112"/>
      <c r="E10" s="111" t="s">
        <v>3</v>
      </c>
      <c r="F10" s="114" t="s">
        <v>4</v>
      </c>
      <c r="G10" s="117" t="s">
        <v>5</v>
      </c>
      <c r="H10" s="118"/>
      <c r="I10" s="114" t="s">
        <v>6</v>
      </c>
      <c r="J10" s="111" t="s">
        <v>3</v>
      </c>
      <c r="K10" s="114" t="s">
        <v>4</v>
      </c>
      <c r="L10" s="117" t="s">
        <v>5</v>
      </c>
      <c r="M10" s="118"/>
      <c r="N10" s="114" t="s">
        <v>6</v>
      </c>
      <c r="O10" s="13" t="s">
        <v>5</v>
      </c>
      <c r="P10" s="112"/>
      <c r="Q10" s="127"/>
    </row>
    <row r="11" spans="1:17" s="14" customFormat="1" ht="20.25" customHeight="1">
      <c r="A11" s="16"/>
      <c r="B11" s="112"/>
      <c r="C11" s="112"/>
      <c r="D11" s="112"/>
      <c r="E11" s="112"/>
      <c r="F11" s="115"/>
      <c r="G11" s="111" t="s">
        <v>7</v>
      </c>
      <c r="H11" s="111" t="s">
        <v>8</v>
      </c>
      <c r="I11" s="115"/>
      <c r="J11" s="112"/>
      <c r="K11" s="115"/>
      <c r="L11" s="111" t="s">
        <v>7</v>
      </c>
      <c r="M11" s="111" t="s">
        <v>8</v>
      </c>
      <c r="N11" s="115"/>
      <c r="O11" s="111" t="s">
        <v>12</v>
      </c>
      <c r="P11" s="112"/>
      <c r="Q11" s="127"/>
    </row>
    <row r="12" spans="1:17" s="14" customFormat="1" ht="110.25" customHeight="1">
      <c r="A12" s="17"/>
      <c r="B12" s="113"/>
      <c r="C12" s="113"/>
      <c r="D12" s="113"/>
      <c r="E12" s="113"/>
      <c r="F12" s="116"/>
      <c r="G12" s="113"/>
      <c r="H12" s="113"/>
      <c r="I12" s="116"/>
      <c r="J12" s="113"/>
      <c r="K12" s="116"/>
      <c r="L12" s="113"/>
      <c r="M12" s="113"/>
      <c r="N12" s="116"/>
      <c r="O12" s="113"/>
      <c r="P12" s="113"/>
      <c r="Q12" s="127"/>
    </row>
    <row r="13" spans="1:17" s="20" customFormat="1" ht="28.5">
      <c r="A13" s="18"/>
      <c r="B13" s="41"/>
      <c r="C13" s="41"/>
      <c r="D13" s="19" t="s">
        <v>15</v>
      </c>
      <c r="E13" s="31">
        <f>E14+E15+E16+E17+E18+E19+E20+E21+E22+E23+E24+E25+E26+E27+E28+E29+E31+E32+E33+E34+E35+E36+E37+E38+E39+E40+E42+E44+E30+E43+E41</f>
        <v>78213038.39</v>
      </c>
      <c r="F13" s="31">
        <f aca="true" t="shared" si="0" ref="F13:P13">F14+F15+F16+F17+F18+F19+F20+F21+F22+F23+F24+F25+F26+F27+F28+F29+F31+F32+F33+F34+F35+F36+F37+F38+F39+F40+F42+F44+F30+F43+F41</f>
        <v>58913398.39</v>
      </c>
      <c r="G13" s="31">
        <f t="shared" si="0"/>
        <v>26661259</v>
      </c>
      <c r="H13" s="31">
        <f t="shared" si="0"/>
        <v>2951677.79</v>
      </c>
      <c r="I13" s="31">
        <f t="shared" si="0"/>
        <v>19299640</v>
      </c>
      <c r="J13" s="31">
        <f t="shared" si="0"/>
        <v>60338212.47</v>
      </c>
      <c r="K13" s="31">
        <f t="shared" si="0"/>
        <v>473457.47</v>
      </c>
      <c r="L13" s="31">
        <f t="shared" si="0"/>
        <v>144491</v>
      </c>
      <c r="M13" s="31">
        <f t="shared" si="0"/>
        <v>98348</v>
      </c>
      <c r="N13" s="31">
        <f t="shared" si="0"/>
        <v>59864755</v>
      </c>
      <c r="O13" s="31">
        <f t="shared" si="0"/>
        <v>59864755</v>
      </c>
      <c r="P13" s="31">
        <f t="shared" si="0"/>
        <v>138551250.86</v>
      </c>
      <c r="Q13" s="127"/>
    </row>
    <row r="14" spans="1:17" s="20" customFormat="1" ht="19.5" customHeight="1">
      <c r="A14" s="18"/>
      <c r="B14" s="21" t="s">
        <v>11</v>
      </c>
      <c r="C14" s="21" t="s">
        <v>9</v>
      </c>
      <c r="D14" s="22" t="s">
        <v>16</v>
      </c>
      <c r="E14" s="30">
        <f>F14+I14</f>
        <v>32704320.6</v>
      </c>
      <c r="F14" s="30">
        <f>27284910+1516344+285000+126395+1030900+63943.6+92299-493340+40000-40000+765469+70200+231000+281400+632060+312940+100000+404800</f>
        <v>32704320.6</v>
      </c>
      <c r="G14" s="30">
        <f>16195850+1873700+845100+447106+331800</f>
        <v>19693556</v>
      </c>
      <c r="H14" s="30">
        <v>1520550</v>
      </c>
      <c r="I14" s="30"/>
      <c r="J14" s="30">
        <f>K14+N14</f>
        <v>5788721</v>
      </c>
      <c r="K14" s="30"/>
      <c r="L14" s="30"/>
      <c r="M14" s="30"/>
      <c r="N14" s="30">
        <f>1100000+2043480+900000+1211765-92299+493340+34835+33600+64000</f>
        <v>5788721</v>
      </c>
      <c r="O14" s="30">
        <f>1100000+2043480+900000+1211765-92299+493340+34835+33600+64000</f>
        <v>5788721</v>
      </c>
      <c r="P14" s="30">
        <f>E14+J14</f>
        <v>38493041.6</v>
      </c>
      <c r="Q14" s="127"/>
    </row>
    <row r="15" spans="1:17" s="20" customFormat="1" ht="30">
      <c r="A15" s="18"/>
      <c r="B15" s="21" t="s">
        <v>17</v>
      </c>
      <c r="C15" s="21" t="s">
        <v>138</v>
      </c>
      <c r="D15" s="22" t="s">
        <v>18</v>
      </c>
      <c r="E15" s="30">
        <f aca="true" t="shared" si="1" ref="E15:E44">F15+I15</f>
        <v>207253</v>
      </c>
      <c r="F15" s="30">
        <f>143404+22688+10861+30300</f>
        <v>207253</v>
      </c>
      <c r="G15" s="31"/>
      <c r="H15" s="31"/>
      <c r="I15" s="31"/>
      <c r="J15" s="30">
        <f aca="true" t="shared" si="2" ref="J15:J44">K15+N15</f>
        <v>0</v>
      </c>
      <c r="K15" s="31"/>
      <c r="L15" s="31"/>
      <c r="M15" s="31"/>
      <c r="N15" s="31"/>
      <c r="O15" s="31"/>
      <c r="P15" s="30">
        <f aca="true" t="shared" si="3" ref="P15:P44">E15+J15</f>
        <v>207253</v>
      </c>
      <c r="Q15" s="127"/>
    </row>
    <row r="16" spans="1:17" s="20" customFormat="1" ht="30">
      <c r="A16" s="18"/>
      <c r="B16" s="21" t="s">
        <v>19</v>
      </c>
      <c r="C16" s="21" t="s">
        <v>139</v>
      </c>
      <c r="D16" s="22" t="s">
        <v>20</v>
      </c>
      <c r="E16" s="30">
        <f t="shared" si="1"/>
        <v>717600</v>
      </c>
      <c r="F16" s="30">
        <f>847250-160250+5000+17100+8500</f>
        <v>717600</v>
      </c>
      <c r="G16" s="30">
        <f>564500-71550+14000-3960</f>
        <v>502990</v>
      </c>
      <c r="H16" s="30">
        <v>55897</v>
      </c>
      <c r="I16" s="30"/>
      <c r="J16" s="30">
        <f t="shared" si="2"/>
        <v>0</v>
      </c>
      <c r="K16" s="30"/>
      <c r="L16" s="30"/>
      <c r="M16" s="30"/>
      <c r="N16" s="30"/>
      <c r="O16" s="30"/>
      <c r="P16" s="30">
        <f t="shared" si="3"/>
        <v>717600</v>
      </c>
      <c r="Q16" s="127"/>
    </row>
    <row r="17" spans="1:17" s="20" customFormat="1" ht="30">
      <c r="A17" s="18"/>
      <c r="B17" s="21" t="s">
        <v>21</v>
      </c>
      <c r="C17" s="21" t="s">
        <v>139</v>
      </c>
      <c r="D17" s="22" t="s">
        <v>22</v>
      </c>
      <c r="E17" s="30">
        <f t="shared" si="1"/>
        <v>40000</v>
      </c>
      <c r="F17" s="30">
        <v>40000</v>
      </c>
      <c r="G17" s="30"/>
      <c r="H17" s="30"/>
      <c r="I17" s="30"/>
      <c r="J17" s="30">
        <f t="shared" si="2"/>
        <v>0</v>
      </c>
      <c r="K17" s="30"/>
      <c r="L17" s="30"/>
      <c r="M17" s="30"/>
      <c r="N17" s="30"/>
      <c r="O17" s="30"/>
      <c r="P17" s="30">
        <f t="shared" si="3"/>
        <v>40000</v>
      </c>
      <c r="Q17" s="127"/>
    </row>
    <row r="18" spans="1:17" s="20" customFormat="1" ht="30">
      <c r="A18" s="18"/>
      <c r="B18" s="21" t="s">
        <v>23</v>
      </c>
      <c r="C18" s="21" t="s">
        <v>139</v>
      </c>
      <c r="D18" s="22" t="s">
        <v>24</v>
      </c>
      <c r="E18" s="30">
        <f t="shared" si="1"/>
        <v>605000</v>
      </c>
      <c r="F18" s="30">
        <f>105000+500000</f>
        <v>605000</v>
      </c>
      <c r="G18" s="30"/>
      <c r="H18" s="30"/>
      <c r="I18" s="30"/>
      <c r="J18" s="30">
        <f t="shared" si="2"/>
        <v>0</v>
      </c>
      <c r="K18" s="30"/>
      <c r="L18" s="30"/>
      <c r="M18" s="30"/>
      <c r="N18" s="30"/>
      <c r="O18" s="30"/>
      <c r="P18" s="30">
        <f t="shared" si="3"/>
        <v>605000</v>
      </c>
      <c r="Q18" s="127"/>
    </row>
    <row r="19" spans="1:17" s="20" customFormat="1" ht="15">
      <c r="A19" s="18"/>
      <c r="B19" s="21" t="s">
        <v>25</v>
      </c>
      <c r="C19" s="21" t="s">
        <v>139</v>
      </c>
      <c r="D19" s="22" t="s">
        <v>26</v>
      </c>
      <c r="E19" s="30">
        <f t="shared" si="1"/>
        <v>511500</v>
      </c>
      <c r="F19" s="30">
        <f>582100-72200+1600</f>
        <v>511500</v>
      </c>
      <c r="G19" s="30">
        <f>354900-17600+1300</f>
        <v>338600</v>
      </c>
      <c r="H19" s="30">
        <v>72433</v>
      </c>
      <c r="I19" s="30"/>
      <c r="J19" s="30">
        <f t="shared" si="2"/>
        <v>9645</v>
      </c>
      <c r="K19" s="30"/>
      <c r="L19" s="30"/>
      <c r="M19" s="30"/>
      <c r="N19" s="30">
        <v>9645</v>
      </c>
      <c r="O19" s="30">
        <v>9645</v>
      </c>
      <c r="P19" s="30">
        <f t="shared" si="3"/>
        <v>521145</v>
      </c>
      <c r="Q19" s="127"/>
    </row>
    <row r="20" spans="1:17" s="20" customFormat="1" ht="75">
      <c r="A20" s="18"/>
      <c r="B20" s="21" t="s">
        <v>27</v>
      </c>
      <c r="C20" s="21" t="s">
        <v>139</v>
      </c>
      <c r="D20" s="23" t="s">
        <v>28</v>
      </c>
      <c r="E20" s="30">
        <f t="shared" si="1"/>
        <v>1106888</v>
      </c>
      <c r="F20" s="30">
        <f>189000+917888</f>
        <v>1106888</v>
      </c>
      <c r="G20" s="30"/>
      <c r="H20" s="30"/>
      <c r="I20" s="30"/>
      <c r="J20" s="30">
        <f t="shared" si="2"/>
        <v>0</v>
      </c>
      <c r="K20" s="30"/>
      <c r="L20" s="30"/>
      <c r="M20" s="30"/>
      <c r="N20" s="30"/>
      <c r="O20" s="30"/>
      <c r="P20" s="30">
        <f t="shared" si="3"/>
        <v>1106888</v>
      </c>
      <c r="Q20" s="127"/>
    </row>
    <row r="21" spans="1:17" s="20" customFormat="1" ht="15">
      <c r="A21" s="18"/>
      <c r="B21" s="21" t="s">
        <v>29</v>
      </c>
      <c r="C21" s="21" t="s">
        <v>140</v>
      </c>
      <c r="D21" s="22" t="s">
        <v>30</v>
      </c>
      <c r="E21" s="30">
        <f t="shared" si="1"/>
        <v>169209.79</v>
      </c>
      <c r="F21" s="30">
        <f>125140+37439.79+6630</f>
        <v>169209.79</v>
      </c>
      <c r="G21" s="30"/>
      <c r="H21" s="30">
        <f>124940+37439.79+6630</f>
        <v>169009.79</v>
      </c>
      <c r="I21" s="30"/>
      <c r="J21" s="30">
        <f t="shared" si="2"/>
        <v>0</v>
      </c>
      <c r="K21" s="30"/>
      <c r="L21" s="30"/>
      <c r="M21" s="30"/>
      <c r="N21" s="30"/>
      <c r="O21" s="30"/>
      <c r="P21" s="30">
        <f t="shared" si="3"/>
        <v>169209.79</v>
      </c>
      <c r="Q21" s="127"/>
    </row>
    <row r="22" spans="1:17" s="20" customFormat="1" ht="15">
      <c r="A22" s="18"/>
      <c r="B22" s="21" t="s">
        <v>31</v>
      </c>
      <c r="C22" s="21" t="s">
        <v>141</v>
      </c>
      <c r="D22" s="22" t="s">
        <v>32</v>
      </c>
      <c r="E22" s="30">
        <f t="shared" si="1"/>
        <v>1884655</v>
      </c>
      <c r="F22" s="30">
        <f>1692120-160464+21446+105200+5000+27000+12000+26825+1528+47000+60000+27000+20000</f>
        <v>1884655</v>
      </c>
      <c r="G22" s="30">
        <f>1009375-13215+1253</f>
        <v>997413</v>
      </c>
      <c r="H22" s="30">
        <v>91785</v>
      </c>
      <c r="I22" s="31"/>
      <c r="J22" s="30">
        <f t="shared" si="2"/>
        <v>116759</v>
      </c>
      <c r="K22" s="30"/>
      <c r="L22" s="30"/>
      <c r="M22" s="30"/>
      <c r="N22" s="30">
        <f>70000+4759+69000-27000</f>
        <v>116759</v>
      </c>
      <c r="O22" s="30">
        <f>70000+4759+69000-27000</f>
        <v>116759</v>
      </c>
      <c r="P22" s="30">
        <f t="shared" si="3"/>
        <v>2001414</v>
      </c>
      <c r="Q22" s="127"/>
    </row>
    <row r="23" spans="1:17" s="20" customFormat="1" ht="15">
      <c r="A23" s="18"/>
      <c r="B23" s="21" t="s">
        <v>190</v>
      </c>
      <c r="C23" s="21" t="s">
        <v>192</v>
      </c>
      <c r="D23" s="22" t="s">
        <v>191</v>
      </c>
      <c r="E23" s="30">
        <f t="shared" si="1"/>
        <v>101500</v>
      </c>
      <c r="F23" s="30">
        <f>90300+7700+3500</f>
        <v>101500</v>
      </c>
      <c r="G23" s="30"/>
      <c r="H23" s="30"/>
      <c r="I23" s="31"/>
      <c r="J23" s="30">
        <f t="shared" si="2"/>
        <v>0</v>
      </c>
      <c r="K23" s="30"/>
      <c r="L23" s="30"/>
      <c r="M23" s="30"/>
      <c r="N23" s="30"/>
      <c r="O23" s="30"/>
      <c r="P23" s="30">
        <f t="shared" si="3"/>
        <v>101500</v>
      </c>
      <c r="Q23" s="127"/>
    </row>
    <row r="24" spans="1:17" s="20" customFormat="1" ht="30">
      <c r="A24" s="18"/>
      <c r="B24" s="21" t="s">
        <v>33</v>
      </c>
      <c r="C24" s="21" t="s">
        <v>142</v>
      </c>
      <c r="D24" s="22" t="s">
        <v>34</v>
      </c>
      <c r="E24" s="30">
        <f t="shared" si="1"/>
        <v>500000</v>
      </c>
      <c r="F24" s="30">
        <v>500000</v>
      </c>
      <c r="G24" s="30"/>
      <c r="H24" s="30"/>
      <c r="I24" s="31"/>
      <c r="J24" s="30">
        <f t="shared" si="2"/>
        <v>0</v>
      </c>
      <c r="K24" s="30"/>
      <c r="L24" s="30"/>
      <c r="M24" s="30"/>
      <c r="N24" s="30"/>
      <c r="O24" s="30"/>
      <c r="P24" s="30">
        <f t="shared" si="3"/>
        <v>500000</v>
      </c>
      <c r="Q24" s="127"/>
    </row>
    <row r="25" spans="1:17" s="20" customFormat="1" ht="44.25" customHeight="1">
      <c r="A25" s="18"/>
      <c r="B25" s="21" t="s">
        <v>35</v>
      </c>
      <c r="C25" s="21" t="s">
        <v>142</v>
      </c>
      <c r="D25" s="22" t="s">
        <v>36</v>
      </c>
      <c r="E25" s="30">
        <f t="shared" si="1"/>
        <v>523780</v>
      </c>
      <c r="F25" s="30">
        <f>500000+16500+7280</f>
        <v>523780</v>
      </c>
      <c r="G25" s="30"/>
      <c r="H25" s="30"/>
      <c r="I25" s="31"/>
      <c r="J25" s="30">
        <f t="shared" si="2"/>
        <v>0</v>
      </c>
      <c r="K25" s="30"/>
      <c r="L25" s="30"/>
      <c r="M25" s="30"/>
      <c r="N25" s="30"/>
      <c r="O25" s="30"/>
      <c r="P25" s="30">
        <f t="shared" si="3"/>
        <v>523780</v>
      </c>
      <c r="Q25" s="127"/>
    </row>
    <row r="26" spans="1:17" s="20" customFormat="1" ht="45" customHeight="1">
      <c r="A26" s="18"/>
      <c r="B26" s="21" t="s">
        <v>37</v>
      </c>
      <c r="C26" s="21" t="s">
        <v>142</v>
      </c>
      <c r="D26" s="22" t="s">
        <v>38</v>
      </c>
      <c r="E26" s="30">
        <f t="shared" si="1"/>
        <v>5462712</v>
      </c>
      <c r="F26" s="30">
        <f>5633420-548729+30000+7000+34000+1569+14132+13000+4000+10000+124142+82878+15000+19976.03+22323.97</f>
        <v>5462712</v>
      </c>
      <c r="G26" s="30">
        <f>3602473-51151+1286</f>
        <v>3552608</v>
      </c>
      <c r="H26" s="30">
        <v>410216</v>
      </c>
      <c r="I26" s="31"/>
      <c r="J26" s="30">
        <f t="shared" si="2"/>
        <v>244000</v>
      </c>
      <c r="K26" s="31"/>
      <c r="L26" s="31"/>
      <c r="M26" s="31"/>
      <c r="N26" s="30">
        <f>200000+10000-13000+14000+33000</f>
        <v>244000</v>
      </c>
      <c r="O26" s="30">
        <f>200000+10000-13000+14000+33000</f>
        <v>244000</v>
      </c>
      <c r="P26" s="30">
        <f t="shared" si="3"/>
        <v>5706712</v>
      </c>
      <c r="Q26" s="127"/>
    </row>
    <row r="27" spans="1:17" s="20" customFormat="1" ht="13.5" customHeight="1">
      <c r="A27" s="18"/>
      <c r="B27" s="21" t="s">
        <v>39</v>
      </c>
      <c r="C27" s="21" t="s">
        <v>142</v>
      </c>
      <c r="D27" s="22" t="s">
        <v>26</v>
      </c>
      <c r="E27" s="30">
        <f t="shared" si="1"/>
        <v>2373363</v>
      </c>
      <c r="F27" s="30">
        <f>2545380-198212+20000+6195</f>
        <v>2373363</v>
      </c>
      <c r="G27" s="30"/>
      <c r="H27" s="30"/>
      <c r="I27" s="31"/>
      <c r="J27" s="30">
        <f t="shared" si="2"/>
        <v>0</v>
      </c>
      <c r="K27" s="31"/>
      <c r="L27" s="31"/>
      <c r="M27" s="31"/>
      <c r="N27" s="30"/>
      <c r="O27" s="30"/>
      <c r="P27" s="30">
        <f t="shared" si="3"/>
        <v>2373363</v>
      </c>
      <c r="Q27" s="127"/>
    </row>
    <row r="28" spans="1:17" s="20" customFormat="1" ht="30">
      <c r="A28" s="18"/>
      <c r="B28" s="21" t="s">
        <v>40</v>
      </c>
      <c r="C28" s="21" t="s">
        <v>142</v>
      </c>
      <c r="D28" s="22" t="s">
        <v>41</v>
      </c>
      <c r="E28" s="30">
        <f t="shared" si="1"/>
        <v>2125166</v>
      </c>
      <c r="F28" s="30">
        <f>1995340-308001+14500+17000+6327+400000</f>
        <v>2125166</v>
      </c>
      <c r="G28" s="30">
        <f>1058675-128369+5186</f>
        <v>935492</v>
      </c>
      <c r="H28" s="30">
        <v>384290</v>
      </c>
      <c r="I28" s="31"/>
      <c r="J28" s="30">
        <f t="shared" si="2"/>
        <v>914314</v>
      </c>
      <c r="K28" s="30">
        <v>317714</v>
      </c>
      <c r="L28" s="30">
        <v>144491</v>
      </c>
      <c r="M28" s="30">
        <v>97628</v>
      </c>
      <c r="N28" s="30">
        <f>500000+96600</f>
        <v>596600</v>
      </c>
      <c r="O28" s="30">
        <f>500000+96600</f>
        <v>596600</v>
      </c>
      <c r="P28" s="30">
        <f t="shared" si="3"/>
        <v>3039480</v>
      </c>
      <c r="Q28" s="127"/>
    </row>
    <row r="29" spans="1:17" s="20" customFormat="1" ht="79.5" customHeight="1">
      <c r="A29" s="18"/>
      <c r="B29" s="21" t="s">
        <v>42</v>
      </c>
      <c r="C29" s="21" t="s">
        <v>142</v>
      </c>
      <c r="D29" s="22" t="s">
        <v>43</v>
      </c>
      <c r="E29" s="30">
        <f t="shared" si="1"/>
        <v>4227877</v>
      </c>
      <c r="F29" s="30">
        <f>4485660-399442+10000+25000+38000+5659+42000+6000+15000</f>
        <v>4227877</v>
      </c>
      <c r="G29" s="30"/>
      <c r="H29" s="30"/>
      <c r="I29" s="31"/>
      <c r="J29" s="30">
        <f t="shared" si="2"/>
        <v>23000</v>
      </c>
      <c r="K29" s="31"/>
      <c r="L29" s="31"/>
      <c r="M29" s="31"/>
      <c r="N29" s="30">
        <f>12000+11000</f>
        <v>23000</v>
      </c>
      <c r="O29" s="30">
        <f>12000+11000</f>
        <v>23000</v>
      </c>
      <c r="P29" s="30">
        <f t="shared" si="3"/>
        <v>4250877</v>
      </c>
      <c r="Q29" s="127"/>
    </row>
    <row r="30" spans="1:17" s="20" customFormat="1" ht="30">
      <c r="A30" s="18"/>
      <c r="B30" s="21" t="s">
        <v>193</v>
      </c>
      <c r="C30" s="21" t="s">
        <v>195</v>
      </c>
      <c r="D30" s="22" t="s">
        <v>194</v>
      </c>
      <c r="E30" s="30">
        <f t="shared" si="1"/>
        <v>99000</v>
      </c>
      <c r="F30" s="30">
        <v>99000</v>
      </c>
      <c r="G30" s="30"/>
      <c r="H30" s="30"/>
      <c r="I30" s="31"/>
      <c r="J30" s="30">
        <f t="shared" si="2"/>
        <v>0</v>
      </c>
      <c r="K30" s="31"/>
      <c r="L30" s="31"/>
      <c r="M30" s="31"/>
      <c r="N30" s="30"/>
      <c r="O30" s="30"/>
      <c r="P30" s="30">
        <f t="shared" si="3"/>
        <v>99000</v>
      </c>
      <c r="Q30" s="120" t="s">
        <v>362</v>
      </c>
    </row>
    <row r="31" spans="1:17" s="20" customFormat="1" ht="30">
      <c r="A31" s="18"/>
      <c r="B31" s="21" t="s">
        <v>197</v>
      </c>
      <c r="C31" s="21" t="s">
        <v>200</v>
      </c>
      <c r="D31" s="22" t="s">
        <v>199</v>
      </c>
      <c r="E31" s="30">
        <f>F31+I31</f>
        <v>1642000</v>
      </c>
      <c r="F31" s="30"/>
      <c r="G31" s="30"/>
      <c r="H31" s="30"/>
      <c r="I31" s="30">
        <v>1642000</v>
      </c>
      <c r="J31" s="30">
        <f t="shared" si="2"/>
        <v>0</v>
      </c>
      <c r="K31" s="31"/>
      <c r="L31" s="31"/>
      <c r="M31" s="31"/>
      <c r="N31" s="30"/>
      <c r="O31" s="30"/>
      <c r="P31" s="30">
        <f t="shared" si="3"/>
        <v>1642000</v>
      </c>
      <c r="Q31" s="120"/>
    </row>
    <row r="32" spans="1:17" s="20" customFormat="1" ht="30">
      <c r="A32" s="18"/>
      <c r="B32" s="21" t="s">
        <v>314</v>
      </c>
      <c r="C32" s="21" t="s">
        <v>200</v>
      </c>
      <c r="D32" s="22" t="s">
        <v>315</v>
      </c>
      <c r="E32" s="30">
        <f>F32+I32</f>
        <v>2572500</v>
      </c>
      <c r="F32" s="30"/>
      <c r="G32" s="30"/>
      <c r="H32" s="30"/>
      <c r="I32" s="30">
        <f>150000+200000+156400+1941100+125000</f>
        <v>2572500</v>
      </c>
      <c r="J32" s="30">
        <f t="shared" si="2"/>
        <v>0</v>
      </c>
      <c r="K32" s="31"/>
      <c r="L32" s="31"/>
      <c r="M32" s="31"/>
      <c r="N32" s="30"/>
      <c r="O32" s="30"/>
      <c r="P32" s="30">
        <f t="shared" si="3"/>
        <v>2572500</v>
      </c>
      <c r="Q32" s="120"/>
    </row>
    <row r="33" spans="1:17" s="20" customFormat="1" ht="30">
      <c r="A33" s="18"/>
      <c r="B33" s="21" t="s">
        <v>198</v>
      </c>
      <c r="C33" s="21" t="s">
        <v>202</v>
      </c>
      <c r="D33" s="22" t="s">
        <v>201</v>
      </c>
      <c r="E33" s="30">
        <f t="shared" si="1"/>
        <v>3607600</v>
      </c>
      <c r="F33" s="30"/>
      <c r="G33" s="30"/>
      <c r="H33" s="30"/>
      <c r="I33" s="30">
        <v>3607600</v>
      </c>
      <c r="J33" s="30">
        <f t="shared" si="2"/>
        <v>0</v>
      </c>
      <c r="K33" s="31"/>
      <c r="L33" s="31"/>
      <c r="M33" s="31"/>
      <c r="N33" s="30"/>
      <c r="O33" s="30"/>
      <c r="P33" s="30">
        <f t="shared" si="3"/>
        <v>3607600</v>
      </c>
      <c r="Q33" s="120"/>
    </row>
    <row r="34" spans="1:17" s="20" customFormat="1" ht="45">
      <c r="A34" s="18"/>
      <c r="B34" s="21" t="s">
        <v>107</v>
      </c>
      <c r="C34" s="21" t="s">
        <v>164</v>
      </c>
      <c r="D34" s="22" t="s">
        <v>108</v>
      </c>
      <c r="E34" s="30">
        <f t="shared" si="1"/>
        <v>32500</v>
      </c>
      <c r="F34" s="30">
        <v>32500</v>
      </c>
      <c r="G34" s="30"/>
      <c r="H34" s="30"/>
      <c r="I34" s="31"/>
      <c r="J34" s="30">
        <f t="shared" si="2"/>
        <v>0</v>
      </c>
      <c r="K34" s="31"/>
      <c r="L34" s="31"/>
      <c r="M34" s="31"/>
      <c r="N34" s="30"/>
      <c r="O34" s="30"/>
      <c r="P34" s="30">
        <f t="shared" si="3"/>
        <v>32500</v>
      </c>
      <c r="Q34" s="120"/>
    </row>
    <row r="35" spans="1:17" s="20" customFormat="1" ht="15">
      <c r="A35" s="18"/>
      <c r="B35" s="21" t="s">
        <v>44</v>
      </c>
      <c r="C35" s="21" t="s">
        <v>143</v>
      </c>
      <c r="D35" s="22" t="s">
        <v>45</v>
      </c>
      <c r="E35" s="30">
        <f t="shared" si="1"/>
        <v>11477540</v>
      </c>
      <c r="F35" s="30"/>
      <c r="G35" s="31"/>
      <c r="H35" s="31"/>
      <c r="I35" s="30">
        <f>2000000+2000000+98040+1600000+420000+1474800+3058900+650800+175000</f>
        <v>11477540</v>
      </c>
      <c r="J35" s="30">
        <f t="shared" si="2"/>
        <v>650000</v>
      </c>
      <c r="K35" s="30"/>
      <c r="L35" s="30"/>
      <c r="M35" s="30"/>
      <c r="N35" s="30">
        <v>650000</v>
      </c>
      <c r="O35" s="30">
        <v>650000</v>
      </c>
      <c r="P35" s="30">
        <f t="shared" si="3"/>
        <v>12127540</v>
      </c>
      <c r="Q35" s="120"/>
    </row>
    <row r="36" spans="1:17" s="20" customFormat="1" ht="30">
      <c r="A36" s="18"/>
      <c r="B36" s="21" t="s">
        <v>46</v>
      </c>
      <c r="C36" s="21" t="s">
        <v>144</v>
      </c>
      <c r="D36" s="22" t="s">
        <v>47</v>
      </c>
      <c r="E36" s="30">
        <f t="shared" si="1"/>
        <v>85000</v>
      </c>
      <c r="F36" s="30">
        <v>85000</v>
      </c>
      <c r="G36" s="31"/>
      <c r="H36" s="31"/>
      <c r="I36" s="31"/>
      <c r="J36" s="30">
        <f t="shared" si="2"/>
        <v>0</v>
      </c>
      <c r="K36" s="31"/>
      <c r="L36" s="31"/>
      <c r="M36" s="31"/>
      <c r="N36" s="30"/>
      <c r="O36" s="30"/>
      <c r="P36" s="30">
        <f t="shared" si="3"/>
        <v>85000</v>
      </c>
      <c r="Q36" s="120"/>
    </row>
    <row r="37" spans="1:17" s="20" customFormat="1" ht="66.75" customHeight="1">
      <c r="A37" s="18"/>
      <c r="B37" s="21" t="s">
        <v>48</v>
      </c>
      <c r="C37" s="21" t="s">
        <v>145</v>
      </c>
      <c r="D37" s="22" t="s">
        <v>49</v>
      </c>
      <c r="E37" s="30">
        <f t="shared" si="1"/>
        <v>0</v>
      </c>
      <c r="F37" s="31"/>
      <c r="G37" s="31"/>
      <c r="H37" s="31"/>
      <c r="I37" s="31"/>
      <c r="J37" s="30">
        <f t="shared" si="2"/>
        <v>51805000</v>
      </c>
      <c r="K37" s="31"/>
      <c r="L37" s="31"/>
      <c r="M37" s="31"/>
      <c r="N37" s="30">
        <f>46000000+5400000+1302900-1302900+405000</f>
        <v>51805000</v>
      </c>
      <c r="O37" s="30">
        <f>46000000+5400000+1302900-1302900+405000</f>
        <v>51805000</v>
      </c>
      <c r="P37" s="30">
        <f t="shared" si="3"/>
        <v>51805000</v>
      </c>
      <c r="Q37" s="120"/>
    </row>
    <row r="38" spans="1:17" s="20" customFormat="1" ht="30">
      <c r="A38" s="18"/>
      <c r="B38" s="21" t="s">
        <v>50</v>
      </c>
      <c r="C38" s="21" t="s">
        <v>144</v>
      </c>
      <c r="D38" s="22" t="s">
        <v>51</v>
      </c>
      <c r="E38" s="30">
        <f t="shared" si="1"/>
        <v>837300</v>
      </c>
      <c r="F38" s="30">
        <f>737300+100000</f>
        <v>837300</v>
      </c>
      <c r="G38" s="31"/>
      <c r="H38" s="31"/>
      <c r="I38" s="31"/>
      <c r="J38" s="30">
        <f t="shared" si="2"/>
        <v>0</v>
      </c>
      <c r="K38" s="31"/>
      <c r="L38" s="31"/>
      <c r="M38" s="31"/>
      <c r="N38" s="31"/>
      <c r="O38" s="31"/>
      <c r="P38" s="30">
        <f t="shared" si="3"/>
        <v>837300</v>
      </c>
      <c r="Q38" s="120"/>
    </row>
    <row r="39" spans="1:17" s="20" customFormat="1" ht="45">
      <c r="A39" s="18"/>
      <c r="B39" s="21" t="s">
        <v>52</v>
      </c>
      <c r="C39" s="21" t="s">
        <v>146</v>
      </c>
      <c r="D39" s="22" t="s">
        <v>53</v>
      </c>
      <c r="E39" s="30">
        <f t="shared" si="1"/>
        <v>172410</v>
      </c>
      <c r="F39" s="30">
        <f>6600+156126+9684</f>
        <v>172410</v>
      </c>
      <c r="G39" s="31"/>
      <c r="H39" s="30">
        <v>4300</v>
      </c>
      <c r="I39" s="31"/>
      <c r="J39" s="30">
        <f t="shared" si="2"/>
        <v>0</v>
      </c>
      <c r="K39" s="30"/>
      <c r="L39" s="30"/>
      <c r="M39" s="30"/>
      <c r="N39" s="30">
        <f>343874-343874</f>
        <v>0</v>
      </c>
      <c r="O39" s="30">
        <f>343874-343874</f>
        <v>0</v>
      </c>
      <c r="P39" s="30">
        <f t="shared" si="3"/>
        <v>172410</v>
      </c>
      <c r="Q39" s="120"/>
    </row>
    <row r="40" spans="1:17" s="20" customFormat="1" ht="15">
      <c r="A40" s="18"/>
      <c r="B40" s="24" t="s">
        <v>54</v>
      </c>
      <c r="C40" s="24" t="s">
        <v>147</v>
      </c>
      <c r="D40" s="22" t="s">
        <v>55</v>
      </c>
      <c r="E40" s="30">
        <f t="shared" si="1"/>
        <v>900100</v>
      </c>
      <c r="F40" s="30">
        <f>1027600-160500+30000+3000</f>
        <v>900100</v>
      </c>
      <c r="G40" s="30">
        <f>690800-52700+2500</f>
        <v>640600</v>
      </c>
      <c r="H40" s="30">
        <v>46377</v>
      </c>
      <c r="I40" s="30"/>
      <c r="J40" s="30">
        <f t="shared" si="2"/>
        <v>4700</v>
      </c>
      <c r="K40" s="30">
        <v>4700</v>
      </c>
      <c r="L40" s="30"/>
      <c r="M40" s="30">
        <v>720</v>
      </c>
      <c r="N40" s="30"/>
      <c r="O40" s="30"/>
      <c r="P40" s="30">
        <f t="shared" si="3"/>
        <v>904800</v>
      </c>
      <c r="Q40" s="120"/>
    </row>
    <row r="41" spans="1:17" s="20" customFormat="1" ht="30">
      <c r="A41" s="18"/>
      <c r="B41" s="21" t="s">
        <v>306</v>
      </c>
      <c r="C41" s="21" t="s">
        <v>148</v>
      </c>
      <c r="D41" s="22" t="s">
        <v>307</v>
      </c>
      <c r="E41" s="30">
        <f>F41+I41</f>
        <v>0</v>
      </c>
      <c r="F41" s="30"/>
      <c r="G41" s="30"/>
      <c r="H41" s="30"/>
      <c r="I41" s="30"/>
      <c r="J41" s="30">
        <f>K41+N41</f>
        <v>30600</v>
      </c>
      <c r="K41" s="30">
        <v>30600</v>
      </c>
      <c r="L41" s="30"/>
      <c r="M41" s="30"/>
      <c r="N41" s="30"/>
      <c r="O41" s="30"/>
      <c r="P41" s="30">
        <f>E41+J41</f>
        <v>30600</v>
      </c>
      <c r="Q41" s="120"/>
    </row>
    <row r="42" spans="1:17" s="20" customFormat="1" ht="60">
      <c r="A42" s="18"/>
      <c r="B42" s="21" t="s">
        <v>56</v>
      </c>
      <c r="C42" s="21" t="s">
        <v>149</v>
      </c>
      <c r="D42" s="22" t="s">
        <v>57</v>
      </c>
      <c r="E42" s="30">
        <f t="shared" si="1"/>
        <v>0</v>
      </c>
      <c r="F42" s="30"/>
      <c r="G42" s="30"/>
      <c r="H42" s="30"/>
      <c r="I42" s="30"/>
      <c r="J42" s="30">
        <f t="shared" si="2"/>
        <v>120443.47</v>
      </c>
      <c r="K42" s="30">
        <f>119543+900.47</f>
        <v>120443.47</v>
      </c>
      <c r="L42" s="30"/>
      <c r="M42" s="30"/>
      <c r="N42" s="30"/>
      <c r="O42" s="30"/>
      <c r="P42" s="30">
        <f t="shared" si="3"/>
        <v>120443.47</v>
      </c>
      <c r="Q42" s="120"/>
    </row>
    <row r="43" spans="1:17" s="20" customFormat="1" ht="60">
      <c r="A43" s="18"/>
      <c r="B43" s="21" t="s">
        <v>316</v>
      </c>
      <c r="C43" s="21" t="s">
        <v>180</v>
      </c>
      <c r="D43" s="22" t="s">
        <v>317</v>
      </c>
      <c r="E43" s="30">
        <f t="shared" si="1"/>
        <v>720170</v>
      </c>
      <c r="F43" s="30">
        <f>100000+150000+30000+40000+181170+20000+199000</f>
        <v>720170</v>
      </c>
      <c r="G43" s="30"/>
      <c r="H43" s="30"/>
      <c r="I43" s="30"/>
      <c r="J43" s="30">
        <f t="shared" si="2"/>
        <v>608830</v>
      </c>
      <c r="K43" s="30"/>
      <c r="L43" s="30"/>
      <c r="M43" s="30"/>
      <c r="N43" s="30">
        <f>518830+90000</f>
        <v>608830</v>
      </c>
      <c r="O43" s="30">
        <f>518830+90000</f>
        <v>608830</v>
      </c>
      <c r="P43" s="30">
        <f t="shared" si="3"/>
        <v>1329000</v>
      </c>
      <c r="Q43" s="120"/>
    </row>
    <row r="44" spans="1:17" s="20" customFormat="1" ht="15">
      <c r="A44" s="18"/>
      <c r="B44" s="21" t="s">
        <v>58</v>
      </c>
      <c r="C44" s="21" t="s">
        <v>149</v>
      </c>
      <c r="D44" s="22" t="s">
        <v>26</v>
      </c>
      <c r="E44" s="30">
        <f t="shared" si="1"/>
        <v>2806094</v>
      </c>
      <c r="F44" s="30">
        <f>952700+602640+80580+303921+268723-97102+67000+15000+160975+30000+648520+39600+25000+64000+7260-30000-332723</f>
        <v>2806094</v>
      </c>
      <c r="G44" s="30"/>
      <c r="H44" s="30">
        <v>196820</v>
      </c>
      <c r="I44" s="31"/>
      <c r="J44" s="30">
        <f t="shared" si="2"/>
        <v>22200</v>
      </c>
      <c r="K44" s="31"/>
      <c r="L44" s="31"/>
      <c r="M44" s="31"/>
      <c r="N44" s="30">
        <f>89000+25000+22200-25000-64000-25000</f>
        <v>22200</v>
      </c>
      <c r="O44" s="30">
        <f>89000+25000+22200-25000-64000-25000</f>
        <v>22200</v>
      </c>
      <c r="P44" s="30">
        <f t="shared" si="3"/>
        <v>2828294</v>
      </c>
      <c r="Q44" s="120"/>
    </row>
    <row r="45" spans="1:17" s="20" customFormat="1" ht="28.5">
      <c r="A45" s="18"/>
      <c r="B45" s="25"/>
      <c r="C45" s="25"/>
      <c r="D45" s="26" t="s">
        <v>150</v>
      </c>
      <c r="E45" s="31">
        <f>E47+E48+E50+E52+E54+E56+E57+E58+E59+E60+E61+E62+E63+E64+E65+E66+E67</f>
        <v>433616809.06000006</v>
      </c>
      <c r="F45" s="31">
        <f aca="true" t="shared" si="4" ref="F45:P45">F47+F48+F50+F52+F54+F56+F57+F58+F59+F60+F61+F62+F63+F64+F65+F66+F67</f>
        <v>433616809.06000006</v>
      </c>
      <c r="G45" s="31">
        <f t="shared" si="4"/>
        <v>250937771</v>
      </c>
      <c r="H45" s="31">
        <f t="shared" si="4"/>
        <v>60383429</v>
      </c>
      <c r="I45" s="31">
        <f t="shared" si="4"/>
        <v>0</v>
      </c>
      <c r="J45" s="31">
        <f t="shared" si="4"/>
        <v>64412564.45</v>
      </c>
      <c r="K45" s="31">
        <f t="shared" si="4"/>
        <v>36448867</v>
      </c>
      <c r="L45" s="31">
        <f t="shared" si="4"/>
        <v>2470383</v>
      </c>
      <c r="M45" s="31">
        <f t="shared" si="4"/>
        <v>1518188</v>
      </c>
      <c r="N45" s="31">
        <f>N47+N48+N50+N52+N54+N56+N57+N58+N59+N60+N61+N62+N63+N64+N65+N66+N67</f>
        <v>27963697.45</v>
      </c>
      <c r="O45" s="31">
        <f t="shared" si="4"/>
        <v>27546447.45</v>
      </c>
      <c r="P45" s="31">
        <f t="shared" si="4"/>
        <v>498029373.51000005</v>
      </c>
      <c r="Q45" s="120"/>
    </row>
    <row r="46" spans="1:17" s="20" customFormat="1" ht="15">
      <c r="A46" s="18"/>
      <c r="B46" s="21"/>
      <c r="C46" s="21"/>
      <c r="D46" s="22" t="s">
        <v>210</v>
      </c>
      <c r="E46" s="30">
        <f>F46+I46</f>
        <v>193886645.09</v>
      </c>
      <c r="F46" s="30">
        <f>F51+F53+F55+F49</f>
        <v>193886645.09</v>
      </c>
      <c r="G46" s="30">
        <f aca="true" t="shared" si="5" ref="G46:P46">G51+G53+G55+G49</f>
        <v>133211668</v>
      </c>
      <c r="H46" s="30">
        <f t="shared" si="5"/>
        <v>28492381</v>
      </c>
      <c r="I46" s="30">
        <f t="shared" si="5"/>
        <v>0</v>
      </c>
      <c r="J46" s="30">
        <f t="shared" si="5"/>
        <v>5689010</v>
      </c>
      <c r="K46" s="30">
        <f t="shared" si="5"/>
        <v>0</v>
      </c>
      <c r="L46" s="30">
        <f t="shared" si="5"/>
        <v>0</v>
      </c>
      <c r="M46" s="30">
        <f t="shared" si="5"/>
        <v>0</v>
      </c>
      <c r="N46" s="30">
        <f t="shared" si="5"/>
        <v>5689010</v>
      </c>
      <c r="O46" s="30">
        <f t="shared" si="5"/>
        <v>5689010</v>
      </c>
      <c r="P46" s="30">
        <f t="shared" si="5"/>
        <v>199575655.09</v>
      </c>
      <c r="Q46" s="120"/>
    </row>
    <row r="47" spans="1:17" s="20" customFormat="1" ht="15">
      <c r="A47" s="18"/>
      <c r="B47" s="21" t="s">
        <v>11</v>
      </c>
      <c r="C47" s="21" t="s">
        <v>9</v>
      </c>
      <c r="D47" s="22" t="s">
        <v>16</v>
      </c>
      <c r="E47" s="30">
        <f aca="true" t="shared" si="6" ref="E47:E67">F47+I47</f>
        <v>1042001</v>
      </c>
      <c r="F47" s="30">
        <f>1009660-118390+63630+41301+6000+25600+14200</f>
        <v>1042001</v>
      </c>
      <c r="G47" s="30">
        <f>667920-18750+52156+33853+21000+11600</f>
        <v>767779</v>
      </c>
      <c r="H47" s="30">
        <v>24724</v>
      </c>
      <c r="I47" s="31"/>
      <c r="J47" s="30">
        <f>K47+N47</f>
        <v>194600</v>
      </c>
      <c r="K47" s="31"/>
      <c r="L47" s="31"/>
      <c r="M47" s="31"/>
      <c r="N47" s="30">
        <f>20000+150000+24000-6000+6600</f>
        <v>194600</v>
      </c>
      <c r="O47" s="30">
        <f>20000+150000+24000-6000+6600</f>
        <v>194600</v>
      </c>
      <c r="P47" s="30">
        <f aca="true" t="shared" si="7" ref="P47:P67">E47+J47</f>
        <v>1236601</v>
      </c>
      <c r="Q47" s="120"/>
    </row>
    <row r="48" spans="1:17" s="20" customFormat="1" ht="15">
      <c r="A48" s="18"/>
      <c r="B48" s="21" t="s">
        <v>59</v>
      </c>
      <c r="C48" s="21" t="s">
        <v>151</v>
      </c>
      <c r="D48" s="22" t="s">
        <v>60</v>
      </c>
      <c r="E48" s="30">
        <f t="shared" si="6"/>
        <v>113939569</v>
      </c>
      <c r="F48" s="30">
        <f>127615802+181800-17960782+85000+2791744+55100+20000+15000+65000+62570+11742+28164+14430+6200+1200+224779+25000+38000+2600+20920+250800+14000+2750+1070+65300+136330+30142+2998+5000+126910</f>
        <v>113939569</v>
      </c>
      <c r="G48" s="30">
        <f>70161106-6341216+184245+112022</f>
        <v>64116157</v>
      </c>
      <c r="H48" s="30">
        <v>19789563</v>
      </c>
      <c r="I48" s="31"/>
      <c r="J48" s="30">
        <f aca="true" t="shared" si="8" ref="J48:J67">K48+N48</f>
        <v>18408275</v>
      </c>
      <c r="K48" s="30">
        <v>11284686</v>
      </c>
      <c r="L48" s="30"/>
      <c r="M48" s="30"/>
      <c r="N48" s="30">
        <f>2750000+850000+125000+35900+15000+42000+15000+49430-11742+103334-14430-6200+5000-2600+9000-2750+84000+892900-1070+1197300+35919-12100+17108+265488-2998-5000+20100+670000</f>
        <v>7123589</v>
      </c>
      <c r="O48" s="30">
        <f>2750000+850000+125000+35900+15000+42000+15000+49430-11742+103334-14430-6200+5000-2600+9000-2750+84000+892900-1070+35919-12100+1197300+17108+265488-2998-5000+20100+670000</f>
        <v>7123589</v>
      </c>
      <c r="P48" s="30">
        <f t="shared" si="7"/>
        <v>132347844</v>
      </c>
      <c r="Q48" s="120"/>
    </row>
    <row r="49" spans="1:17" s="20" customFormat="1" ht="15">
      <c r="A49" s="18"/>
      <c r="B49" s="21"/>
      <c r="C49" s="21"/>
      <c r="D49" s="22" t="s">
        <v>210</v>
      </c>
      <c r="E49" s="30">
        <f t="shared" si="6"/>
        <v>0</v>
      </c>
      <c r="F49" s="30"/>
      <c r="G49" s="30"/>
      <c r="H49" s="30"/>
      <c r="I49" s="31"/>
      <c r="J49" s="30">
        <f t="shared" si="8"/>
        <v>1867300</v>
      </c>
      <c r="K49" s="30"/>
      <c r="L49" s="30"/>
      <c r="M49" s="30"/>
      <c r="N49" s="30">
        <f>1197300+670000</f>
        <v>1867300</v>
      </c>
      <c r="O49" s="30">
        <f>1197300+670000</f>
        <v>1867300</v>
      </c>
      <c r="P49" s="30">
        <f t="shared" si="7"/>
        <v>1867300</v>
      </c>
      <c r="Q49" s="120"/>
    </row>
    <row r="50" spans="1:17" s="20" customFormat="1" ht="60">
      <c r="A50" s="18"/>
      <c r="B50" s="21" t="s">
        <v>61</v>
      </c>
      <c r="C50" s="21" t="s">
        <v>152</v>
      </c>
      <c r="D50" s="22" t="s">
        <v>62</v>
      </c>
      <c r="E50" s="30">
        <f t="shared" si="6"/>
        <v>235051352.31000003</v>
      </c>
      <c r="F50" s="30">
        <f>241356212+318200+8795512-31986943+4220760+3940000+192036+4086044+727101.34+332450+191339+164032.8+19908+54675+11719+54600+224238+98087+11250+95329.4+400171+231903.77+601633+7500-12611-1600+89200+27000+65000+12200+25000+30000-136330+34300+3000+2000+766435</f>
        <v>235051352.31000003</v>
      </c>
      <c r="G50" s="30">
        <f>142701242+16080119-18252562+328009+493142-112022+628249</f>
        <v>141866177</v>
      </c>
      <c r="H50" s="30">
        <f>31014749+1000000-1000000</f>
        <v>31014749</v>
      </c>
      <c r="I50" s="31"/>
      <c r="J50" s="30">
        <f t="shared" si="8"/>
        <v>37742928.45</v>
      </c>
      <c r="K50" s="30">
        <v>18497171</v>
      </c>
      <c r="L50" s="30">
        <v>740455</v>
      </c>
      <c r="M50" s="30">
        <v>47940</v>
      </c>
      <c r="N50" s="30">
        <f>6090000+2150000+190000+134464+500000+184300+1498110+78400+185661-15000+148820+88075-11719+331212-54600+98780-98087+359032.45+344410+40000-3580+16300+20000+41500+12611+1635157+140000+168000+20000+450000+1197300-35919+199973+212479+300000-17900+291578+68400+8000+2280000</f>
        <v>19245757.45</v>
      </c>
      <c r="O50" s="30">
        <f>6090000+2150000+190000+134464+500000+184300+1498110+78400+185661-15000+148820+88075-11719+331212-54600+98780-98087+359032.45+344410+40000-3580+16300+20000+41500+12611+1635157+140000+168000+20000+450000+1197300-35919+199973+212479+300000-17900+291578+68400+8000+2280000</f>
        <v>19245757.45</v>
      </c>
      <c r="P50" s="30">
        <f t="shared" si="7"/>
        <v>272794280.76000005</v>
      </c>
      <c r="Q50" s="120"/>
    </row>
    <row r="51" spans="1:17" s="20" customFormat="1" ht="15">
      <c r="A51" s="18"/>
      <c r="B51" s="21"/>
      <c r="C51" s="21"/>
      <c r="D51" s="22" t="s">
        <v>210</v>
      </c>
      <c r="E51" s="30">
        <f t="shared" si="6"/>
        <v>189221945.34</v>
      </c>
      <c r="F51" s="30">
        <f>179099299+8795512+727101.34+601633-1600</f>
        <v>189221945.34</v>
      </c>
      <c r="G51" s="30">
        <f>113504164+16080119+493142</f>
        <v>130077425</v>
      </c>
      <c r="H51" s="30">
        <f>19360798+1000000+7664491</f>
        <v>28025289</v>
      </c>
      <c r="I51" s="31"/>
      <c r="J51" s="30">
        <f t="shared" si="8"/>
        <v>3821710</v>
      </c>
      <c r="K51" s="30"/>
      <c r="L51" s="30"/>
      <c r="M51" s="30"/>
      <c r="N51" s="30">
        <f>344410+1197300+2280000</f>
        <v>3821710</v>
      </c>
      <c r="O51" s="30">
        <f>344410+1197300+2280000</f>
        <v>3821710</v>
      </c>
      <c r="P51" s="30">
        <f t="shared" si="7"/>
        <v>193043655.34</v>
      </c>
      <c r="Q51" s="120"/>
    </row>
    <row r="52" spans="1:17" s="20" customFormat="1" ht="15">
      <c r="A52" s="18"/>
      <c r="B52" s="21" t="s">
        <v>63</v>
      </c>
      <c r="C52" s="21" t="s">
        <v>152</v>
      </c>
      <c r="D52" s="22" t="s">
        <v>64</v>
      </c>
      <c r="E52" s="30">
        <f t="shared" si="6"/>
        <v>379549</v>
      </c>
      <c r="F52" s="30">
        <f>372150+25184-39610+1220+18776+1829</f>
        <v>379549</v>
      </c>
      <c r="G52" s="30">
        <f>277448+45301-29836+1000+18776+1499</f>
        <v>314188</v>
      </c>
      <c r="H52" s="30"/>
      <c r="I52" s="31"/>
      <c r="J52" s="30">
        <f t="shared" si="8"/>
        <v>0</v>
      </c>
      <c r="K52" s="30"/>
      <c r="L52" s="30"/>
      <c r="M52" s="30"/>
      <c r="N52" s="30"/>
      <c r="O52" s="30"/>
      <c r="P52" s="30">
        <f t="shared" si="7"/>
        <v>379549</v>
      </c>
      <c r="Q52" s="120"/>
    </row>
    <row r="53" spans="1:17" s="20" customFormat="1" ht="15">
      <c r="A53" s="18"/>
      <c r="B53" s="21"/>
      <c r="C53" s="21"/>
      <c r="D53" s="22" t="s">
        <v>210</v>
      </c>
      <c r="E53" s="30">
        <f t="shared" si="6"/>
        <v>377350</v>
      </c>
      <c r="F53" s="30">
        <f>332170+25184+1220+18776</f>
        <v>377350</v>
      </c>
      <c r="G53" s="30">
        <f>247612+45301+1000+18776</f>
        <v>312689</v>
      </c>
      <c r="H53" s="30"/>
      <c r="I53" s="31"/>
      <c r="J53" s="30">
        <f t="shared" si="8"/>
        <v>0</v>
      </c>
      <c r="K53" s="30"/>
      <c r="L53" s="30"/>
      <c r="M53" s="30"/>
      <c r="N53" s="30"/>
      <c r="O53" s="30"/>
      <c r="P53" s="30">
        <f t="shared" si="7"/>
        <v>377350</v>
      </c>
      <c r="Q53" s="120"/>
    </row>
    <row r="54" spans="1:17" s="20" customFormat="1" ht="60">
      <c r="A54" s="18"/>
      <c r="B54" s="21" t="s">
        <v>65</v>
      </c>
      <c r="C54" s="21" t="s">
        <v>153</v>
      </c>
      <c r="D54" s="22" t="s">
        <v>66</v>
      </c>
      <c r="E54" s="30">
        <f t="shared" si="6"/>
        <v>4571126.75</v>
      </c>
      <c r="F54" s="30">
        <f>4650387+37304-453788+49980+60000+30000+97943.75+23000+15000+26417+15000+9976+5000+11547+1600-6200-18776+16736</f>
        <v>4571126.75</v>
      </c>
      <c r="G54" s="30">
        <f>2854137+321793-345065+8177+9465-18776+13752</f>
        <v>2843483</v>
      </c>
      <c r="H54" s="30">
        <v>517072</v>
      </c>
      <c r="I54" s="31"/>
      <c r="J54" s="30">
        <f t="shared" si="8"/>
        <v>129783</v>
      </c>
      <c r="K54" s="30"/>
      <c r="L54" s="30"/>
      <c r="M54" s="30"/>
      <c r="N54" s="30">
        <f>150000-26417+6200</f>
        <v>129783</v>
      </c>
      <c r="O54" s="30">
        <f>150000-26417+6200</f>
        <v>129783</v>
      </c>
      <c r="P54" s="30">
        <f t="shared" si="7"/>
        <v>4700909.75</v>
      </c>
      <c r="Q54" s="120" t="s">
        <v>363</v>
      </c>
    </row>
    <row r="55" spans="1:17" s="20" customFormat="1" ht="15">
      <c r="A55" s="18"/>
      <c r="B55" s="21"/>
      <c r="C55" s="21"/>
      <c r="D55" s="22" t="s">
        <v>210</v>
      </c>
      <c r="E55" s="30">
        <f t="shared" si="6"/>
        <v>4287349.75</v>
      </c>
      <c r="F55" s="30">
        <f>4157731+37304+97943.75+11547+1600-18776</f>
        <v>4287349.75</v>
      </c>
      <c r="G55" s="30">
        <f>2509072+321793+9465-18776</f>
        <v>2821554</v>
      </c>
      <c r="H55" s="30">
        <f>517072-49980</f>
        <v>467092</v>
      </c>
      <c r="I55" s="31"/>
      <c r="J55" s="30">
        <f t="shared" si="8"/>
        <v>0</v>
      </c>
      <c r="K55" s="30"/>
      <c r="L55" s="30"/>
      <c r="M55" s="30"/>
      <c r="N55" s="30"/>
      <c r="O55" s="30"/>
      <c r="P55" s="30">
        <f t="shared" si="7"/>
        <v>4287349.75</v>
      </c>
      <c r="Q55" s="120"/>
    </row>
    <row r="56" spans="1:17" s="20" customFormat="1" ht="30">
      <c r="A56" s="18"/>
      <c r="B56" s="21" t="s">
        <v>67</v>
      </c>
      <c r="C56" s="21" t="s">
        <v>154</v>
      </c>
      <c r="D56" s="22" t="s">
        <v>68</v>
      </c>
      <c r="E56" s="30">
        <f t="shared" si="6"/>
        <v>12572837</v>
      </c>
      <c r="F56" s="30">
        <f>14471495-2278502+222906+17000+75000+27938+10000+27000</f>
        <v>12572837</v>
      </c>
      <c r="G56" s="30">
        <f>9257594-784442+22900</f>
        <v>8496052</v>
      </c>
      <c r="H56" s="30">
        <v>1785662</v>
      </c>
      <c r="I56" s="31"/>
      <c r="J56" s="30">
        <f t="shared" si="8"/>
        <v>450000</v>
      </c>
      <c r="K56" s="30"/>
      <c r="L56" s="30"/>
      <c r="M56" s="30"/>
      <c r="N56" s="30">
        <f>525000-75000</f>
        <v>450000</v>
      </c>
      <c r="O56" s="30">
        <f>525000-75000</f>
        <v>450000</v>
      </c>
      <c r="P56" s="30">
        <f t="shared" si="7"/>
        <v>13022837</v>
      </c>
      <c r="Q56" s="120"/>
    </row>
    <row r="57" spans="1:17" s="20" customFormat="1" ht="15">
      <c r="A57" s="18"/>
      <c r="B57" s="21" t="s">
        <v>311</v>
      </c>
      <c r="C57" s="21" t="s">
        <v>313</v>
      </c>
      <c r="D57" s="22" t="s">
        <v>312</v>
      </c>
      <c r="E57" s="30">
        <f t="shared" si="6"/>
        <v>55069266</v>
      </c>
      <c r="F57" s="30">
        <f>55886018-791752-25000</f>
        <v>55069266</v>
      </c>
      <c r="G57" s="30">
        <f>26608329-219784</f>
        <v>26388545</v>
      </c>
      <c r="H57" s="30">
        <f>6083140+284318+204900</f>
        <v>6572358</v>
      </c>
      <c r="I57" s="31"/>
      <c r="J57" s="30">
        <f t="shared" si="8"/>
        <v>6805998</v>
      </c>
      <c r="K57" s="30">
        <v>6459260</v>
      </c>
      <c r="L57" s="30">
        <v>1729928</v>
      </c>
      <c r="M57" s="30">
        <v>1470248</v>
      </c>
      <c r="N57" s="30">
        <f>305000+41738</f>
        <v>346738</v>
      </c>
      <c r="O57" s="30">
        <f>41738</f>
        <v>41738</v>
      </c>
      <c r="P57" s="30">
        <f t="shared" si="7"/>
        <v>61875264</v>
      </c>
      <c r="Q57" s="120"/>
    </row>
    <row r="58" spans="1:17" s="20" customFormat="1" ht="30">
      <c r="A58" s="18"/>
      <c r="B58" s="21" t="s">
        <v>69</v>
      </c>
      <c r="C58" s="21" t="s">
        <v>155</v>
      </c>
      <c r="D58" s="22" t="s">
        <v>70</v>
      </c>
      <c r="E58" s="30">
        <f t="shared" si="6"/>
        <v>1773105</v>
      </c>
      <c r="F58" s="30">
        <f>2094920-330296+4000+3950+531</f>
        <v>1773105</v>
      </c>
      <c r="G58" s="30">
        <f>1451158-100640+435</f>
        <v>1350953</v>
      </c>
      <c r="H58" s="30">
        <v>79885</v>
      </c>
      <c r="I58" s="31"/>
      <c r="J58" s="30">
        <f t="shared" si="8"/>
        <v>118730</v>
      </c>
      <c r="K58" s="30"/>
      <c r="L58" s="30"/>
      <c r="M58" s="30"/>
      <c r="N58" s="30">
        <f>110000+11000-2270</f>
        <v>118730</v>
      </c>
      <c r="O58" s="30">
        <f>110000+11000-2270</f>
        <v>118730</v>
      </c>
      <c r="P58" s="30">
        <f t="shared" si="7"/>
        <v>1891835</v>
      </c>
      <c r="Q58" s="120"/>
    </row>
    <row r="59" spans="1:17" s="20" customFormat="1" ht="30">
      <c r="A59" s="18"/>
      <c r="B59" s="21" t="s">
        <v>71</v>
      </c>
      <c r="C59" s="21" t="s">
        <v>155</v>
      </c>
      <c r="D59" s="22" t="s">
        <v>72</v>
      </c>
      <c r="E59" s="30">
        <f t="shared" si="6"/>
        <v>1645867</v>
      </c>
      <c r="F59" s="30">
        <f>1911767-371097+104666+531</f>
        <v>1645867</v>
      </c>
      <c r="G59" s="30">
        <f>1242033-158595+85792+435</f>
        <v>1169665</v>
      </c>
      <c r="H59" s="30">
        <v>82225</v>
      </c>
      <c r="I59" s="31"/>
      <c r="J59" s="30">
        <f t="shared" si="8"/>
        <v>92250</v>
      </c>
      <c r="K59" s="30"/>
      <c r="L59" s="30"/>
      <c r="M59" s="30"/>
      <c r="N59" s="30">
        <f>75000+18000-750</f>
        <v>92250</v>
      </c>
      <c r="O59" s="30">
        <f>75000+18000-750</f>
        <v>92250</v>
      </c>
      <c r="P59" s="30">
        <f t="shared" si="7"/>
        <v>1738117</v>
      </c>
      <c r="Q59" s="120"/>
    </row>
    <row r="60" spans="1:17" s="20" customFormat="1" ht="30">
      <c r="A60" s="18"/>
      <c r="B60" s="21" t="s">
        <v>73</v>
      </c>
      <c r="C60" s="21" t="s">
        <v>155</v>
      </c>
      <c r="D60" s="22" t="s">
        <v>74</v>
      </c>
      <c r="E60" s="30">
        <f t="shared" si="6"/>
        <v>162138</v>
      </c>
      <c r="F60" s="30">
        <f>206673-44535</f>
        <v>162138</v>
      </c>
      <c r="G60" s="30">
        <f>145804-19414</f>
        <v>126390</v>
      </c>
      <c r="H60" s="30">
        <v>5147</v>
      </c>
      <c r="I60" s="31"/>
      <c r="J60" s="30">
        <f t="shared" si="8"/>
        <v>0</v>
      </c>
      <c r="K60" s="30"/>
      <c r="L60" s="30"/>
      <c r="M60" s="30"/>
      <c r="N60" s="30"/>
      <c r="O60" s="30"/>
      <c r="P60" s="30">
        <f t="shared" si="7"/>
        <v>162138</v>
      </c>
      <c r="Q60" s="120"/>
    </row>
    <row r="61" spans="1:17" s="20" customFormat="1" ht="15">
      <c r="A61" s="18"/>
      <c r="B61" s="21" t="s">
        <v>75</v>
      </c>
      <c r="C61" s="21" t="s">
        <v>155</v>
      </c>
      <c r="D61" s="22" t="s">
        <v>76</v>
      </c>
      <c r="E61" s="30">
        <f t="shared" si="6"/>
        <v>2607237</v>
      </c>
      <c r="F61" s="30">
        <f>2955196-425073+45291+15000+10000+6823</f>
        <v>2607237</v>
      </c>
      <c r="G61" s="30">
        <f>1837478-145690+5593</f>
        <v>1697381</v>
      </c>
      <c r="H61" s="30">
        <f>335643-6000</f>
        <v>329643</v>
      </c>
      <c r="I61" s="31"/>
      <c r="J61" s="30">
        <f t="shared" si="8"/>
        <v>150000</v>
      </c>
      <c r="K61" s="30"/>
      <c r="L61" s="30"/>
      <c r="M61" s="30"/>
      <c r="N61" s="30">
        <v>150000</v>
      </c>
      <c r="O61" s="30">
        <v>150000</v>
      </c>
      <c r="P61" s="30">
        <f t="shared" si="7"/>
        <v>2757237</v>
      </c>
      <c r="Q61" s="120"/>
    </row>
    <row r="62" spans="1:17" s="20" customFormat="1" ht="15">
      <c r="A62" s="18"/>
      <c r="B62" s="21" t="s">
        <v>77</v>
      </c>
      <c r="C62" s="21" t="s">
        <v>155</v>
      </c>
      <c r="D62" s="22" t="s">
        <v>78</v>
      </c>
      <c r="E62" s="30">
        <f t="shared" si="6"/>
        <v>53240</v>
      </c>
      <c r="F62" s="30">
        <f>73148-19908</f>
        <v>53240</v>
      </c>
      <c r="G62" s="30"/>
      <c r="H62" s="30"/>
      <c r="I62" s="31"/>
      <c r="J62" s="30">
        <f t="shared" si="8"/>
        <v>0</v>
      </c>
      <c r="K62" s="30"/>
      <c r="L62" s="30"/>
      <c r="M62" s="30"/>
      <c r="N62" s="30"/>
      <c r="O62" s="30"/>
      <c r="P62" s="30">
        <f t="shared" si="7"/>
        <v>53240</v>
      </c>
      <c r="Q62" s="120"/>
    </row>
    <row r="63" spans="1:17" s="20" customFormat="1" ht="45">
      <c r="A63" s="18"/>
      <c r="B63" s="21" t="s">
        <v>79</v>
      </c>
      <c r="C63" s="21" t="s">
        <v>155</v>
      </c>
      <c r="D63" s="22" t="s">
        <v>80</v>
      </c>
      <c r="E63" s="30">
        <f t="shared" si="6"/>
        <v>45250</v>
      </c>
      <c r="F63" s="30">
        <v>45250</v>
      </c>
      <c r="G63" s="30"/>
      <c r="H63" s="30"/>
      <c r="I63" s="31"/>
      <c r="J63" s="30">
        <f t="shared" si="8"/>
        <v>0</v>
      </c>
      <c r="K63" s="30"/>
      <c r="L63" s="30"/>
      <c r="M63" s="30"/>
      <c r="N63" s="30"/>
      <c r="O63" s="30"/>
      <c r="P63" s="30">
        <f t="shared" si="7"/>
        <v>45250</v>
      </c>
      <c r="Q63" s="120"/>
    </row>
    <row r="64" spans="1:17" s="20" customFormat="1" ht="75">
      <c r="A64" s="18"/>
      <c r="B64" s="21" t="s">
        <v>27</v>
      </c>
      <c r="C64" s="21" t="s">
        <v>139</v>
      </c>
      <c r="D64" s="23" t="s">
        <v>28</v>
      </c>
      <c r="E64" s="30">
        <f t="shared" si="6"/>
        <v>2109980</v>
      </c>
      <c r="F64" s="30">
        <f>2000000+109980</f>
        <v>2109980</v>
      </c>
      <c r="G64" s="30"/>
      <c r="H64" s="30"/>
      <c r="I64" s="31"/>
      <c r="J64" s="30">
        <f t="shared" si="8"/>
        <v>0</v>
      </c>
      <c r="K64" s="30"/>
      <c r="L64" s="30"/>
      <c r="M64" s="30"/>
      <c r="N64" s="30"/>
      <c r="O64" s="30"/>
      <c r="P64" s="30">
        <f t="shared" si="7"/>
        <v>2109980</v>
      </c>
      <c r="Q64" s="120"/>
    </row>
    <row r="65" spans="1:17" s="20" customFormat="1" ht="45">
      <c r="A65" s="18"/>
      <c r="B65" s="21" t="s">
        <v>37</v>
      </c>
      <c r="C65" s="21" t="s">
        <v>142</v>
      </c>
      <c r="D65" s="22" t="s">
        <v>38</v>
      </c>
      <c r="E65" s="30">
        <f t="shared" si="6"/>
        <v>2594291</v>
      </c>
      <c r="F65" s="30">
        <f>2940630-378096+28970+2787</f>
        <v>2594291</v>
      </c>
      <c r="G65" s="30">
        <f>1887404-88687+2284</f>
        <v>1801001</v>
      </c>
      <c r="H65" s="30">
        <v>182401</v>
      </c>
      <c r="I65" s="31"/>
      <c r="J65" s="30">
        <f t="shared" si="8"/>
        <v>0</v>
      </c>
      <c r="K65" s="31"/>
      <c r="L65" s="31"/>
      <c r="M65" s="31"/>
      <c r="N65" s="31"/>
      <c r="O65" s="31"/>
      <c r="P65" s="30">
        <f t="shared" si="7"/>
        <v>2594291</v>
      </c>
      <c r="Q65" s="120"/>
    </row>
    <row r="66" spans="1:17" s="20" customFormat="1" ht="30">
      <c r="A66" s="18"/>
      <c r="B66" s="21" t="s">
        <v>306</v>
      </c>
      <c r="C66" s="21" t="s">
        <v>148</v>
      </c>
      <c r="D66" s="22" t="s">
        <v>307</v>
      </c>
      <c r="E66" s="30">
        <f t="shared" si="6"/>
        <v>0</v>
      </c>
      <c r="F66" s="30"/>
      <c r="G66" s="30"/>
      <c r="H66" s="30"/>
      <c r="I66" s="31"/>
      <c r="J66" s="30">
        <f t="shared" si="8"/>
        <v>70000</v>
      </c>
      <c r="K66" s="30">
        <f>40000+2550</f>
        <v>42550</v>
      </c>
      <c r="L66" s="30"/>
      <c r="M66" s="30"/>
      <c r="N66" s="30">
        <f>30000-2550</f>
        <v>27450</v>
      </c>
      <c r="O66" s="31"/>
      <c r="P66" s="30">
        <f t="shared" si="7"/>
        <v>70000</v>
      </c>
      <c r="Q66" s="120"/>
    </row>
    <row r="67" spans="1:17" s="20" customFormat="1" ht="15">
      <c r="A67" s="18"/>
      <c r="B67" s="21" t="s">
        <v>308</v>
      </c>
      <c r="C67" s="21" t="s">
        <v>156</v>
      </c>
      <c r="D67" s="22" t="s">
        <v>81</v>
      </c>
      <c r="E67" s="30">
        <f t="shared" si="6"/>
        <v>0</v>
      </c>
      <c r="F67" s="30"/>
      <c r="G67" s="30"/>
      <c r="H67" s="30"/>
      <c r="I67" s="31"/>
      <c r="J67" s="30">
        <f t="shared" si="8"/>
        <v>250000</v>
      </c>
      <c r="K67" s="30">
        <f>160000+5200</f>
        <v>165200</v>
      </c>
      <c r="L67" s="30"/>
      <c r="M67" s="30"/>
      <c r="N67" s="30">
        <f>90000-5200</f>
        <v>84800</v>
      </c>
      <c r="O67" s="31"/>
      <c r="P67" s="30">
        <f t="shared" si="7"/>
        <v>250000</v>
      </c>
      <c r="Q67" s="120"/>
    </row>
    <row r="68" spans="1:17" s="20" customFormat="1" ht="28.5">
      <c r="A68" s="18"/>
      <c r="B68" s="25"/>
      <c r="C68" s="25"/>
      <c r="D68" s="26" t="s">
        <v>157</v>
      </c>
      <c r="E68" s="31">
        <f>E70+E71+E73+E75+E77+E79+E81+E83+E85+E87</f>
        <v>226421255.43</v>
      </c>
      <c r="F68" s="31">
        <f aca="true" t="shared" si="9" ref="F68:P68">F70+F71+F73+F75+F77+F79+F81+F83+F85+F87</f>
        <v>226421255.43</v>
      </c>
      <c r="G68" s="31">
        <f t="shared" si="9"/>
        <v>127442590</v>
      </c>
      <c r="H68" s="31">
        <f t="shared" si="9"/>
        <v>19138055</v>
      </c>
      <c r="I68" s="31">
        <f t="shared" si="9"/>
        <v>0</v>
      </c>
      <c r="J68" s="31">
        <f t="shared" si="9"/>
        <v>42392460</v>
      </c>
      <c r="K68" s="31">
        <f t="shared" si="9"/>
        <v>11785214</v>
      </c>
      <c r="L68" s="31">
        <f t="shared" si="9"/>
        <v>6366242</v>
      </c>
      <c r="M68" s="31">
        <f t="shared" si="9"/>
        <v>500810</v>
      </c>
      <c r="N68" s="31">
        <f t="shared" si="9"/>
        <v>30607246</v>
      </c>
      <c r="O68" s="31">
        <f t="shared" si="9"/>
        <v>30607246</v>
      </c>
      <c r="P68" s="31">
        <f t="shared" si="9"/>
        <v>268813715.43</v>
      </c>
      <c r="Q68" s="120"/>
    </row>
    <row r="69" spans="1:17" s="20" customFormat="1" ht="15">
      <c r="A69" s="18"/>
      <c r="B69" s="21"/>
      <c r="C69" s="21"/>
      <c r="D69" s="22" t="s">
        <v>210</v>
      </c>
      <c r="E69" s="30">
        <f>F69+I69</f>
        <v>206346569.43</v>
      </c>
      <c r="F69" s="30">
        <f>F72+F74+F76+F78+F80+F82+F84+F86</f>
        <v>206346569.43</v>
      </c>
      <c r="G69" s="30">
        <f>G72+G74+G76+G78+G80+G82+G84+G86</f>
        <v>126743128</v>
      </c>
      <c r="H69" s="30">
        <f>H72+H74+H76+H78+H80+H82+H84+H86</f>
        <v>19119876</v>
      </c>
      <c r="I69" s="30">
        <f>I72+I74+I76+I78+I80+I82+I84+I86</f>
        <v>0</v>
      </c>
      <c r="J69" s="30">
        <f>K69+N69</f>
        <v>0</v>
      </c>
      <c r="K69" s="30">
        <f>K72+K74+K76+K78+K80+K82+K84+K86</f>
        <v>0</v>
      </c>
      <c r="L69" s="30">
        <f>L72+L74+L76+L78+L80+L82+L84+L86</f>
        <v>0</v>
      </c>
      <c r="M69" s="30">
        <f>M72+M74+M76+M78+M80+M82+M84+M86</f>
        <v>0</v>
      </c>
      <c r="N69" s="30">
        <f>N72+N74+N76+N78+N80+N82+N84+N86</f>
        <v>0</v>
      </c>
      <c r="O69" s="30">
        <f>O72+O74+O76+O78+O80+O82+O84+O86</f>
        <v>0</v>
      </c>
      <c r="P69" s="30">
        <f>E69+J69</f>
        <v>206346569.43</v>
      </c>
      <c r="Q69" s="120"/>
    </row>
    <row r="70" spans="1:17" s="20" customFormat="1" ht="15">
      <c r="A70" s="18"/>
      <c r="B70" s="21" t="s">
        <v>11</v>
      </c>
      <c r="C70" s="21" t="s">
        <v>9</v>
      </c>
      <c r="D70" s="22" t="s">
        <v>16</v>
      </c>
      <c r="E70" s="30">
        <f aca="true" t="shared" si="10" ref="E70:E86">F70+I70</f>
        <v>543867</v>
      </c>
      <c r="F70" s="30">
        <f>501690-36350+9175+52552+11300+5500</f>
        <v>543867</v>
      </c>
      <c r="G70" s="30">
        <f>324260+3570+43075+9300+4500</f>
        <v>384705</v>
      </c>
      <c r="H70" s="30">
        <v>18179</v>
      </c>
      <c r="I70" s="31"/>
      <c r="J70" s="30">
        <f aca="true" t="shared" si="11" ref="J70:J86">K70+N70</f>
        <v>447900</v>
      </c>
      <c r="K70" s="31"/>
      <c r="L70" s="31"/>
      <c r="M70" s="31"/>
      <c r="N70" s="30">
        <f>320200+13000+114700</f>
        <v>447900</v>
      </c>
      <c r="O70" s="30">
        <f>320200+13000+114700</f>
        <v>447900</v>
      </c>
      <c r="P70" s="30">
        <f aca="true" t="shared" si="12" ref="P70:P86">E70+J70</f>
        <v>991767</v>
      </c>
      <c r="Q70" s="120"/>
    </row>
    <row r="71" spans="1:17" s="20" customFormat="1" ht="15">
      <c r="A71" s="18"/>
      <c r="B71" s="21" t="s">
        <v>82</v>
      </c>
      <c r="C71" s="21" t="s">
        <v>158</v>
      </c>
      <c r="D71" s="22" t="s">
        <v>83</v>
      </c>
      <c r="E71" s="30">
        <f t="shared" si="10"/>
        <v>179067764.43</v>
      </c>
      <c r="F71" s="30">
        <f>185364829+8898601-3182667-22578004-57471+416936+263064.43+10000+150000+30000+57500+20000+7536470+25000+152300+186300+60000+20000+323035+16090+441760-22000+145000+24150+539500+93450+30100+103821</f>
        <v>179067764.43</v>
      </c>
      <c r="G71" s="30">
        <f>111910141+7414009-15923234+264783+362600-14731+85100</f>
        <v>104098668</v>
      </c>
      <c r="H71" s="30">
        <f>15447851+4471</f>
        <v>15452322</v>
      </c>
      <c r="I71" s="31"/>
      <c r="J71" s="30">
        <f t="shared" si="11"/>
        <v>26027532</v>
      </c>
      <c r="K71" s="30">
        <v>7844182</v>
      </c>
      <c r="L71" s="30">
        <v>4083407</v>
      </c>
      <c r="M71" s="30">
        <v>177480</v>
      </c>
      <c r="N71" s="30">
        <f>11900000+100000+4331400+40000+30000+30000+20500+279700+50000+35000+548200+5000+35850+288700+199000+290000</f>
        <v>18183350</v>
      </c>
      <c r="O71" s="30">
        <f>11900000+100000+4331400+40000+30000+30000+20500+279700+50000+35000+548200+5000+35850+288700+199000+290000</f>
        <v>18183350</v>
      </c>
      <c r="P71" s="30">
        <f t="shared" si="12"/>
        <v>205095296.43</v>
      </c>
      <c r="Q71" s="120"/>
    </row>
    <row r="72" spans="1:17" s="20" customFormat="1" ht="15">
      <c r="A72" s="18"/>
      <c r="B72" s="21"/>
      <c r="C72" s="21"/>
      <c r="D72" s="22" t="s">
        <v>210</v>
      </c>
      <c r="E72" s="30">
        <f t="shared" si="10"/>
        <v>163379208.43</v>
      </c>
      <c r="F72" s="30">
        <f>148777515-3182667+263064.43+7536470+8841130+620115+441760-22000+103821</f>
        <v>163379208.43</v>
      </c>
      <c r="G72" s="30">
        <f>95557155+7414009+429752+362600-14731+85100</f>
        <v>103833885</v>
      </c>
      <c r="H72" s="30">
        <f>15388080+59771+4471</f>
        <v>15452322</v>
      </c>
      <c r="I72" s="31"/>
      <c r="J72" s="30">
        <f t="shared" si="11"/>
        <v>0</v>
      </c>
      <c r="K72" s="30"/>
      <c r="L72" s="30"/>
      <c r="M72" s="30"/>
      <c r="N72" s="30"/>
      <c r="O72" s="30"/>
      <c r="P72" s="30">
        <f t="shared" si="12"/>
        <v>163379208.43</v>
      </c>
      <c r="Q72" s="120"/>
    </row>
    <row r="73" spans="1:17" s="20" customFormat="1" ht="15" customHeight="1">
      <c r="A73" s="18"/>
      <c r="B73" s="27" t="s">
        <v>84</v>
      </c>
      <c r="C73" s="27" t="s">
        <v>159</v>
      </c>
      <c r="D73" s="28" t="s">
        <v>85</v>
      </c>
      <c r="E73" s="30">
        <f t="shared" si="10"/>
        <v>18548642</v>
      </c>
      <c r="F73" s="30">
        <f>21492078-514223-2712091+15000+4400+25000+10600+36846+55875+10068+27000+98089</f>
        <v>18548642</v>
      </c>
      <c r="G73" s="30">
        <f>12880040+855030-1989840+30202+45800+80400</f>
        <v>11901632</v>
      </c>
      <c r="H73" s="30">
        <v>2655803</v>
      </c>
      <c r="I73" s="31"/>
      <c r="J73" s="30">
        <f t="shared" si="11"/>
        <v>3209236</v>
      </c>
      <c r="K73" s="30">
        <v>25240</v>
      </c>
      <c r="L73" s="30">
        <v>9460</v>
      </c>
      <c r="M73" s="30">
        <v>4150</v>
      </c>
      <c r="N73" s="30">
        <f>1500000+500000+879064+15000-10068+300000</f>
        <v>3183996</v>
      </c>
      <c r="O73" s="30">
        <f>1500000+500000+879064+15000-10068+300000</f>
        <v>3183996</v>
      </c>
      <c r="P73" s="30">
        <f t="shared" si="12"/>
        <v>21757878</v>
      </c>
      <c r="Q73" s="120"/>
    </row>
    <row r="74" spans="1:17" s="20" customFormat="1" ht="15" customHeight="1">
      <c r="A74" s="18"/>
      <c r="B74" s="27"/>
      <c r="C74" s="27"/>
      <c r="D74" s="22" t="s">
        <v>210</v>
      </c>
      <c r="E74" s="30">
        <f t="shared" si="10"/>
        <v>17411678</v>
      </c>
      <c r="F74" s="30">
        <f>17756937-514223+15000+55875+98089</f>
        <v>17411678</v>
      </c>
      <c r="G74" s="30">
        <f>10890200+855030+45800+80400</f>
        <v>11871430</v>
      </c>
      <c r="H74" s="30">
        <v>2655803</v>
      </c>
      <c r="I74" s="31"/>
      <c r="J74" s="30">
        <f t="shared" si="11"/>
        <v>0</v>
      </c>
      <c r="K74" s="30"/>
      <c r="L74" s="30"/>
      <c r="M74" s="30"/>
      <c r="N74" s="30"/>
      <c r="O74" s="30"/>
      <c r="P74" s="30">
        <f t="shared" si="12"/>
        <v>17411678</v>
      </c>
      <c r="Q74" s="120"/>
    </row>
    <row r="75" spans="1:17" s="20" customFormat="1" ht="60">
      <c r="A75" s="18"/>
      <c r="B75" s="21" t="s">
        <v>187</v>
      </c>
      <c r="C75" s="21" t="s">
        <v>188</v>
      </c>
      <c r="D75" s="22" t="s">
        <v>189</v>
      </c>
      <c r="E75" s="30">
        <f t="shared" si="10"/>
        <v>1575344</v>
      </c>
      <c r="F75" s="30">
        <f>2196578-72487-512653+1000+19500+5136+5370-67100</f>
        <v>1575344</v>
      </c>
      <c r="G75" s="30">
        <f>1538529+67981-378621+4210+4400-55000</f>
        <v>1181499</v>
      </c>
      <c r="H75" s="30">
        <v>76813</v>
      </c>
      <c r="I75" s="31"/>
      <c r="J75" s="30">
        <f t="shared" si="11"/>
        <v>407000</v>
      </c>
      <c r="K75" s="30">
        <v>407000</v>
      </c>
      <c r="L75" s="30">
        <v>98000</v>
      </c>
      <c r="M75" s="30">
        <v>132800</v>
      </c>
      <c r="N75" s="30"/>
      <c r="O75" s="30"/>
      <c r="P75" s="30">
        <f t="shared" si="12"/>
        <v>1982344</v>
      </c>
      <c r="Q75" s="120"/>
    </row>
    <row r="76" spans="1:17" s="20" customFormat="1" ht="15">
      <c r="A76" s="18"/>
      <c r="B76" s="21"/>
      <c r="C76" s="21"/>
      <c r="D76" s="22" t="s">
        <v>210</v>
      </c>
      <c r="E76" s="30">
        <f t="shared" si="10"/>
        <v>1520258</v>
      </c>
      <c r="F76" s="30">
        <f>1653475-72487+1000+5370-67100</f>
        <v>1520258</v>
      </c>
      <c r="G76" s="30">
        <f>1159908+67981+4400-55000</f>
        <v>1177289</v>
      </c>
      <c r="H76" s="30">
        <v>76813</v>
      </c>
      <c r="I76" s="31"/>
      <c r="J76" s="30">
        <f t="shared" si="11"/>
        <v>0</v>
      </c>
      <c r="K76" s="30"/>
      <c r="L76" s="30"/>
      <c r="M76" s="30"/>
      <c r="N76" s="30"/>
      <c r="O76" s="30"/>
      <c r="P76" s="30">
        <f t="shared" si="12"/>
        <v>1520258</v>
      </c>
      <c r="Q76" s="120"/>
    </row>
    <row r="77" spans="1:17" s="20" customFormat="1" ht="30">
      <c r="A77" s="18"/>
      <c r="B77" s="21" t="s">
        <v>86</v>
      </c>
      <c r="C77" s="21" t="s">
        <v>160</v>
      </c>
      <c r="D77" s="22" t="s">
        <v>87</v>
      </c>
      <c r="E77" s="30">
        <f t="shared" si="10"/>
        <v>4244060</v>
      </c>
      <c r="F77" s="30">
        <f>5135524-113812-743432+5000+10000+5100+6310+12570-73200</f>
        <v>4244060</v>
      </c>
      <c r="G77" s="30">
        <f>3329538+233048-545438+5172+10300-60000</f>
        <v>2972620</v>
      </c>
      <c r="H77" s="30">
        <v>339954</v>
      </c>
      <c r="I77" s="31"/>
      <c r="J77" s="30">
        <f t="shared" si="11"/>
        <v>4353292</v>
      </c>
      <c r="K77" s="30">
        <v>3353292</v>
      </c>
      <c r="L77" s="30">
        <v>2153375</v>
      </c>
      <c r="M77" s="30">
        <v>166719</v>
      </c>
      <c r="N77" s="30">
        <v>1000000</v>
      </c>
      <c r="O77" s="30">
        <v>1000000</v>
      </c>
      <c r="P77" s="30">
        <f t="shared" si="12"/>
        <v>8597352</v>
      </c>
      <c r="Q77" s="120"/>
    </row>
    <row r="78" spans="1:17" s="20" customFormat="1" ht="15">
      <c r="A78" s="18"/>
      <c r="B78" s="21"/>
      <c r="C78" s="21"/>
      <c r="D78" s="22" t="s">
        <v>210</v>
      </c>
      <c r="E78" s="30">
        <f t="shared" si="10"/>
        <v>4042645</v>
      </c>
      <c r="F78" s="30">
        <f>4212087-113812+5000+12570-73200</f>
        <v>4042645</v>
      </c>
      <c r="G78" s="30">
        <f>2784100+233048+10300-60000</f>
        <v>2967448</v>
      </c>
      <c r="H78" s="30">
        <v>339954</v>
      </c>
      <c r="I78" s="31"/>
      <c r="J78" s="30">
        <f t="shared" si="11"/>
        <v>0</v>
      </c>
      <c r="K78" s="30"/>
      <c r="L78" s="30"/>
      <c r="M78" s="30"/>
      <c r="N78" s="30"/>
      <c r="O78" s="30"/>
      <c r="P78" s="30">
        <f t="shared" si="12"/>
        <v>4042645</v>
      </c>
      <c r="Q78" s="120"/>
    </row>
    <row r="79" spans="1:17" s="20" customFormat="1" ht="30">
      <c r="A79" s="18"/>
      <c r="B79" s="21" t="s">
        <v>88</v>
      </c>
      <c r="C79" s="21" t="s">
        <v>161</v>
      </c>
      <c r="D79" s="28" t="s">
        <v>89</v>
      </c>
      <c r="E79" s="30">
        <f t="shared" si="10"/>
        <v>9431816.94</v>
      </c>
      <c r="F79" s="30">
        <f>10647211-240883-1135554+37700+19000+12676+29890-1513.06+71900-61610+53000</f>
        <v>9431816.94</v>
      </c>
      <c r="G79" s="30">
        <f>6060985+10390+24500-50500</f>
        <v>6045375</v>
      </c>
      <c r="H79" s="30">
        <v>564989</v>
      </c>
      <c r="I79" s="31"/>
      <c r="J79" s="30">
        <f t="shared" si="11"/>
        <v>2587500</v>
      </c>
      <c r="K79" s="30">
        <v>155500</v>
      </c>
      <c r="L79" s="30">
        <v>22000</v>
      </c>
      <c r="M79" s="30">
        <v>19661</v>
      </c>
      <c r="N79" s="30">
        <f>1700000+719000+13000</f>
        <v>2432000</v>
      </c>
      <c r="O79" s="30">
        <f>1700000+719000+13000</f>
        <v>2432000</v>
      </c>
      <c r="P79" s="30">
        <f t="shared" si="12"/>
        <v>12019316.94</v>
      </c>
      <c r="Q79" s="120"/>
    </row>
    <row r="80" spans="1:17" s="20" customFormat="1" ht="15">
      <c r="A80" s="18"/>
      <c r="B80" s="21"/>
      <c r="C80" s="21"/>
      <c r="D80" s="22" t="s">
        <v>210</v>
      </c>
      <c r="E80" s="30">
        <f t="shared" si="10"/>
        <v>8275106.94</v>
      </c>
      <c r="F80" s="30">
        <f>8511523-240883+37700+29890-1513.06-61610</f>
        <v>8275106.94</v>
      </c>
      <c r="G80" s="30">
        <f>6060985+24500-50500</f>
        <v>6034985</v>
      </c>
      <c r="H80" s="30">
        <v>564989</v>
      </c>
      <c r="I80" s="31"/>
      <c r="J80" s="30">
        <f t="shared" si="11"/>
        <v>0</v>
      </c>
      <c r="K80" s="30"/>
      <c r="L80" s="30"/>
      <c r="M80" s="30"/>
      <c r="N80" s="30"/>
      <c r="O80" s="30"/>
      <c r="P80" s="30">
        <f t="shared" si="12"/>
        <v>8275106.94</v>
      </c>
      <c r="Q80" s="120"/>
    </row>
    <row r="81" spans="1:17" s="20" customFormat="1" ht="15">
      <c r="A81" s="18"/>
      <c r="B81" s="21" t="s">
        <v>90</v>
      </c>
      <c r="C81" s="21" t="s">
        <v>162</v>
      </c>
      <c r="D81" s="22" t="s">
        <v>91</v>
      </c>
      <c r="E81" s="30">
        <f t="shared" si="10"/>
        <v>2004372.06</v>
      </c>
      <c r="F81" s="30">
        <f>1881157-9626-42382+150000+1710+23513.06</f>
        <v>2004372.06</v>
      </c>
      <c r="G81" s="30">
        <f>415979+34677-31279+1400</f>
        <v>420777</v>
      </c>
      <c r="H81" s="30">
        <v>11415</v>
      </c>
      <c r="I81" s="31"/>
      <c r="J81" s="30">
        <f t="shared" si="11"/>
        <v>20000</v>
      </c>
      <c r="K81" s="31"/>
      <c r="L81" s="31"/>
      <c r="M81" s="31"/>
      <c r="N81" s="30">
        <v>20000</v>
      </c>
      <c r="O81" s="30">
        <v>20000</v>
      </c>
      <c r="P81" s="30">
        <f t="shared" si="12"/>
        <v>2024372.06</v>
      </c>
      <c r="Q81" s="120"/>
    </row>
    <row r="82" spans="1:17" s="20" customFormat="1" ht="15">
      <c r="A82" s="18"/>
      <c r="B82" s="21"/>
      <c r="C82" s="21"/>
      <c r="D82" s="22" t="s">
        <v>210</v>
      </c>
      <c r="E82" s="30">
        <f t="shared" si="10"/>
        <v>793288.06</v>
      </c>
      <c r="F82" s="30">
        <f>777691-9626+1710+23513.06</f>
        <v>793288.06</v>
      </c>
      <c r="G82" s="30">
        <f>384700+34677+1400</f>
        <v>420777</v>
      </c>
      <c r="H82" s="30">
        <v>11415</v>
      </c>
      <c r="I82" s="31"/>
      <c r="J82" s="30">
        <f t="shared" si="11"/>
        <v>0</v>
      </c>
      <c r="K82" s="31"/>
      <c r="L82" s="31"/>
      <c r="M82" s="31"/>
      <c r="N82" s="31"/>
      <c r="O82" s="31"/>
      <c r="P82" s="30">
        <f t="shared" si="12"/>
        <v>793288.06</v>
      </c>
      <c r="Q82" s="120" t="s">
        <v>364</v>
      </c>
    </row>
    <row r="83" spans="1:17" s="20" customFormat="1" ht="72.75" customHeight="1">
      <c r="A83" s="18"/>
      <c r="B83" s="27" t="s">
        <v>92</v>
      </c>
      <c r="C83" s="27" t="s">
        <v>162</v>
      </c>
      <c r="D83" s="28" t="s">
        <v>93</v>
      </c>
      <c r="E83" s="30">
        <f t="shared" si="10"/>
        <v>658099</v>
      </c>
      <c r="F83" s="30">
        <f>701177-6802-44101+6000+1825</f>
        <v>658099</v>
      </c>
      <c r="G83" s="30">
        <f>430788+37639-32613+1500</f>
        <v>437314</v>
      </c>
      <c r="H83" s="30">
        <v>18580</v>
      </c>
      <c r="I83" s="31"/>
      <c r="J83" s="30">
        <f t="shared" si="11"/>
        <v>40000</v>
      </c>
      <c r="K83" s="31"/>
      <c r="L83" s="31"/>
      <c r="M83" s="31"/>
      <c r="N83" s="30">
        <v>40000</v>
      </c>
      <c r="O83" s="30">
        <v>40000</v>
      </c>
      <c r="P83" s="30">
        <f t="shared" si="12"/>
        <v>698099</v>
      </c>
      <c r="Q83" s="120"/>
    </row>
    <row r="84" spans="1:17" s="20" customFormat="1" ht="15">
      <c r="A84" s="18"/>
      <c r="B84" s="27"/>
      <c r="C84" s="27"/>
      <c r="D84" s="22" t="s">
        <v>210</v>
      </c>
      <c r="E84" s="30">
        <f t="shared" si="10"/>
        <v>577095</v>
      </c>
      <c r="F84" s="30">
        <f>582072-6802+1825</f>
        <v>577095</v>
      </c>
      <c r="G84" s="30">
        <f>398175+37639+1500</f>
        <v>437314</v>
      </c>
      <c r="H84" s="30">
        <v>18580</v>
      </c>
      <c r="I84" s="31"/>
      <c r="J84" s="30">
        <f t="shared" si="11"/>
        <v>0</v>
      </c>
      <c r="K84" s="31"/>
      <c r="L84" s="31"/>
      <c r="M84" s="31"/>
      <c r="N84" s="30"/>
      <c r="O84" s="30"/>
      <c r="P84" s="30">
        <f t="shared" si="12"/>
        <v>577095</v>
      </c>
      <c r="Q84" s="120"/>
    </row>
    <row r="85" spans="1:17" s="20" customFormat="1" ht="45">
      <c r="A85" s="18"/>
      <c r="B85" s="27" t="s">
        <v>252</v>
      </c>
      <c r="C85" s="27" t="s">
        <v>162</v>
      </c>
      <c r="D85" s="22" t="s">
        <v>253</v>
      </c>
      <c r="E85" s="30">
        <f t="shared" si="10"/>
        <v>10347290</v>
      </c>
      <c r="F85" s="30">
        <f>4846847+371153+5129290</f>
        <v>10347290</v>
      </c>
      <c r="G85" s="30"/>
      <c r="H85" s="30"/>
      <c r="I85" s="31"/>
      <c r="J85" s="30">
        <f t="shared" si="11"/>
        <v>0</v>
      </c>
      <c r="K85" s="31"/>
      <c r="L85" s="31"/>
      <c r="M85" s="31"/>
      <c r="N85" s="30"/>
      <c r="O85" s="30"/>
      <c r="P85" s="30">
        <f t="shared" si="12"/>
        <v>10347290</v>
      </c>
      <c r="Q85" s="120"/>
    </row>
    <row r="86" spans="1:17" s="20" customFormat="1" ht="15">
      <c r="A86" s="18"/>
      <c r="B86" s="27"/>
      <c r="C86" s="27"/>
      <c r="D86" s="106" t="s">
        <v>210</v>
      </c>
      <c r="E86" s="30">
        <f t="shared" si="10"/>
        <v>10347290</v>
      </c>
      <c r="F86" s="30">
        <f>5129290+5218000</f>
        <v>10347290</v>
      </c>
      <c r="G86" s="30"/>
      <c r="H86" s="30"/>
      <c r="I86" s="31"/>
      <c r="J86" s="30">
        <f t="shared" si="11"/>
        <v>0</v>
      </c>
      <c r="K86" s="31"/>
      <c r="L86" s="31"/>
      <c r="M86" s="31"/>
      <c r="N86" s="30"/>
      <c r="O86" s="30"/>
      <c r="P86" s="30">
        <f t="shared" si="12"/>
        <v>10347290</v>
      </c>
      <c r="Q86" s="120"/>
    </row>
    <row r="87" spans="1:17" s="20" customFormat="1" ht="15.75">
      <c r="A87" s="18"/>
      <c r="B87" s="27" t="s">
        <v>135</v>
      </c>
      <c r="C87" s="104" t="s">
        <v>180</v>
      </c>
      <c r="D87" s="108" t="s">
        <v>136</v>
      </c>
      <c r="E87" s="105">
        <f>F87+I87</f>
        <v>0</v>
      </c>
      <c r="F87" s="30"/>
      <c r="G87" s="30"/>
      <c r="H87" s="30"/>
      <c r="I87" s="31"/>
      <c r="J87" s="30">
        <f>K87+N87</f>
        <v>5300000</v>
      </c>
      <c r="K87" s="31"/>
      <c r="L87" s="31"/>
      <c r="M87" s="31"/>
      <c r="N87" s="30">
        <f>1500000+3800000</f>
        <v>5300000</v>
      </c>
      <c r="O87" s="30">
        <f>1500000+3800000</f>
        <v>5300000</v>
      </c>
      <c r="P87" s="30">
        <f>E87+J87</f>
        <v>5300000</v>
      </c>
      <c r="Q87" s="120"/>
    </row>
    <row r="88" spans="1:18" s="20" customFormat="1" ht="28.5">
      <c r="A88" s="18"/>
      <c r="B88" s="25"/>
      <c r="C88" s="25"/>
      <c r="D88" s="107" t="s">
        <v>325</v>
      </c>
      <c r="E88" s="31">
        <f>E90+E91+E93+E95+E98+E102+E105+E107+E109+E111+E113+E115+E117+E119+E121+E123+E125+E127+E129+E131+E133+E134+E136+E137+E138+E139+E140+E141+E142+E143+E144+E145+E147+E148+E150+E97+E104+E108+E149+E151</f>
        <v>773357562.0600001</v>
      </c>
      <c r="F88" s="31">
        <f aca="true" t="shared" si="13" ref="F88:P88">F90+F91+F93+F95+F98+F102+F105+F107+F109+F111+F113+F115+F117+F119+F121+F123+F125+F127+F129+F131+F133+F134+F136+F137+F138+F139+F140+F141+F142+F143+F144+F145+F147+F148+F150+F97+F104+F108+F149+F151</f>
        <v>773357562.0600001</v>
      </c>
      <c r="G88" s="31">
        <f t="shared" si="13"/>
        <v>17572764.439999998</v>
      </c>
      <c r="H88" s="31">
        <f t="shared" si="13"/>
        <v>721639</v>
      </c>
      <c r="I88" s="31">
        <f t="shared" si="13"/>
        <v>0</v>
      </c>
      <c r="J88" s="31">
        <f t="shared" si="13"/>
        <v>1046703</v>
      </c>
      <c r="K88" s="31">
        <f t="shared" si="13"/>
        <v>27800</v>
      </c>
      <c r="L88" s="31">
        <f t="shared" si="13"/>
        <v>18822</v>
      </c>
      <c r="M88" s="31">
        <f t="shared" si="13"/>
        <v>0</v>
      </c>
      <c r="N88" s="31">
        <f t="shared" si="13"/>
        <v>1018903</v>
      </c>
      <c r="O88" s="31">
        <f t="shared" si="13"/>
        <v>1018903</v>
      </c>
      <c r="P88" s="31">
        <f t="shared" si="13"/>
        <v>774404265.0600001</v>
      </c>
      <c r="Q88" s="120"/>
      <c r="R88" s="37"/>
    </row>
    <row r="89" spans="1:18" s="20" customFormat="1" ht="15">
      <c r="A89" s="18"/>
      <c r="B89" s="25"/>
      <c r="C89" s="25"/>
      <c r="D89" s="22" t="s">
        <v>210</v>
      </c>
      <c r="E89" s="30">
        <f>F89+I89</f>
        <v>718561000</v>
      </c>
      <c r="F89" s="30">
        <f>F92+F94+F96+F101+F103+F106+F110+F112+F114+F116+F118+F120+F122+F124+F126+F128+F130+F132+F135+F146</f>
        <v>718561000</v>
      </c>
      <c r="G89" s="30">
        <f aca="true" t="shared" si="14" ref="G89:O89">G92+G94+G96+G101+G103+G106+G110+G112+G114+G116+G118+G120+G122+G124+G126+G128+G130+G132+G135+G146</f>
        <v>0</v>
      </c>
      <c r="H89" s="30">
        <f t="shared" si="14"/>
        <v>0</v>
      </c>
      <c r="I89" s="30">
        <f t="shared" si="14"/>
        <v>0</v>
      </c>
      <c r="J89" s="30">
        <f t="shared" si="14"/>
        <v>0</v>
      </c>
      <c r="K89" s="30">
        <f t="shared" si="14"/>
        <v>0</v>
      </c>
      <c r="L89" s="30">
        <f t="shared" si="14"/>
        <v>0</v>
      </c>
      <c r="M89" s="30">
        <f t="shared" si="14"/>
        <v>0</v>
      </c>
      <c r="N89" s="30">
        <f t="shared" si="14"/>
        <v>0</v>
      </c>
      <c r="O89" s="30">
        <f t="shared" si="14"/>
        <v>0</v>
      </c>
      <c r="P89" s="30">
        <f>P92+P94+P96+P101+P103+P106+P110+P112+P114+P116+P118+P120+P122+P124+P126+P128+P130+P132+P135+P146</f>
        <v>718561000</v>
      </c>
      <c r="Q89" s="120"/>
      <c r="R89" s="37"/>
    </row>
    <row r="90" spans="1:17" s="20" customFormat="1" ht="15">
      <c r="A90" s="18"/>
      <c r="B90" s="21" t="s">
        <v>11</v>
      </c>
      <c r="C90" s="21" t="s">
        <v>9</v>
      </c>
      <c r="D90" s="22" t="s">
        <v>94</v>
      </c>
      <c r="E90" s="30">
        <f aca="true" t="shared" si="15" ref="E90:E97">F90+I90</f>
        <v>16380474</v>
      </c>
      <c r="F90" s="30">
        <f>15846830-1812790+360005+30000+943859+412900+307770+40000+251900</f>
        <v>16380474</v>
      </c>
      <c r="G90" s="30">
        <f>10990800-210790+749065+338500-43500+206500</f>
        <v>12030575</v>
      </c>
      <c r="H90" s="30">
        <f>369473+40000+25701</f>
        <v>435174</v>
      </c>
      <c r="I90" s="30"/>
      <c r="J90" s="30">
        <f>K90+N90</f>
        <v>342500</v>
      </c>
      <c r="K90" s="30"/>
      <c r="L90" s="30"/>
      <c r="M90" s="30"/>
      <c r="N90" s="30">
        <f>200000+142500</f>
        <v>342500</v>
      </c>
      <c r="O90" s="30">
        <f>200000+142500</f>
        <v>342500</v>
      </c>
      <c r="P90" s="30">
        <f>E90+J90</f>
        <v>16722974</v>
      </c>
      <c r="Q90" s="120"/>
    </row>
    <row r="91" spans="1:17" s="20" customFormat="1" ht="30">
      <c r="A91" s="18"/>
      <c r="B91" s="21" t="s">
        <v>301</v>
      </c>
      <c r="C91" s="21" t="s">
        <v>151</v>
      </c>
      <c r="D91" s="22" t="s">
        <v>302</v>
      </c>
      <c r="E91" s="30">
        <f t="shared" si="15"/>
        <v>1632630</v>
      </c>
      <c r="F91" s="30">
        <f>1678900-46270</f>
        <v>1632630</v>
      </c>
      <c r="G91" s="30"/>
      <c r="H91" s="30"/>
      <c r="I91" s="30"/>
      <c r="J91" s="30">
        <f aca="true" t="shared" si="16" ref="J91:J97">K91+N91</f>
        <v>0</v>
      </c>
      <c r="K91" s="30"/>
      <c r="L91" s="30"/>
      <c r="M91" s="30"/>
      <c r="N91" s="30"/>
      <c r="O91" s="30"/>
      <c r="P91" s="30">
        <f aca="true" t="shared" si="17" ref="P91:P97">E91+J91</f>
        <v>1632630</v>
      </c>
      <c r="Q91" s="120"/>
    </row>
    <row r="92" spans="1:17" s="20" customFormat="1" ht="15">
      <c r="A92" s="18"/>
      <c r="B92" s="21"/>
      <c r="C92" s="21"/>
      <c r="D92" s="22" t="s">
        <v>262</v>
      </c>
      <c r="E92" s="30">
        <f t="shared" si="15"/>
        <v>1632630</v>
      </c>
      <c r="F92" s="30">
        <f>1678900-46270</f>
        <v>1632630</v>
      </c>
      <c r="G92" s="30"/>
      <c r="H92" s="30"/>
      <c r="I92" s="30"/>
      <c r="J92" s="30">
        <f t="shared" si="16"/>
        <v>0</v>
      </c>
      <c r="K92" s="30"/>
      <c r="L92" s="30"/>
      <c r="M92" s="30"/>
      <c r="N92" s="30"/>
      <c r="O92" s="30"/>
      <c r="P92" s="30">
        <f t="shared" si="17"/>
        <v>1632630</v>
      </c>
      <c r="Q92" s="120"/>
    </row>
    <row r="93" spans="1:17" s="20" customFormat="1" ht="238.5" customHeight="1">
      <c r="A93" s="18"/>
      <c r="B93" s="21" t="s">
        <v>285</v>
      </c>
      <c r="C93" s="21" t="s">
        <v>163</v>
      </c>
      <c r="D93" s="22" t="s">
        <v>286</v>
      </c>
      <c r="E93" s="30">
        <f t="shared" si="15"/>
        <v>35619200</v>
      </c>
      <c r="F93" s="30">
        <v>35619200</v>
      </c>
      <c r="G93" s="30"/>
      <c r="H93" s="30"/>
      <c r="I93" s="30"/>
      <c r="J93" s="30">
        <f t="shared" si="16"/>
        <v>0</v>
      </c>
      <c r="K93" s="30"/>
      <c r="L93" s="30"/>
      <c r="M93" s="30"/>
      <c r="N93" s="30"/>
      <c r="O93" s="30"/>
      <c r="P93" s="30">
        <f t="shared" si="17"/>
        <v>35619200</v>
      </c>
      <c r="Q93" s="120"/>
    </row>
    <row r="94" spans="1:17" s="20" customFormat="1" ht="15">
      <c r="A94" s="18"/>
      <c r="B94" s="21"/>
      <c r="C94" s="21"/>
      <c r="D94" s="22" t="s">
        <v>262</v>
      </c>
      <c r="E94" s="30">
        <f t="shared" si="15"/>
        <v>35619200</v>
      </c>
      <c r="F94" s="30">
        <v>35619200</v>
      </c>
      <c r="G94" s="30"/>
      <c r="H94" s="30"/>
      <c r="I94" s="30"/>
      <c r="J94" s="30">
        <f t="shared" si="16"/>
        <v>0</v>
      </c>
      <c r="K94" s="30"/>
      <c r="L94" s="30"/>
      <c r="M94" s="30"/>
      <c r="N94" s="30"/>
      <c r="O94" s="30"/>
      <c r="P94" s="30">
        <f t="shared" si="17"/>
        <v>35619200</v>
      </c>
      <c r="Q94" s="120"/>
    </row>
    <row r="95" spans="1:17" s="20" customFormat="1" ht="190.5" customHeight="1">
      <c r="A95" s="18"/>
      <c r="B95" s="21" t="s">
        <v>287</v>
      </c>
      <c r="C95" s="21" t="s">
        <v>163</v>
      </c>
      <c r="D95" s="22" t="s">
        <v>288</v>
      </c>
      <c r="E95" s="30">
        <f t="shared" si="15"/>
        <v>23046.23</v>
      </c>
      <c r="F95" s="30">
        <f>16975+5213.3+857.93</f>
        <v>23046.23</v>
      </c>
      <c r="G95" s="30"/>
      <c r="H95" s="30"/>
      <c r="I95" s="30"/>
      <c r="J95" s="30">
        <f t="shared" si="16"/>
        <v>0</v>
      </c>
      <c r="K95" s="30"/>
      <c r="L95" s="30"/>
      <c r="M95" s="30"/>
      <c r="N95" s="30"/>
      <c r="O95" s="30"/>
      <c r="P95" s="30">
        <f t="shared" si="17"/>
        <v>23046.23</v>
      </c>
      <c r="Q95" s="120"/>
    </row>
    <row r="96" spans="1:17" s="20" customFormat="1" ht="15">
      <c r="A96" s="18"/>
      <c r="B96" s="21"/>
      <c r="C96" s="21"/>
      <c r="D96" s="22" t="s">
        <v>262</v>
      </c>
      <c r="E96" s="30">
        <f t="shared" si="15"/>
        <v>23046.23</v>
      </c>
      <c r="F96" s="30">
        <f>16975+5213.3+857.93</f>
        <v>23046.23</v>
      </c>
      <c r="G96" s="30"/>
      <c r="H96" s="30"/>
      <c r="I96" s="30"/>
      <c r="J96" s="30">
        <f t="shared" si="16"/>
        <v>0</v>
      </c>
      <c r="K96" s="30"/>
      <c r="L96" s="30"/>
      <c r="M96" s="30"/>
      <c r="N96" s="30"/>
      <c r="O96" s="30"/>
      <c r="P96" s="30">
        <f t="shared" si="17"/>
        <v>23046.23</v>
      </c>
      <c r="Q96" s="120"/>
    </row>
    <row r="97" spans="1:17" s="20" customFormat="1" ht="243.75" customHeight="1">
      <c r="A97" s="18"/>
      <c r="B97" s="56" t="s">
        <v>330</v>
      </c>
      <c r="C97" s="56" t="s">
        <v>163</v>
      </c>
      <c r="D97" s="68" t="s">
        <v>331</v>
      </c>
      <c r="E97" s="30">
        <f t="shared" si="15"/>
        <v>272912</v>
      </c>
      <c r="F97" s="62">
        <f>269119+3793</f>
        <v>272912</v>
      </c>
      <c r="G97" s="62"/>
      <c r="H97" s="62"/>
      <c r="I97" s="62"/>
      <c r="J97" s="30">
        <f t="shared" si="16"/>
        <v>0</v>
      </c>
      <c r="K97" s="62"/>
      <c r="L97" s="62"/>
      <c r="M97" s="62"/>
      <c r="N97" s="62"/>
      <c r="O97" s="62"/>
      <c r="P97" s="30">
        <f t="shared" si="17"/>
        <v>272912</v>
      </c>
      <c r="Q97" s="120" t="s">
        <v>365</v>
      </c>
    </row>
    <row r="98" spans="1:17" s="20" customFormat="1" ht="255" customHeight="1">
      <c r="A98" s="18"/>
      <c r="B98" s="56" t="s">
        <v>289</v>
      </c>
      <c r="C98" s="56" t="s">
        <v>163</v>
      </c>
      <c r="D98" s="59" t="s">
        <v>290</v>
      </c>
      <c r="E98" s="62">
        <f>F98+I98</f>
        <v>5469100</v>
      </c>
      <c r="F98" s="62">
        <v>5469100</v>
      </c>
      <c r="G98" s="62"/>
      <c r="H98" s="62"/>
      <c r="I98" s="62"/>
      <c r="J98" s="62">
        <f>K98+N98</f>
        <v>0</v>
      </c>
      <c r="K98" s="62"/>
      <c r="L98" s="62"/>
      <c r="M98" s="62"/>
      <c r="N98" s="62"/>
      <c r="O98" s="62"/>
      <c r="P98" s="62">
        <f>E98+J98</f>
        <v>5469100</v>
      </c>
      <c r="Q98" s="120"/>
    </row>
    <row r="99" spans="1:17" s="20" customFormat="1" ht="153" customHeight="1">
      <c r="A99" s="18"/>
      <c r="B99" s="57"/>
      <c r="C99" s="57"/>
      <c r="D99" s="60" t="s">
        <v>291</v>
      </c>
      <c r="E99" s="64"/>
      <c r="F99" s="64"/>
      <c r="G99" s="64"/>
      <c r="H99" s="64"/>
      <c r="I99" s="64"/>
      <c r="J99" s="64"/>
      <c r="K99" s="64"/>
      <c r="L99" s="64"/>
      <c r="M99" s="64"/>
      <c r="N99" s="64"/>
      <c r="O99" s="64"/>
      <c r="P99" s="64"/>
      <c r="Q99" s="120"/>
    </row>
    <row r="100" spans="1:17" s="20" customFormat="1" ht="270" customHeight="1">
      <c r="A100" s="18"/>
      <c r="B100" s="58"/>
      <c r="C100" s="58"/>
      <c r="D100" s="61" t="s">
        <v>292</v>
      </c>
      <c r="E100" s="63"/>
      <c r="F100" s="63"/>
      <c r="G100" s="63"/>
      <c r="H100" s="63"/>
      <c r="I100" s="63"/>
      <c r="J100" s="63"/>
      <c r="K100" s="63"/>
      <c r="L100" s="63"/>
      <c r="M100" s="63"/>
      <c r="N100" s="63"/>
      <c r="O100" s="63"/>
      <c r="P100" s="63"/>
      <c r="Q100" s="120" t="s">
        <v>366</v>
      </c>
    </row>
    <row r="101" spans="1:17" s="20" customFormat="1" ht="15">
      <c r="A101" s="18"/>
      <c r="B101" s="21"/>
      <c r="C101" s="21"/>
      <c r="D101" s="22" t="s">
        <v>262</v>
      </c>
      <c r="E101" s="30">
        <f>F101+I101</f>
        <v>5469100</v>
      </c>
      <c r="F101" s="30">
        <v>5469100</v>
      </c>
      <c r="G101" s="30"/>
      <c r="H101" s="30"/>
      <c r="I101" s="30"/>
      <c r="J101" s="30">
        <f aca="true" t="shared" si="18" ref="J101:J151">K101+N101</f>
        <v>0</v>
      </c>
      <c r="K101" s="30"/>
      <c r="L101" s="30"/>
      <c r="M101" s="30"/>
      <c r="N101" s="30"/>
      <c r="O101" s="30"/>
      <c r="P101" s="30">
        <f>E101+J101</f>
        <v>5469100</v>
      </c>
      <c r="Q101" s="120"/>
    </row>
    <row r="102" spans="1:17" s="20" customFormat="1" ht="105">
      <c r="A102" s="18"/>
      <c r="B102" s="21" t="s">
        <v>293</v>
      </c>
      <c r="C102" s="21" t="s">
        <v>164</v>
      </c>
      <c r="D102" s="22" t="s">
        <v>294</v>
      </c>
      <c r="E102" s="30">
        <f>F102+I102</f>
        <v>4278400</v>
      </c>
      <c r="F102" s="30">
        <v>4278400</v>
      </c>
      <c r="G102" s="30"/>
      <c r="H102" s="30"/>
      <c r="I102" s="30"/>
      <c r="J102" s="30">
        <f t="shared" si="18"/>
        <v>0</v>
      </c>
      <c r="K102" s="30"/>
      <c r="L102" s="30"/>
      <c r="M102" s="30"/>
      <c r="N102" s="30"/>
      <c r="O102" s="30"/>
      <c r="P102" s="30">
        <f>E102+J102</f>
        <v>4278400</v>
      </c>
      <c r="Q102" s="120"/>
    </row>
    <row r="103" spans="1:17" s="20" customFormat="1" ht="15">
      <c r="A103" s="18"/>
      <c r="B103" s="21"/>
      <c r="C103" s="21"/>
      <c r="D103" s="22" t="s">
        <v>262</v>
      </c>
      <c r="E103" s="30">
        <f aca="true" t="shared" si="19" ref="E103:E150">F103+I103</f>
        <v>4278400</v>
      </c>
      <c r="F103" s="30">
        <v>4278400</v>
      </c>
      <c r="G103" s="30"/>
      <c r="H103" s="30"/>
      <c r="I103" s="30"/>
      <c r="J103" s="30">
        <f t="shared" si="18"/>
        <v>0</v>
      </c>
      <c r="K103" s="30"/>
      <c r="L103" s="30"/>
      <c r="M103" s="30"/>
      <c r="N103" s="30"/>
      <c r="O103" s="30"/>
      <c r="P103" s="30">
        <f aca="true" t="shared" si="20" ref="P103:P150">E103+J103</f>
        <v>4278400</v>
      </c>
      <c r="Q103" s="120"/>
    </row>
    <row r="104" spans="1:17" s="20" customFormat="1" ht="90">
      <c r="A104" s="18"/>
      <c r="B104" s="21" t="s">
        <v>332</v>
      </c>
      <c r="C104" s="21" t="s">
        <v>164</v>
      </c>
      <c r="D104" s="22" t="s">
        <v>333</v>
      </c>
      <c r="E104" s="30">
        <f t="shared" si="19"/>
        <v>94003</v>
      </c>
      <c r="F104" s="30">
        <f>70400+23603</f>
        <v>94003</v>
      </c>
      <c r="G104" s="30"/>
      <c r="H104" s="30"/>
      <c r="I104" s="30"/>
      <c r="J104" s="30">
        <f t="shared" si="18"/>
        <v>0</v>
      </c>
      <c r="K104" s="30"/>
      <c r="L104" s="30"/>
      <c r="M104" s="30"/>
      <c r="N104" s="30"/>
      <c r="O104" s="30"/>
      <c r="P104" s="30">
        <f t="shared" si="20"/>
        <v>94003</v>
      </c>
      <c r="Q104" s="120"/>
    </row>
    <row r="105" spans="1:17" s="20" customFormat="1" ht="191.25" customHeight="1">
      <c r="A105" s="18"/>
      <c r="B105" s="21" t="s">
        <v>295</v>
      </c>
      <c r="C105" s="21" t="s">
        <v>164</v>
      </c>
      <c r="D105" s="22" t="s">
        <v>296</v>
      </c>
      <c r="E105" s="30">
        <f t="shared" si="19"/>
        <v>110300</v>
      </c>
      <c r="F105" s="30">
        <v>110300</v>
      </c>
      <c r="G105" s="30"/>
      <c r="H105" s="30"/>
      <c r="I105" s="30"/>
      <c r="J105" s="30">
        <f t="shared" si="18"/>
        <v>0</v>
      </c>
      <c r="K105" s="30"/>
      <c r="L105" s="30"/>
      <c r="M105" s="30"/>
      <c r="N105" s="30"/>
      <c r="O105" s="30"/>
      <c r="P105" s="30">
        <f t="shared" si="20"/>
        <v>110300</v>
      </c>
      <c r="Q105" s="120"/>
    </row>
    <row r="106" spans="1:17" s="20" customFormat="1" ht="15">
      <c r="A106" s="18"/>
      <c r="B106" s="21"/>
      <c r="C106" s="21"/>
      <c r="D106" s="22" t="s">
        <v>262</v>
      </c>
      <c r="E106" s="30">
        <f t="shared" si="19"/>
        <v>110300</v>
      </c>
      <c r="F106" s="30">
        <v>110300</v>
      </c>
      <c r="G106" s="30"/>
      <c r="H106" s="30"/>
      <c r="I106" s="30"/>
      <c r="J106" s="30">
        <f t="shared" si="18"/>
        <v>0</v>
      </c>
      <c r="K106" s="30"/>
      <c r="L106" s="30"/>
      <c r="M106" s="30"/>
      <c r="N106" s="30"/>
      <c r="O106" s="30"/>
      <c r="P106" s="30">
        <f t="shared" si="20"/>
        <v>110300</v>
      </c>
      <c r="Q106" s="120"/>
    </row>
    <row r="107" spans="1:17" s="20" customFormat="1" ht="45">
      <c r="A107" s="18"/>
      <c r="B107" s="21" t="s">
        <v>205</v>
      </c>
      <c r="C107" s="21" t="s">
        <v>164</v>
      </c>
      <c r="D107" s="22" t="s">
        <v>206</v>
      </c>
      <c r="E107" s="30">
        <f t="shared" si="19"/>
        <v>882700</v>
      </c>
      <c r="F107" s="30">
        <f>250000+382700+240900+9100</f>
        <v>882700</v>
      </c>
      <c r="G107" s="30"/>
      <c r="H107" s="30"/>
      <c r="I107" s="30"/>
      <c r="J107" s="30">
        <f t="shared" si="18"/>
        <v>0</v>
      </c>
      <c r="K107" s="30"/>
      <c r="L107" s="30"/>
      <c r="M107" s="30"/>
      <c r="N107" s="30"/>
      <c r="O107" s="30"/>
      <c r="P107" s="30">
        <f t="shared" si="20"/>
        <v>882700</v>
      </c>
      <c r="Q107" s="120"/>
    </row>
    <row r="108" spans="1:17" s="20" customFormat="1" ht="30">
      <c r="A108" s="18"/>
      <c r="B108" s="21" t="s">
        <v>334</v>
      </c>
      <c r="C108" s="21" t="s">
        <v>164</v>
      </c>
      <c r="D108" s="22" t="s">
        <v>335</v>
      </c>
      <c r="E108" s="30">
        <f t="shared" si="19"/>
        <v>1439932</v>
      </c>
      <c r="F108" s="30">
        <f>1394632+45300</f>
        <v>1439932</v>
      </c>
      <c r="G108" s="30"/>
      <c r="H108" s="30"/>
      <c r="I108" s="30"/>
      <c r="J108" s="30">
        <f t="shared" si="18"/>
        <v>0</v>
      </c>
      <c r="K108" s="30"/>
      <c r="L108" s="30"/>
      <c r="M108" s="30"/>
      <c r="N108" s="30"/>
      <c r="O108" s="30"/>
      <c r="P108" s="30">
        <f t="shared" si="20"/>
        <v>1439932</v>
      </c>
      <c r="Q108" s="120" t="s">
        <v>367</v>
      </c>
    </row>
    <row r="109" spans="1:17" s="20" customFormat="1" ht="150">
      <c r="A109" s="18"/>
      <c r="B109" s="21" t="s">
        <v>297</v>
      </c>
      <c r="C109" s="21" t="s">
        <v>164</v>
      </c>
      <c r="D109" s="22" t="s">
        <v>298</v>
      </c>
      <c r="E109" s="30">
        <f t="shared" si="19"/>
        <v>2195200</v>
      </c>
      <c r="F109" s="30">
        <v>2195200</v>
      </c>
      <c r="G109" s="30"/>
      <c r="H109" s="30"/>
      <c r="I109" s="30"/>
      <c r="J109" s="30">
        <f t="shared" si="18"/>
        <v>0</v>
      </c>
      <c r="K109" s="30"/>
      <c r="L109" s="30"/>
      <c r="M109" s="30"/>
      <c r="N109" s="30"/>
      <c r="O109" s="30"/>
      <c r="P109" s="30">
        <f t="shared" si="20"/>
        <v>2195200</v>
      </c>
      <c r="Q109" s="120"/>
    </row>
    <row r="110" spans="1:17" s="20" customFormat="1" ht="15">
      <c r="A110" s="18"/>
      <c r="B110" s="21"/>
      <c r="C110" s="21"/>
      <c r="D110" s="22" t="s">
        <v>262</v>
      </c>
      <c r="E110" s="30">
        <f t="shared" si="19"/>
        <v>2195200</v>
      </c>
      <c r="F110" s="30">
        <v>2195200</v>
      </c>
      <c r="G110" s="30"/>
      <c r="H110" s="30"/>
      <c r="I110" s="30"/>
      <c r="J110" s="30">
        <f t="shared" si="18"/>
        <v>0</v>
      </c>
      <c r="K110" s="30"/>
      <c r="L110" s="30"/>
      <c r="M110" s="30"/>
      <c r="N110" s="30"/>
      <c r="O110" s="30"/>
      <c r="P110" s="30">
        <f t="shared" si="20"/>
        <v>2195200</v>
      </c>
      <c r="Q110" s="120"/>
    </row>
    <row r="111" spans="1:17" s="20" customFormat="1" ht="134.25" customHeight="1">
      <c r="A111" s="18"/>
      <c r="B111" s="24" t="s">
        <v>299</v>
      </c>
      <c r="C111" s="24" t="s">
        <v>164</v>
      </c>
      <c r="D111" s="22" t="s">
        <v>300</v>
      </c>
      <c r="E111" s="30">
        <f t="shared" si="19"/>
        <v>6754.88</v>
      </c>
      <c r="F111" s="30">
        <f>4412+3103.26-760.38</f>
        <v>6754.88</v>
      </c>
      <c r="G111" s="30"/>
      <c r="H111" s="30"/>
      <c r="I111" s="30"/>
      <c r="J111" s="30">
        <f t="shared" si="18"/>
        <v>0</v>
      </c>
      <c r="K111" s="30"/>
      <c r="L111" s="30"/>
      <c r="M111" s="30"/>
      <c r="N111" s="30"/>
      <c r="O111" s="30"/>
      <c r="P111" s="30">
        <f t="shared" si="20"/>
        <v>6754.88</v>
      </c>
      <c r="Q111" s="120"/>
    </row>
    <row r="112" spans="1:17" s="20" customFormat="1" ht="15">
      <c r="A112" s="18"/>
      <c r="B112" s="24"/>
      <c r="C112" s="24"/>
      <c r="D112" s="22" t="s">
        <v>262</v>
      </c>
      <c r="E112" s="30">
        <f t="shared" si="19"/>
        <v>6754.88</v>
      </c>
      <c r="F112" s="30">
        <f>4412+3103.26-760.38</f>
        <v>6754.88</v>
      </c>
      <c r="G112" s="30"/>
      <c r="H112" s="30"/>
      <c r="I112" s="30"/>
      <c r="J112" s="30">
        <f t="shared" si="18"/>
        <v>0</v>
      </c>
      <c r="K112" s="30"/>
      <c r="L112" s="30"/>
      <c r="M112" s="30"/>
      <c r="N112" s="30"/>
      <c r="O112" s="30"/>
      <c r="P112" s="30">
        <f t="shared" si="20"/>
        <v>6754.88</v>
      </c>
      <c r="Q112" s="120"/>
    </row>
    <row r="113" spans="1:17" s="20" customFormat="1" ht="30">
      <c r="A113" s="18"/>
      <c r="B113" s="21" t="s">
        <v>263</v>
      </c>
      <c r="C113" s="21" t="s">
        <v>139</v>
      </c>
      <c r="D113" s="22" t="s">
        <v>264</v>
      </c>
      <c r="E113" s="30">
        <f t="shared" si="19"/>
        <v>2382400</v>
      </c>
      <c r="F113" s="30">
        <f>2957400-125000-450000</f>
        <v>2382400</v>
      </c>
      <c r="G113" s="30"/>
      <c r="H113" s="30"/>
      <c r="I113" s="30"/>
      <c r="J113" s="30">
        <f t="shared" si="18"/>
        <v>0</v>
      </c>
      <c r="K113" s="30"/>
      <c r="L113" s="30"/>
      <c r="M113" s="30"/>
      <c r="N113" s="30"/>
      <c r="O113" s="30"/>
      <c r="P113" s="30">
        <f t="shared" si="20"/>
        <v>2382400</v>
      </c>
      <c r="Q113" s="120"/>
    </row>
    <row r="114" spans="1:17" s="20" customFormat="1" ht="15">
      <c r="A114" s="18"/>
      <c r="B114" s="21"/>
      <c r="C114" s="21"/>
      <c r="D114" s="22" t="s">
        <v>262</v>
      </c>
      <c r="E114" s="30">
        <f t="shared" si="19"/>
        <v>2382400</v>
      </c>
      <c r="F114" s="30">
        <f>2957400-125000-450000</f>
        <v>2382400</v>
      </c>
      <c r="G114" s="30"/>
      <c r="H114" s="30"/>
      <c r="I114" s="30"/>
      <c r="J114" s="30">
        <f t="shared" si="18"/>
        <v>0</v>
      </c>
      <c r="K114" s="30"/>
      <c r="L114" s="30"/>
      <c r="M114" s="30"/>
      <c r="N114" s="30"/>
      <c r="O114" s="30"/>
      <c r="P114" s="30">
        <f t="shared" si="20"/>
        <v>2382400</v>
      </c>
      <c r="Q114" s="120"/>
    </row>
    <row r="115" spans="1:17" s="20" customFormat="1" ht="30">
      <c r="A115" s="18"/>
      <c r="B115" s="21" t="s">
        <v>265</v>
      </c>
      <c r="C115" s="21" t="s">
        <v>139</v>
      </c>
      <c r="D115" s="22" t="s">
        <v>266</v>
      </c>
      <c r="E115" s="30">
        <f t="shared" si="19"/>
        <v>2002000</v>
      </c>
      <c r="F115" s="30">
        <f>2340000-38000-260000-40000</f>
        <v>2002000</v>
      </c>
      <c r="G115" s="30"/>
      <c r="H115" s="30"/>
      <c r="I115" s="30"/>
      <c r="J115" s="30">
        <f t="shared" si="18"/>
        <v>0</v>
      </c>
      <c r="K115" s="30"/>
      <c r="L115" s="30"/>
      <c r="M115" s="30"/>
      <c r="N115" s="30"/>
      <c r="O115" s="30"/>
      <c r="P115" s="30">
        <f t="shared" si="20"/>
        <v>2002000</v>
      </c>
      <c r="Q115" s="120"/>
    </row>
    <row r="116" spans="1:17" s="20" customFormat="1" ht="15">
      <c r="A116" s="18"/>
      <c r="B116" s="21"/>
      <c r="C116" s="21"/>
      <c r="D116" s="22" t="s">
        <v>262</v>
      </c>
      <c r="E116" s="30">
        <f t="shared" si="19"/>
        <v>2002000</v>
      </c>
      <c r="F116" s="30">
        <f>2340000-38000-260000-40000</f>
        <v>2002000</v>
      </c>
      <c r="G116" s="30"/>
      <c r="H116" s="30"/>
      <c r="I116" s="30"/>
      <c r="J116" s="30">
        <f t="shared" si="18"/>
        <v>0</v>
      </c>
      <c r="K116" s="30"/>
      <c r="L116" s="30"/>
      <c r="M116" s="30"/>
      <c r="N116" s="30"/>
      <c r="O116" s="30"/>
      <c r="P116" s="30">
        <f t="shared" si="20"/>
        <v>2002000</v>
      </c>
      <c r="Q116" s="120"/>
    </row>
    <row r="117" spans="1:17" s="20" customFormat="1" ht="15">
      <c r="A117" s="18"/>
      <c r="B117" s="21" t="s">
        <v>267</v>
      </c>
      <c r="C117" s="21" t="s">
        <v>139</v>
      </c>
      <c r="D117" s="22" t="s">
        <v>268</v>
      </c>
      <c r="E117" s="30">
        <f t="shared" si="19"/>
        <v>131914300</v>
      </c>
      <c r="F117" s="30">
        <f>132914300-1000000</f>
        <v>131914300</v>
      </c>
      <c r="G117" s="30"/>
      <c r="H117" s="30"/>
      <c r="I117" s="30"/>
      <c r="J117" s="30">
        <f t="shared" si="18"/>
        <v>0</v>
      </c>
      <c r="K117" s="30"/>
      <c r="L117" s="30"/>
      <c r="M117" s="30"/>
      <c r="N117" s="30"/>
      <c r="O117" s="30"/>
      <c r="P117" s="30">
        <f t="shared" si="20"/>
        <v>131914300</v>
      </c>
      <c r="Q117" s="120"/>
    </row>
    <row r="118" spans="1:17" s="20" customFormat="1" ht="15">
      <c r="A118" s="18"/>
      <c r="B118" s="21"/>
      <c r="C118" s="21"/>
      <c r="D118" s="22" t="s">
        <v>262</v>
      </c>
      <c r="E118" s="30">
        <f t="shared" si="19"/>
        <v>131914300</v>
      </c>
      <c r="F118" s="30">
        <f>132914300-1000000</f>
        <v>131914300</v>
      </c>
      <c r="G118" s="30"/>
      <c r="H118" s="30"/>
      <c r="I118" s="30"/>
      <c r="J118" s="30">
        <f t="shared" si="18"/>
        <v>0</v>
      </c>
      <c r="K118" s="30"/>
      <c r="L118" s="30"/>
      <c r="M118" s="30"/>
      <c r="N118" s="30"/>
      <c r="O118" s="30"/>
      <c r="P118" s="30">
        <f t="shared" si="20"/>
        <v>131914300</v>
      </c>
      <c r="Q118" s="120"/>
    </row>
    <row r="119" spans="1:17" s="20" customFormat="1" ht="30">
      <c r="A119" s="18"/>
      <c r="B119" s="21" t="s">
        <v>269</v>
      </c>
      <c r="C119" s="21" t="s">
        <v>139</v>
      </c>
      <c r="D119" s="22" t="s">
        <v>270</v>
      </c>
      <c r="E119" s="30">
        <f t="shared" si="19"/>
        <v>5906000</v>
      </c>
      <c r="F119" s="30">
        <f>4769000+965000+52000+120000</f>
        <v>5906000</v>
      </c>
      <c r="G119" s="30"/>
      <c r="H119" s="30"/>
      <c r="I119" s="30"/>
      <c r="J119" s="30">
        <f t="shared" si="18"/>
        <v>0</v>
      </c>
      <c r="K119" s="30"/>
      <c r="L119" s="30"/>
      <c r="M119" s="30"/>
      <c r="N119" s="30"/>
      <c r="O119" s="30"/>
      <c r="P119" s="30">
        <f t="shared" si="20"/>
        <v>5906000</v>
      </c>
      <c r="Q119" s="120"/>
    </row>
    <row r="120" spans="1:17" s="20" customFormat="1" ht="15">
      <c r="A120" s="18"/>
      <c r="B120" s="21"/>
      <c r="C120" s="21"/>
      <c r="D120" s="22" t="s">
        <v>262</v>
      </c>
      <c r="E120" s="30">
        <f t="shared" si="19"/>
        <v>5906000</v>
      </c>
      <c r="F120" s="30">
        <f>4769000+965000+52000+120000</f>
        <v>5906000</v>
      </c>
      <c r="G120" s="30"/>
      <c r="H120" s="30"/>
      <c r="I120" s="30"/>
      <c r="J120" s="30">
        <f t="shared" si="18"/>
        <v>0</v>
      </c>
      <c r="K120" s="30"/>
      <c r="L120" s="30"/>
      <c r="M120" s="30"/>
      <c r="N120" s="30"/>
      <c r="O120" s="30"/>
      <c r="P120" s="30">
        <f t="shared" si="20"/>
        <v>5906000</v>
      </c>
      <c r="Q120" s="120"/>
    </row>
    <row r="121" spans="1:17" s="20" customFormat="1" ht="15">
      <c r="A121" s="18"/>
      <c r="B121" s="21" t="s">
        <v>271</v>
      </c>
      <c r="C121" s="21" t="s">
        <v>139</v>
      </c>
      <c r="D121" s="22" t="s">
        <v>272</v>
      </c>
      <c r="E121" s="30">
        <f t="shared" si="19"/>
        <v>23667842</v>
      </c>
      <c r="F121" s="30">
        <f>22750500+470000+347342+100000</f>
        <v>23667842</v>
      </c>
      <c r="G121" s="30"/>
      <c r="H121" s="30"/>
      <c r="I121" s="30"/>
      <c r="J121" s="30">
        <f t="shared" si="18"/>
        <v>0</v>
      </c>
      <c r="K121" s="30"/>
      <c r="L121" s="30"/>
      <c r="M121" s="30"/>
      <c r="N121" s="30"/>
      <c r="O121" s="30"/>
      <c r="P121" s="30">
        <f t="shared" si="20"/>
        <v>23667842</v>
      </c>
      <c r="Q121" s="120"/>
    </row>
    <row r="122" spans="1:17" s="20" customFormat="1" ht="15">
      <c r="A122" s="18"/>
      <c r="B122" s="21"/>
      <c r="C122" s="21"/>
      <c r="D122" s="22" t="s">
        <v>262</v>
      </c>
      <c r="E122" s="30">
        <f t="shared" si="19"/>
        <v>23667842</v>
      </c>
      <c r="F122" s="30">
        <f>22750500+470000+347342+100000</f>
        <v>23667842</v>
      </c>
      <c r="G122" s="30"/>
      <c r="H122" s="30"/>
      <c r="I122" s="30"/>
      <c r="J122" s="30">
        <f t="shared" si="18"/>
        <v>0</v>
      </c>
      <c r="K122" s="30"/>
      <c r="L122" s="30"/>
      <c r="M122" s="30"/>
      <c r="N122" s="30"/>
      <c r="O122" s="30"/>
      <c r="P122" s="30">
        <f t="shared" si="20"/>
        <v>23667842</v>
      </c>
      <c r="Q122" s="120"/>
    </row>
    <row r="123" spans="1:17" s="20" customFormat="1" ht="15">
      <c r="A123" s="18"/>
      <c r="B123" s="21" t="s">
        <v>273</v>
      </c>
      <c r="C123" s="21" t="s">
        <v>139</v>
      </c>
      <c r="D123" s="22" t="s">
        <v>274</v>
      </c>
      <c r="E123" s="30">
        <f t="shared" si="19"/>
        <v>1144200</v>
      </c>
      <c r="F123" s="30">
        <f>2174200-870000-160000</f>
        <v>1144200</v>
      </c>
      <c r="G123" s="30"/>
      <c r="H123" s="30"/>
      <c r="I123" s="30"/>
      <c r="J123" s="30">
        <f t="shared" si="18"/>
        <v>0</v>
      </c>
      <c r="K123" s="30"/>
      <c r="L123" s="30"/>
      <c r="M123" s="30"/>
      <c r="N123" s="30"/>
      <c r="O123" s="30"/>
      <c r="P123" s="30">
        <f t="shared" si="20"/>
        <v>1144200</v>
      </c>
      <c r="Q123" s="120"/>
    </row>
    <row r="124" spans="1:17" s="20" customFormat="1" ht="15">
      <c r="A124" s="18"/>
      <c r="B124" s="21"/>
      <c r="C124" s="21"/>
      <c r="D124" s="22" t="s">
        <v>262</v>
      </c>
      <c r="E124" s="30">
        <f t="shared" si="19"/>
        <v>1144200</v>
      </c>
      <c r="F124" s="30">
        <f>2174200-870000-160000</f>
        <v>1144200</v>
      </c>
      <c r="G124" s="30"/>
      <c r="H124" s="30"/>
      <c r="I124" s="30"/>
      <c r="J124" s="30">
        <f t="shared" si="18"/>
        <v>0</v>
      </c>
      <c r="K124" s="30"/>
      <c r="L124" s="30"/>
      <c r="M124" s="30"/>
      <c r="N124" s="30"/>
      <c r="O124" s="30"/>
      <c r="P124" s="30">
        <f t="shared" si="20"/>
        <v>1144200</v>
      </c>
      <c r="Q124" s="120"/>
    </row>
    <row r="125" spans="1:17" s="20" customFormat="1" ht="15">
      <c r="A125" s="18"/>
      <c r="B125" s="21" t="s">
        <v>275</v>
      </c>
      <c r="C125" s="21" t="s">
        <v>139</v>
      </c>
      <c r="D125" s="22" t="s">
        <v>276</v>
      </c>
      <c r="E125" s="30">
        <f t="shared" si="19"/>
        <v>316200</v>
      </c>
      <c r="F125" s="30">
        <f>312200-36000+40000</f>
        <v>316200</v>
      </c>
      <c r="G125" s="30"/>
      <c r="H125" s="30"/>
      <c r="I125" s="30"/>
      <c r="J125" s="30">
        <f t="shared" si="18"/>
        <v>0</v>
      </c>
      <c r="K125" s="30"/>
      <c r="L125" s="30"/>
      <c r="M125" s="30"/>
      <c r="N125" s="30"/>
      <c r="O125" s="30"/>
      <c r="P125" s="30">
        <f t="shared" si="20"/>
        <v>316200</v>
      </c>
      <c r="Q125" s="120"/>
    </row>
    <row r="126" spans="1:17" s="20" customFormat="1" ht="15">
      <c r="A126" s="18"/>
      <c r="B126" s="21"/>
      <c r="C126" s="21"/>
      <c r="D126" s="22" t="s">
        <v>262</v>
      </c>
      <c r="E126" s="30">
        <f t="shared" si="19"/>
        <v>316200</v>
      </c>
      <c r="F126" s="30">
        <f>312200-36000+40000</f>
        <v>316200</v>
      </c>
      <c r="G126" s="30"/>
      <c r="H126" s="30"/>
      <c r="I126" s="30"/>
      <c r="J126" s="30">
        <f t="shared" si="18"/>
        <v>0</v>
      </c>
      <c r="K126" s="30"/>
      <c r="L126" s="30"/>
      <c r="M126" s="30"/>
      <c r="N126" s="30"/>
      <c r="O126" s="30"/>
      <c r="P126" s="30">
        <f t="shared" si="20"/>
        <v>316200</v>
      </c>
      <c r="Q126" s="120"/>
    </row>
    <row r="127" spans="1:17" s="20" customFormat="1" ht="30">
      <c r="A127" s="18"/>
      <c r="B127" s="21" t="s">
        <v>277</v>
      </c>
      <c r="C127" s="21" t="s">
        <v>139</v>
      </c>
      <c r="D127" s="22" t="s">
        <v>278</v>
      </c>
      <c r="E127" s="30">
        <f t="shared" si="19"/>
        <v>40981400</v>
      </c>
      <c r="F127" s="30">
        <f>41101000+147400-267000</f>
        <v>40981400</v>
      </c>
      <c r="G127" s="30"/>
      <c r="H127" s="30"/>
      <c r="I127" s="30"/>
      <c r="J127" s="30">
        <f t="shared" si="18"/>
        <v>0</v>
      </c>
      <c r="K127" s="30"/>
      <c r="L127" s="30"/>
      <c r="M127" s="30"/>
      <c r="N127" s="30"/>
      <c r="O127" s="30"/>
      <c r="P127" s="30">
        <f t="shared" si="20"/>
        <v>40981400</v>
      </c>
      <c r="Q127" s="120"/>
    </row>
    <row r="128" spans="1:17" s="20" customFormat="1" ht="15">
      <c r="A128" s="18"/>
      <c r="B128" s="21"/>
      <c r="C128" s="21"/>
      <c r="D128" s="22" t="s">
        <v>262</v>
      </c>
      <c r="E128" s="30">
        <f t="shared" si="19"/>
        <v>40981400</v>
      </c>
      <c r="F128" s="30">
        <f>41101000+147400-267000</f>
        <v>40981400</v>
      </c>
      <c r="G128" s="30"/>
      <c r="H128" s="30"/>
      <c r="I128" s="30"/>
      <c r="J128" s="30">
        <f t="shared" si="18"/>
        <v>0</v>
      </c>
      <c r="K128" s="30"/>
      <c r="L128" s="30"/>
      <c r="M128" s="30"/>
      <c r="N128" s="30"/>
      <c r="O128" s="30"/>
      <c r="P128" s="30">
        <f t="shared" si="20"/>
        <v>40981400</v>
      </c>
      <c r="Q128" s="120"/>
    </row>
    <row r="129" spans="1:17" s="20" customFormat="1" ht="45">
      <c r="A129" s="18"/>
      <c r="B129" s="21" t="s">
        <v>281</v>
      </c>
      <c r="C129" s="21" t="s">
        <v>165</v>
      </c>
      <c r="D129" s="22" t="s">
        <v>282</v>
      </c>
      <c r="E129" s="30">
        <f t="shared" si="19"/>
        <v>410997000</v>
      </c>
      <c r="F129" s="30">
        <f>365245700+45751300</f>
        <v>410997000</v>
      </c>
      <c r="G129" s="30"/>
      <c r="H129" s="30"/>
      <c r="I129" s="30"/>
      <c r="J129" s="30">
        <f t="shared" si="18"/>
        <v>0</v>
      </c>
      <c r="K129" s="30"/>
      <c r="L129" s="30"/>
      <c r="M129" s="30"/>
      <c r="N129" s="30"/>
      <c r="O129" s="30"/>
      <c r="P129" s="30">
        <f t="shared" si="20"/>
        <v>410997000</v>
      </c>
      <c r="Q129" s="120"/>
    </row>
    <row r="130" spans="1:17" s="20" customFormat="1" ht="15">
      <c r="A130" s="18"/>
      <c r="B130" s="21"/>
      <c r="C130" s="21"/>
      <c r="D130" s="22" t="s">
        <v>262</v>
      </c>
      <c r="E130" s="30">
        <f t="shared" si="19"/>
        <v>410997000</v>
      </c>
      <c r="F130" s="30">
        <f>365245700+45751300</f>
        <v>410997000</v>
      </c>
      <c r="G130" s="30"/>
      <c r="H130" s="30"/>
      <c r="I130" s="30"/>
      <c r="J130" s="30">
        <f t="shared" si="18"/>
        <v>0</v>
      </c>
      <c r="K130" s="30"/>
      <c r="L130" s="30"/>
      <c r="M130" s="30"/>
      <c r="N130" s="30"/>
      <c r="O130" s="30"/>
      <c r="P130" s="30">
        <f t="shared" si="20"/>
        <v>410997000</v>
      </c>
      <c r="Q130" s="120"/>
    </row>
    <row r="131" spans="1:17" s="20" customFormat="1" ht="60">
      <c r="A131" s="18"/>
      <c r="B131" s="21" t="s">
        <v>283</v>
      </c>
      <c r="C131" s="21" t="s">
        <v>165</v>
      </c>
      <c r="D131" s="22" t="s">
        <v>284</v>
      </c>
      <c r="E131" s="30">
        <f t="shared" si="19"/>
        <v>130829.89000000001</v>
      </c>
      <c r="F131" s="30">
        <f>82655+51683.44+690.45-4199</f>
        <v>130829.89000000001</v>
      </c>
      <c r="G131" s="30"/>
      <c r="H131" s="30"/>
      <c r="I131" s="30"/>
      <c r="J131" s="30">
        <f t="shared" si="18"/>
        <v>0</v>
      </c>
      <c r="K131" s="30"/>
      <c r="L131" s="30"/>
      <c r="M131" s="30"/>
      <c r="N131" s="30"/>
      <c r="O131" s="30"/>
      <c r="P131" s="30">
        <f t="shared" si="20"/>
        <v>130829.89000000001</v>
      </c>
      <c r="Q131" s="120"/>
    </row>
    <row r="132" spans="1:17" s="20" customFormat="1" ht="15">
      <c r="A132" s="18"/>
      <c r="B132" s="21"/>
      <c r="C132" s="21"/>
      <c r="D132" s="22" t="s">
        <v>262</v>
      </c>
      <c r="E132" s="30">
        <f t="shared" si="19"/>
        <v>130829.89000000001</v>
      </c>
      <c r="F132" s="30">
        <f>82655+51683.44+690.45-4199</f>
        <v>130829.89000000001</v>
      </c>
      <c r="G132" s="30"/>
      <c r="H132" s="30"/>
      <c r="I132" s="30"/>
      <c r="J132" s="30">
        <f t="shared" si="18"/>
        <v>0</v>
      </c>
      <c r="K132" s="30"/>
      <c r="L132" s="30"/>
      <c r="M132" s="30"/>
      <c r="N132" s="30"/>
      <c r="O132" s="30"/>
      <c r="P132" s="30">
        <f t="shared" si="20"/>
        <v>130829.89000000001</v>
      </c>
      <c r="Q132" s="120" t="s">
        <v>368</v>
      </c>
    </row>
    <row r="133" spans="1:17" s="20" customFormat="1" ht="30">
      <c r="A133" s="18"/>
      <c r="B133" s="21" t="s">
        <v>17</v>
      </c>
      <c r="C133" s="21" t="s">
        <v>138</v>
      </c>
      <c r="D133" s="22" t="s">
        <v>18</v>
      </c>
      <c r="E133" s="30">
        <f t="shared" si="19"/>
        <v>6636556.96</v>
      </c>
      <c r="F133" s="30">
        <f>1730323+45128+330300+224000+130000+90870+18000+360000+108700+51390+68890-4499+59000+531692+44646+32027+8680+27216+30000+19000+121934+5000+426400.96+69840+1209360+14896+23110+58000+372653+375000+55000</f>
        <v>6636556.96</v>
      </c>
      <c r="G133" s="30"/>
      <c r="H133" s="30"/>
      <c r="I133" s="30"/>
      <c r="J133" s="30">
        <f t="shared" si="18"/>
        <v>0</v>
      </c>
      <c r="K133" s="30"/>
      <c r="L133" s="30"/>
      <c r="M133" s="30"/>
      <c r="N133" s="30"/>
      <c r="O133" s="30"/>
      <c r="P133" s="30">
        <f t="shared" si="20"/>
        <v>6636556.96</v>
      </c>
      <c r="Q133" s="120"/>
    </row>
    <row r="134" spans="1:17" s="20" customFormat="1" ht="30">
      <c r="A134" s="18"/>
      <c r="B134" s="21" t="s">
        <v>279</v>
      </c>
      <c r="C134" s="21" t="s">
        <v>166</v>
      </c>
      <c r="D134" s="22" t="s">
        <v>280</v>
      </c>
      <c r="E134" s="30">
        <f t="shared" si="19"/>
        <v>7746300</v>
      </c>
      <c r="F134" s="30">
        <f>7229000+440000+57300+20000</f>
        <v>7746300</v>
      </c>
      <c r="G134" s="30"/>
      <c r="H134" s="30"/>
      <c r="I134" s="30"/>
      <c r="J134" s="30">
        <f t="shared" si="18"/>
        <v>0</v>
      </c>
      <c r="K134" s="30"/>
      <c r="L134" s="30"/>
      <c r="M134" s="30"/>
      <c r="N134" s="30"/>
      <c r="O134" s="30"/>
      <c r="P134" s="30">
        <f t="shared" si="20"/>
        <v>7746300</v>
      </c>
      <c r="Q134" s="120"/>
    </row>
    <row r="135" spans="1:17" s="20" customFormat="1" ht="15">
      <c r="A135" s="18"/>
      <c r="B135" s="21"/>
      <c r="C135" s="21"/>
      <c r="D135" s="22" t="s">
        <v>262</v>
      </c>
      <c r="E135" s="30">
        <f t="shared" si="19"/>
        <v>7746300</v>
      </c>
      <c r="F135" s="30">
        <f>7229000+440000+57300+20000</f>
        <v>7746300</v>
      </c>
      <c r="G135" s="30"/>
      <c r="H135" s="30"/>
      <c r="I135" s="30"/>
      <c r="J135" s="30">
        <f t="shared" si="18"/>
        <v>0</v>
      </c>
      <c r="K135" s="30"/>
      <c r="L135" s="30"/>
      <c r="M135" s="30"/>
      <c r="N135" s="30"/>
      <c r="O135" s="30"/>
      <c r="P135" s="30">
        <f t="shared" si="20"/>
        <v>7746300</v>
      </c>
      <c r="Q135" s="120"/>
    </row>
    <row r="136" spans="1:17" s="20" customFormat="1" ht="30">
      <c r="A136" s="18"/>
      <c r="B136" s="21" t="s">
        <v>95</v>
      </c>
      <c r="C136" s="21" t="s">
        <v>163</v>
      </c>
      <c r="D136" s="22" t="s">
        <v>96</v>
      </c>
      <c r="E136" s="30">
        <f t="shared" si="19"/>
        <v>1600463</v>
      </c>
      <c r="F136" s="30">
        <f>902586+88819-4601+300000+1199600-1000000+54755+132000-72696</f>
        <v>1600463</v>
      </c>
      <c r="G136" s="30"/>
      <c r="H136" s="30"/>
      <c r="I136" s="30"/>
      <c r="J136" s="30">
        <f t="shared" si="18"/>
        <v>0</v>
      </c>
      <c r="K136" s="30"/>
      <c r="L136" s="30"/>
      <c r="M136" s="30"/>
      <c r="N136" s="30"/>
      <c r="O136" s="30"/>
      <c r="P136" s="30">
        <f t="shared" si="20"/>
        <v>1600463</v>
      </c>
      <c r="Q136" s="120"/>
    </row>
    <row r="137" spans="1:17" s="20" customFormat="1" ht="30">
      <c r="A137" s="18"/>
      <c r="B137" s="21" t="s">
        <v>254</v>
      </c>
      <c r="C137" s="21" t="s">
        <v>163</v>
      </c>
      <c r="D137" s="22" t="s">
        <v>255</v>
      </c>
      <c r="E137" s="30">
        <f t="shared" si="19"/>
        <v>181400</v>
      </c>
      <c r="F137" s="30">
        <v>181400</v>
      </c>
      <c r="G137" s="30"/>
      <c r="H137" s="30"/>
      <c r="I137" s="30"/>
      <c r="J137" s="30">
        <f t="shared" si="18"/>
        <v>0</v>
      </c>
      <c r="K137" s="30"/>
      <c r="L137" s="30"/>
      <c r="M137" s="30"/>
      <c r="N137" s="30"/>
      <c r="O137" s="30"/>
      <c r="P137" s="30">
        <f t="shared" si="20"/>
        <v>181400</v>
      </c>
      <c r="Q137" s="120"/>
    </row>
    <row r="138" spans="1:17" s="20" customFormat="1" ht="30">
      <c r="A138" s="18"/>
      <c r="B138" s="21" t="s">
        <v>207</v>
      </c>
      <c r="C138" s="21" t="s">
        <v>208</v>
      </c>
      <c r="D138" s="22" t="s">
        <v>209</v>
      </c>
      <c r="E138" s="30">
        <f t="shared" si="19"/>
        <v>369055.10000000003</v>
      </c>
      <c r="F138" s="30">
        <f>160429-16831+231305.07-5847.97</f>
        <v>369055.10000000003</v>
      </c>
      <c r="G138" s="30">
        <f>117703+189509.86-4793.42</f>
        <v>302419.44</v>
      </c>
      <c r="H138" s="30"/>
      <c r="I138" s="30"/>
      <c r="J138" s="30">
        <f t="shared" si="18"/>
        <v>0</v>
      </c>
      <c r="K138" s="30"/>
      <c r="L138" s="30"/>
      <c r="M138" s="30"/>
      <c r="N138" s="30"/>
      <c r="O138" s="30"/>
      <c r="P138" s="30">
        <f t="shared" si="20"/>
        <v>369055.10000000003</v>
      </c>
      <c r="Q138" s="120"/>
    </row>
    <row r="139" spans="1:17" s="20" customFormat="1" ht="43.5" customHeight="1">
      <c r="A139" s="18"/>
      <c r="B139" s="21" t="s">
        <v>97</v>
      </c>
      <c r="C139" s="21" t="s">
        <v>167</v>
      </c>
      <c r="D139" s="22" t="s">
        <v>98</v>
      </c>
      <c r="E139" s="30">
        <f t="shared" si="19"/>
        <v>5921275</v>
      </c>
      <c r="F139" s="30">
        <f>6697900+170500-1363300+11000+380200+13000+6000+2000-2842+3097+8000+4000-40000+31720</f>
        <v>5921275</v>
      </c>
      <c r="G139" s="30">
        <f>4614400+54100-591900+312900-2330-32800-13000</f>
        <v>4341370</v>
      </c>
      <c r="H139" s="30">
        <f>154005+2561</f>
        <v>156566</v>
      </c>
      <c r="I139" s="30"/>
      <c r="J139" s="30">
        <f t="shared" si="18"/>
        <v>460703</v>
      </c>
      <c r="K139" s="30">
        <v>27800</v>
      </c>
      <c r="L139" s="30">
        <v>18822</v>
      </c>
      <c r="M139" s="30"/>
      <c r="N139" s="30">
        <f>297000+11000+132000-3097-4000</f>
        <v>432903</v>
      </c>
      <c r="O139" s="30">
        <f>297000+11000+132000-3097-4000</f>
        <v>432903</v>
      </c>
      <c r="P139" s="30">
        <f t="shared" si="20"/>
        <v>6381978</v>
      </c>
      <c r="Q139" s="120"/>
    </row>
    <row r="140" spans="1:17" s="20" customFormat="1" ht="86.25" customHeight="1">
      <c r="A140" s="18"/>
      <c r="B140" s="21" t="s">
        <v>99</v>
      </c>
      <c r="C140" s="21" t="s">
        <v>166</v>
      </c>
      <c r="D140" s="22" t="s">
        <v>100</v>
      </c>
      <c r="E140" s="30">
        <f t="shared" si="19"/>
        <v>1397200</v>
      </c>
      <c r="F140" s="30">
        <v>1397200</v>
      </c>
      <c r="G140" s="30"/>
      <c r="H140" s="30"/>
      <c r="I140" s="30"/>
      <c r="J140" s="30">
        <f t="shared" si="18"/>
        <v>0</v>
      </c>
      <c r="K140" s="30"/>
      <c r="L140" s="30"/>
      <c r="M140" s="30"/>
      <c r="N140" s="30"/>
      <c r="O140" s="30"/>
      <c r="P140" s="30">
        <f t="shared" si="20"/>
        <v>1397200</v>
      </c>
      <c r="Q140" s="120"/>
    </row>
    <row r="141" spans="1:17" s="20" customFormat="1" ht="90" customHeight="1">
      <c r="A141" s="18"/>
      <c r="B141" s="21" t="s">
        <v>101</v>
      </c>
      <c r="C141" s="21" t="s">
        <v>165</v>
      </c>
      <c r="D141" s="22" t="s">
        <v>102</v>
      </c>
      <c r="E141" s="30">
        <f t="shared" si="19"/>
        <v>2107046</v>
      </c>
      <c r="F141" s="30">
        <f>2446698+35741-372653-2740</f>
        <v>2107046</v>
      </c>
      <c r="G141" s="30"/>
      <c r="H141" s="30"/>
      <c r="I141" s="30"/>
      <c r="J141" s="30">
        <f t="shared" si="18"/>
        <v>0</v>
      </c>
      <c r="K141" s="30"/>
      <c r="L141" s="30"/>
      <c r="M141" s="30"/>
      <c r="N141" s="30"/>
      <c r="O141" s="30"/>
      <c r="P141" s="30">
        <f t="shared" si="20"/>
        <v>2107046</v>
      </c>
      <c r="Q141" s="120"/>
    </row>
    <row r="142" spans="1:17" s="20" customFormat="1" ht="30">
      <c r="A142" s="18"/>
      <c r="B142" s="21" t="s">
        <v>103</v>
      </c>
      <c r="C142" s="21" t="s">
        <v>163</v>
      </c>
      <c r="D142" s="22" t="s">
        <v>104</v>
      </c>
      <c r="E142" s="30">
        <f t="shared" si="19"/>
        <v>798900</v>
      </c>
      <c r="F142" s="30">
        <v>798900</v>
      </c>
      <c r="G142" s="30"/>
      <c r="H142" s="30"/>
      <c r="I142" s="30"/>
      <c r="J142" s="30">
        <f t="shared" si="18"/>
        <v>0</v>
      </c>
      <c r="K142" s="30"/>
      <c r="L142" s="30"/>
      <c r="M142" s="30"/>
      <c r="N142" s="30"/>
      <c r="O142" s="30"/>
      <c r="P142" s="30">
        <f t="shared" si="20"/>
        <v>798900</v>
      </c>
      <c r="Q142" s="120"/>
    </row>
    <row r="143" spans="1:17" s="20" customFormat="1" ht="30">
      <c r="A143" s="18"/>
      <c r="B143" s="21" t="s">
        <v>250</v>
      </c>
      <c r="C143" s="21" t="s">
        <v>138</v>
      </c>
      <c r="D143" s="22" t="s">
        <v>251</v>
      </c>
      <c r="E143" s="30">
        <f t="shared" si="19"/>
        <v>114457</v>
      </c>
      <c r="F143" s="30">
        <f>54417+57300+30000-30000+2740</f>
        <v>114457</v>
      </c>
      <c r="G143" s="30"/>
      <c r="H143" s="30"/>
      <c r="I143" s="30"/>
      <c r="J143" s="30">
        <f t="shared" si="18"/>
        <v>0</v>
      </c>
      <c r="K143" s="30"/>
      <c r="L143" s="30"/>
      <c r="M143" s="30"/>
      <c r="N143" s="30"/>
      <c r="O143" s="30"/>
      <c r="P143" s="30">
        <f t="shared" si="20"/>
        <v>114457</v>
      </c>
      <c r="Q143" s="120"/>
    </row>
    <row r="144" spans="1:17" s="20" customFormat="1" ht="21.75" customHeight="1">
      <c r="A144" s="18"/>
      <c r="B144" s="21" t="s">
        <v>105</v>
      </c>
      <c r="C144" s="21" t="s">
        <v>138</v>
      </c>
      <c r="D144" s="22" t="s">
        <v>106</v>
      </c>
      <c r="E144" s="30">
        <f t="shared" si="19"/>
        <v>1481942</v>
      </c>
      <c r="F144" s="30">
        <f>1424500-209500+19000+33000+195000+7000+5000+2842+5100</f>
        <v>1481942</v>
      </c>
      <c r="G144" s="30">
        <f>826600-77400+145000+4200</f>
        <v>898400</v>
      </c>
      <c r="H144" s="30">
        <f>127230+2114+555</f>
        <v>129899</v>
      </c>
      <c r="I144" s="30"/>
      <c r="J144" s="30">
        <f t="shared" si="18"/>
        <v>243500</v>
      </c>
      <c r="K144" s="30"/>
      <c r="L144" s="30"/>
      <c r="M144" s="30"/>
      <c r="N144" s="30">
        <f>200000+43500</f>
        <v>243500</v>
      </c>
      <c r="O144" s="30">
        <f>200000+43500</f>
        <v>243500</v>
      </c>
      <c r="P144" s="30">
        <f t="shared" si="20"/>
        <v>1725442</v>
      </c>
      <c r="Q144" s="120"/>
    </row>
    <row r="145" spans="1:17" s="20" customFormat="1" ht="26.25" customHeight="1">
      <c r="A145" s="18"/>
      <c r="B145" s="21" t="s">
        <v>260</v>
      </c>
      <c r="C145" s="21" t="s">
        <v>166</v>
      </c>
      <c r="D145" s="22" t="s">
        <v>261</v>
      </c>
      <c r="E145" s="30">
        <f t="shared" si="19"/>
        <v>42037897</v>
      </c>
      <c r="F145" s="30">
        <f>43245500-806000-401603</f>
        <v>42037897</v>
      </c>
      <c r="G145" s="30"/>
      <c r="H145" s="30"/>
      <c r="I145" s="30"/>
      <c r="J145" s="30">
        <f t="shared" si="18"/>
        <v>0</v>
      </c>
      <c r="K145" s="30"/>
      <c r="L145" s="30"/>
      <c r="M145" s="30"/>
      <c r="N145" s="30"/>
      <c r="O145" s="30"/>
      <c r="P145" s="30">
        <f t="shared" si="20"/>
        <v>42037897</v>
      </c>
      <c r="Q145" s="120"/>
    </row>
    <row r="146" spans="1:17" s="20" customFormat="1" ht="21.75" customHeight="1">
      <c r="A146" s="18"/>
      <c r="B146" s="21"/>
      <c r="C146" s="21"/>
      <c r="D146" s="22" t="s">
        <v>262</v>
      </c>
      <c r="E146" s="30">
        <f t="shared" si="19"/>
        <v>42037897</v>
      </c>
      <c r="F146" s="30">
        <f>43245500-806000-401603</f>
        <v>42037897</v>
      </c>
      <c r="G146" s="30"/>
      <c r="H146" s="30"/>
      <c r="I146" s="30"/>
      <c r="J146" s="30">
        <f t="shared" si="18"/>
        <v>0</v>
      </c>
      <c r="K146" s="30"/>
      <c r="L146" s="30"/>
      <c r="M146" s="30"/>
      <c r="N146" s="30"/>
      <c r="O146" s="30"/>
      <c r="P146" s="30">
        <f t="shared" si="20"/>
        <v>42037897</v>
      </c>
      <c r="Q146" s="120"/>
    </row>
    <row r="147" spans="1:17" s="20" customFormat="1" ht="45" customHeight="1">
      <c r="A147" s="18"/>
      <c r="B147" s="21" t="s">
        <v>256</v>
      </c>
      <c r="C147" s="21" t="s">
        <v>166</v>
      </c>
      <c r="D147" s="22" t="s">
        <v>257</v>
      </c>
      <c r="E147" s="30">
        <f t="shared" si="19"/>
        <v>162275</v>
      </c>
      <c r="F147" s="30">
        <v>162275</v>
      </c>
      <c r="G147" s="30"/>
      <c r="H147" s="30"/>
      <c r="I147" s="30"/>
      <c r="J147" s="30">
        <f t="shared" si="18"/>
        <v>0</v>
      </c>
      <c r="K147" s="30"/>
      <c r="L147" s="30"/>
      <c r="M147" s="30"/>
      <c r="N147" s="30"/>
      <c r="O147" s="30"/>
      <c r="P147" s="30">
        <f t="shared" si="20"/>
        <v>162275</v>
      </c>
      <c r="Q147" s="120"/>
    </row>
    <row r="148" spans="1:17" s="20" customFormat="1" ht="27" customHeight="1">
      <c r="A148" s="18"/>
      <c r="B148" s="21" t="s">
        <v>258</v>
      </c>
      <c r="C148" s="21" t="s">
        <v>166</v>
      </c>
      <c r="D148" s="22" t="s">
        <v>259</v>
      </c>
      <c r="E148" s="30">
        <f t="shared" si="19"/>
        <v>4800</v>
      </c>
      <c r="F148" s="30">
        <v>4800</v>
      </c>
      <c r="G148" s="30"/>
      <c r="H148" s="30"/>
      <c r="I148" s="30"/>
      <c r="J148" s="30">
        <f t="shared" si="18"/>
        <v>0</v>
      </c>
      <c r="K148" s="30"/>
      <c r="L148" s="30"/>
      <c r="M148" s="30"/>
      <c r="N148" s="30"/>
      <c r="O148" s="30"/>
      <c r="P148" s="30">
        <f t="shared" si="20"/>
        <v>4800</v>
      </c>
      <c r="Q148" s="120"/>
    </row>
    <row r="149" spans="1:17" s="20" customFormat="1" ht="27" customHeight="1">
      <c r="A149" s="18"/>
      <c r="B149" s="21" t="s">
        <v>336</v>
      </c>
      <c r="C149" s="21" t="s">
        <v>164</v>
      </c>
      <c r="D149" s="22" t="s">
        <v>337</v>
      </c>
      <c r="E149" s="30">
        <f t="shared" si="19"/>
        <v>3818057</v>
      </c>
      <c r="F149" s="30">
        <f>3009742+1000000+641017-832702</f>
        <v>3818057</v>
      </c>
      <c r="G149" s="30"/>
      <c r="H149" s="30"/>
      <c r="I149" s="30"/>
      <c r="J149" s="30">
        <f t="shared" si="18"/>
        <v>0</v>
      </c>
      <c r="K149" s="30"/>
      <c r="L149" s="30"/>
      <c r="M149" s="30"/>
      <c r="N149" s="30"/>
      <c r="O149" s="30"/>
      <c r="P149" s="30">
        <f t="shared" si="20"/>
        <v>3818057</v>
      </c>
      <c r="Q149" s="120"/>
    </row>
    <row r="150" spans="1:17" s="20" customFormat="1" ht="45">
      <c r="A150" s="18"/>
      <c r="B150" s="21" t="s">
        <v>107</v>
      </c>
      <c r="C150" s="21" t="s">
        <v>164</v>
      </c>
      <c r="D150" s="22" t="s">
        <v>108</v>
      </c>
      <c r="E150" s="30">
        <f t="shared" si="19"/>
        <v>9687658</v>
      </c>
      <c r="F150" s="30">
        <f>130000+9557658</f>
        <v>9687658</v>
      </c>
      <c r="G150" s="31"/>
      <c r="H150" s="31"/>
      <c r="I150" s="31"/>
      <c r="J150" s="30">
        <f t="shared" si="18"/>
        <v>0</v>
      </c>
      <c r="K150" s="31"/>
      <c r="L150" s="31"/>
      <c r="M150" s="31"/>
      <c r="N150" s="31"/>
      <c r="O150" s="31"/>
      <c r="P150" s="30">
        <f t="shared" si="20"/>
        <v>9687658</v>
      </c>
      <c r="Q150" s="120"/>
    </row>
    <row r="151" spans="1:17" s="20" customFormat="1" ht="15">
      <c r="A151" s="18"/>
      <c r="B151" s="21" t="s">
        <v>135</v>
      </c>
      <c r="C151" s="21" t="s">
        <v>180</v>
      </c>
      <c r="D151" s="22" t="s">
        <v>136</v>
      </c>
      <c r="E151" s="30">
        <f>F151+I151</f>
        <v>1445456</v>
      </c>
      <c r="F151" s="30">
        <f>1160656+1000000-715200</f>
        <v>1445456</v>
      </c>
      <c r="G151" s="31"/>
      <c r="H151" s="31"/>
      <c r="I151" s="31"/>
      <c r="J151" s="30">
        <f t="shared" si="18"/>
        <v>0</v>
      </c>
      <c r="K151" s="31"/>
      <c r="L151" s="31"/>
      <c r="M151" s="31"/>
      <c r="N151" s="31"/>
      <c r="O151" s="31"/>
      <c r="P151" s="30">
        <f>E151+J151</f>
        <v>1445456</v>
      </c>
      <c r="Q151" s="120"/>
    </row>
    <row r="152" spans="1:17" s="20" customFormat="1" ht="28.5">
      <c r="A152" s="18"/>
      <c r="B152" s="25"/>
      <c r="C152" s="25"/>
      <c r="D152" s="26" t="s">
        <v>168</v>
      </c>
      <c r="E152" s="31">
        <f>E153+E154</f>
        <v>1139136</v>
      </c>
      <c r="F152" s="31">
        <f aca="true" t="shared" si="21" ref="F152:P152">F153+F154</f>
        <v>1139136</v>
      </c>
      <c r="G152" s="31">
        <f t="shared" si="21"/>
        <v>809747</v>
      </c>
      <c r="H152" s="31">
        <f t="shared" si="21"/>
        <v>32719</v>
      </c>
      <c r="I152" s="31">
        <f t="shared" si="21"/>
        <v>0</v>
      </c>
      <c r="J152" s="31">
        <f t="shared" si="21"/>
        <v>0</v>
      </c>
      <c r="K152" s="31">
        <f t="shared" si="21"/>
        <v>0</v>
      </c>
      <c r="L152" s="31">
        <f t="shared" si="21"/>
        <v>0</v>
      </c>
      <c r="M152" s="31">
        <f t="shared" si="21"/>
        <v>0</v>
      </c>
      <c r="N152" s="31">
        <f t="shared" si="21"/>
        <v>0</v>
      </c>
      <c r="O152" s="31">
        <f t="shared" si="21"/>
        <v>0</v>
      </c>
      <c r="P152" s="31">
        <f t="shared" si="21"/>
        <v>1139136</v>
      </c>
      <c r="Q152" s="120"/>
    </row>
    <row r="153" spans="1:17" s="20" customFormat="1" ht="22.5" customHeight="1">
      <c r="A153" s="18"/>
      <c r="B153" s="21" t="s">
        <v>11</v>
      </c>
      <c r="C153" s="21" t="s">
        <v>9</v>
      </c>
      <c r="D153" s="22" t="s">
        <v>94</v>
      </c>
      <c r="E153" s="30">
        <f>F153+I153</f>
        <v>1089136</v>
      </c>
      <c r="F153" s="30">
        <f>1121770-144320+40086+18000+31200+6000+16400</f>
        <v>1089136</v>
      </c>
      <c r="G153" s="30">
        <f>782730-32840+32857+25600+13400-12000</f>
        <v>809747</v>
      </c>
      <c r="H153" s="30">
        <v>32719</v>
      </c>
      <c r="I153" s="30"/>
      <c r="J153" s="30">
        <f>K153+N153</f>
        <v>0</v>
      </c>
      <c r="K153" s="30"/>
      <c r="L153" s="30"/>
      <c r="M153" s="30"/>
      <c r="N153" s="30">
        <f>18000-18000</f>
        <v>0</v>
      </c>
      <c r="O153" s="30">
        <f>18000-18000</f>
        <v>0</v>
      </c>
      <c r="P153" s="30">
        <f>E153+J153</f>
        <v>1089136</v>
      </c>
      <c r="Q153" s="120"/>
    </row>
    <row r="154" spans="1:17" s="20" customFormat="1" ht="21.75" customHeight="1">
      <c r="A154" s="18"/>
      <c r="B154" s="21" t="s">
        <v>109</v>
      </c>
      <c r="C154" s="21" t="s">
        <v>139</v>
      </c>
      <c r="D154" s="22" t="s">
        <v>110</v>
      </c>
      <c r="E154" s="30">
        <f>F154+I154</f>
        <v>50000</v>
      </c>
      <c r="F154" s="30">
        <v>50000</v>
      </c>
      <c r="G154" s="31"/>
      <c r="H154" s="31"/>
      <c r="I154" s="31"/>
      <c r="J154" s="30">
        <f>K154+N154</f>
        <v>0</v>
      </c>
      <c r="K154" s="31"/>
      <c r="L154" s="31"/>
      <c r="M154" s="31"/>
      <c r="N154" s="31"/>
      <c r="O154" s="31"/>
      <c r="P154" s="30">
        <f>E154+J154</f>
        <v>50000</v>
      </c>
      <c r="Q154" s="120"/>
    </row>
    <row r="155" spans="1:17" s="20" customFormat="1" ht="28.5">
      <c r="A155" s="18"/>
      <c r="B155" s="25"/>
      <c r="C155" s="25"/>
      <c r="D155" s="26" t="s">
        <v>169</v>
      </c>
      <c r="E155" s="31">
        <f>E156+E157+E158+E159+E160</f>
        <v>30015998</v>
      </c>
      <c r="F155" s="31">
        <f aca="true" t="shared" si="22" ref="F155:P155">F156+F157+F158+F159+F160</f>
        <v>30015998</v>
      </c>
      <c r="G155" s="31">
        <f t="shared" si="22"/>
        <v>21024354</v>
      </c>
      <c r="H155" s="31">
        <f t="shared" si="22"/>
        <v>1776764</v>
      </c>
      <c r="I155" s="31">
        <f t="shared" si="22"/>
        <v>0</v>
      </c>
      <c r="J155" s="31">
        <f t="shared" si="22"/>
        <v>2489920</v>
      </c>
      <c r="K155" s="31">
        <f t="shared" si="22"/>
        <v>1320320</v>
      </c>
      <c r="L155" s="31">
        <f t="shared" si="22"/>
        <v>953732</v>
      </c>
      <c r="M155" s="31">
        <f t="shared" si="22"/>
        <v>0</v>
      </c>
      <c r="N155" s="31">
        <f t="shared" si="22"/>
        <v>1169600</v>
      </c>
      <c r="O155" s="31">
        <f t="shared" si="22"/>
        <v>1165000</v>
      </c>
      <c r="P155" s="31">
        <f t="shared" si="22"/>
        <v>32505918</v>
      </c>
      <c r="Q155" s="120" t="s">
        <v>369</v>
      </c>
    </row>
    <row r="156" spans="1:17" s="20" customFormat="1" ht="18" customHeight="1">
      <c r="A156" s="18"/>
      <c r="B156" s="21" t="s">
        <v>11</v>
      </c>
      <c r="C156" s="21" t="s">
        <v>9</v>
      </c>
      <c r="D156" s="22" t="s">
        <v>94</v>
      </c>
      <c r="E156" s="30">
        <f>F156+I156</f>
        <v>507981</v>
      </c>
      <c r="F156" s="30">
        <f>514810-66130+41301+11300+6700</f>
        <v>507981</v>
      </c>
      <c r="G156" s="30">
        <f>324590-16160+33853+9300+5500</f>
        <v>357083</v>
      </c>
      <c r="H156" s="30">
        <v>13469</v>
      </c>
      <c r="I156" s="30"/>
      <c r="J156" s="30">
        <f>K156+N156</f>
        <v>20000</v>
      </c>
      <c r="K156" s="30"/>
      <c r="L156" s="30"/>
      <c r="M156" s="30"/>
      <c r="N156" s="30">
        <v>20000</v>
      </c>
      <c r="O156" s="30">
        <v>20000</v>
      </c>
      <c r="P156" s="30">
        <f>E156+J156</f>
        <v>527981</v>
      </c>
      <c r="Q156" s="120"/>
    </row>
    <row r="157" spans="1:17" s="20" customFormat="1" ht="30" customHeight="1">
      <c r="A157" s="18"/>
      <c r="B157" s="21" t="s">
        <v>111</v>
      </c>
      <c r="C157" s="21" t="s">
        <v>170</v>
      </c>
      <c r="D157" s="22" t="s">
        <v>112</v>
      </c>
      <c r="E157" s="30">
        <f>F157+I157</f>
        <v>1240000</v>
      </c>
      <c r="F157" s="30">
        <f>1000000+30000+45000+70000+95000</f>
        <v>1240000</v>
      </c>
      <c r="G157" s="30"/>
      <c r="H157" s="30"/>
      <c r="I157" s="30"/>
      <c r="J157" s="30">
        <f>K157+N157</f>
        <v>0</v>
      </c>
      <c r="K157" s="31"/>
      <c r="L157" s="31"/>
      <c r="M157" s="31"/>
      <c r="N157" s="31"/>
      <c r="O157" s="31"/>
      <c r="P157" s="30">
        <f>E157+J157</f>
        <v>1240000</v>
      </c>
      <c r="Q157" s="120"/>
    </row>
    <row r="158" spans="1:17" s="20" customFormat="1" ht="23.25" customHeight="1">
      <c r="A158" s="18"/>
      <c r="B158" s="21" t="s">
        <v>113</v>
      </c>
      <c r="C158" s="21" t="s">
        <v>171</v>
      </c>
      <c r="D158" s="22" t="s">
        <v>114</v>
      </c>
      <c r="E158" s="30">
        <f>F158+I158</f>
        <v>10529452</v>
      </c>
      <c r="F158" s="30">
        <f>11452250-1111519+50000+30000+3900+33800+8500+17021+30000+5500+10000</f>
        <v>10529452</v>
      </c>
      <c r="G158" s="30">
        <f>7153760-76280+13952-32880</f>
        <v>7058552</v>
      </c>
      <c r="H158" s="30">
        <v>1039633</v>
      </c>
      <c r="I158" s="30"/>
      <c r="J158" s="30">
        <f>K158+N158</f>
        <v>705500</v>
      </c>
      <c r="K158" s="30">
        <v>21000</v>
      </c>
      <c r="L158" s="30">
        <v>5000</v>
      </c>
      <c r="M158" s="31"/>
      <c r="N158" s="30">
        <f>534500+20000+95000+8500+20000+10000-8500+5000</f>
        <v>684500</v>
      </c>
      <c r="O158" s="30">
        <f>534500+20000+95000+8500+20000+10000-8500+5000</f>
        <v>684500</v>
      </c>
      <c r="P158" s="30">
        <f>E158+J158</f>
        <v>11234952</v>
      </c>
      <c r="Q158" s="120"/>
    </row>
    <row r="159" spans="1:17" s="20" customFormat="1" ht="21.75" customHeight="1">
      <c r="A159" s="18"/>
      <c r="B159" s="21" t="s">
        <v>115</v>
      </c>
      <c r="C159" s="21" t="s">
        <v>154</v>
      </c>
      <c r="D159" s="22" t="s">
        <v>116</v>
      </c>
      <c r="E159" s="30">
        <f>F159+I159</f>
        <v>16979240</v>
      </c>
      <c r="F159" s="30">
        <f>18381740-1481664+16000+3000+33000+18000-20000+14164+5000+10000</f>
        <v>16979240</v>
      </c>
      <c r="G159" s="30">
        <f>12769020+299020+11610</f>
        <v>13079650</v>
      </c>
      <c r="H159" s="30">
        <v>702306</v>
      </c>
      <c r="I159" s="30"/>
      <c r="J159" s="30">
        <f>K159+N159</f>
        <v>1741420</v>
      </c>
      <c r="K159" s="30">
        <v>1299320</v>
      </c>
      <c r="L159" s="30">
        <v>948732</v>
      </c>
      <c r="M159" s="30"/>
      <c r="N159" s="30">
        <f>4600+435500-18000+20000</f>
        <v>442100</v>
      </c>
      <c r="O159" s="30">
        <f>435500-18000+20000</f>
        <v>437500</v>
      </c>
      <c r="P159" s="30">
        <f>E159+J159</f>
        <v>18720660</v>
      </c>
      <c r="Q159" s="120"/>
    </row>
    <row r="160" spans="1:17" s="20" customFormat="1" ht="21.75" customHeight="1">
      <c r="A160" s="18"/>
      <c r="B160" s="21" t="s">
        <v>31</v>
      </c>
      <c r="C160" s="21" t="s">
        <v>141</v>
      </c>
      <c r="D160" s="22" t="s">
        <v>32</v>
      </c>
      <c r="E160" s="30">
        <f>F160+I160</f>
        <v>759325</v>
      </c>
      <c r="F160" s="30">
        <f>967780-215588+7000+133</f>
        <v>759325</v>
      </c>
      <c r="G160" s="30">
        <f>631635-102675+109</f>
        <v>529069</v>
      </c>
      <c r="H160" s="30">
        <v>21356</v>
      </c>
      <c r="I160" s="30"/>
      <c r="J160" s="30">
        <f>K160+N160</f>
        <v>23000</v>
      </c>
      <c r="K160" s="31"/>
      <c r="L160" s="31"/>
      <c r="M160" s="31"/>
      <c r="N160" s="30">
        <f>30000-7000</f>
        <v>23000</v>
      </c>
      <c r="O160" s="30">
        <f>30000-7000</f>
        <v>23000</v>
      </c>
      <c r="P160" s="30">
        <f>E160+J160</f>
        <v>782325</v>
      </c>
      <c r="Q160" s="120"/>
    </row>
    <row r="161" spans="1:17" s="20" customFormat="1" ht="28.5">
      <c r="A161" s="18"/>
      <c r="B161" s="25"/>
      <c r="C161" s="25"/>
      <c r="D161" s="26" t="s">
        <v>172</v>
      </c>
      <c r="E161" s="31">
        <f>E163+E165+E166+E167+E168+E169+E170+E174+E175+E176+E177+E178+E179+E180+E181+E182+E183+E184+E164+E171+E172</f>
        <v>47108807.059999995</v>
      </c>
      <c r="F161" s="31">
        <f aca="true" t="shared" si="23" ref="F161:P161">F163+F165+F166+F167+F168+F169+F170+F174+F175+F176+F177+F178+F179+F180+F181+F182+F183+F184+F164+F171+F172</f>
        <v>21274188.59</v>
      </c>
      <c r="G161" s="31">
        <f t="shared" si="23"/>
        <v>2817328.42</v>
      </c>
      <c r="H161" s="31">
        <f t="shared" si="23"/>
        <v>9896375</v>
      </c>
      <c r="I161" s="31">
        <f t="shared" si="23"/>
        <v>25834618.47</v>
      </c>
      <c r="J161" s="31">
        <f t="shared" si="23"/>
        <v>136150808.69</v>
      </c>
      <c r="K161" s="31">
        <f t="shared" si="23"/>
        <v>1191544</v>
      </c>
      <c r="L161" s="31">
        <f t="shared" si="23"/>
        <v>0</v>
      </c>
      <c r="M161" s="31">
        <f t="shared" si="23"/>
        <v>0</v>
      </c>
      <c r="N161" s="31">
        <f t="shared" si="23"/>
        <v>134959264.69</v>
      </c>
      <c r="O161" s="31">
        <f t="shared" si="23"/>
        <v>130065797.37</v>
      </c>
      <c r="P161" s="31">
        <f t="shared" si="23"/>
        <v>183259615.75</v>
      </c>
      <c r="Q161" s="120"/>
    </row>
    <row r="162" spans="1:17" s="20" customFormat="1" ht="15">
      <c r="A162" s="18"/>
      <c r="B162" s="25"/>
      <c r="C162" s="25"/>
      <c r="D162" s="22" t="s">
        <v>262</v>
      </c>
      <c r="E162" s="31">
        <f>E173</f>
        <v>0</v>
      </c>
      <c r="F162" s="31">
        <f aca="true" t="shared" si="24" ref="F162:P162">F173</f>
        <v>0</v>
      </c>
      <c r="G162" s="31">
        <f t="shared" si="24"/>
        <v>0</v>
      </c>
      <c r="H162" s="31">
        <f t="shared" si="24"/>
        <v>0</v>
      </c>
      <c r="I162" s="31">
        <f t="shared" si="24"/>
        <v>0</v>
      </c>
      <c r="J162" s="31">
        <f t="shared" si="24"/>
        <v>2300000</v>
      </c>
      <c r="K162" s="31">
        <f t="shared" si="24"/>
        <v>0</v>
      </c>
      <c r="L162" s="31">
        <f t="shared" si="24"/>
        <v>0</v>
      </c>
      <c r="M162" s="31">
        <f t="shared" si="24"/>
        <v>0</v>
      </c>
      <c r="N162" s="31">
        <f t="shared" si="24"/>
        <v>2300000</v>
      </c>
      <c r="O162" s="31">
        <f t="shared" si="24"/>
        <v>2300000</v>
      </c>
      <c r="P162" s="31">
        <f t="shared" si="24"/>
        <v>2300000</v>
      </c>
      <c r="Q162" s="120"/>
    </row>
    <row r="163" spans="1:17" s="20" customFormat="1" ht="15">
      <c r="A163" s="18"/>
      <c r="B163" s="21" t="s">
        <v>11</v>
      </c>
      <c r="C163" s="21" t="s">
        <v>9</v>
      </c>
      <c r="D163" s="22" t="s">
        <v>94</v>
      </c>
      <c r="E163" s="30">
        <f>F163+I163</f>
        <v>3846789</v>
      </c>
      <c r="F163" s="30">
        <f>3961890-402720+2500+9255+89813+8189-158571+99700+49608+135225+51900</f>
        <v>3846789</v>
      </c>
      <c r="G163" s="30">
        <f>2675410-22930+59940-129976+81700+105791+42600</f>
        <v>2812535</v>
      </c>
      <c r="H163" s="30">
        <v>118075</v>
      </c>
      <c r="I163" s="30"/>
      <c r="J163" s="30">
        <f>K163+N163</f>
        <v>48000</v>
      </c>
      <c r="K163" s="30"/>
      <c r="L163" s="30"/>
      <c r="M163" s="30"/>
      <c r="N163" s="30">
        <f>30000+18000</f>
        <v>48000</v>
      </c>
      <c r="O163" s="30">
        <f>30000+18000</f>
        <v>48000</v>
      </c>
      <c r="P163" s="30">
        <f>E163+J163</f>
        <v>3894789</v>
      </c>
      <c r="Q163" s="120"/>
    </row>
    <row r="164" spans="1:17" s="20" customFormat="1" ht="30">
      <c r="A164" s="18"/>
      <c r="B164" s="21" t="s">
        <v>207</v>
      </c>
      <c r="C164" s="21" t="s">
        <v>208</v>
      </c>
      <c r="D164" s="22" t="s">
        <v>209</v>
      </c>
      <c r="E164" s="30">
        <f>F164+I164</f>
        <v>355847.97</v>
      </c>
      <c r="F164" s="30">
        <f>350000+5847.97</f>
        <v>355847.97</v>
      </c>
      <c r="G164" s="30">
        <v>4793.42</v>
      </c>
      <c r="H164" s="30"/>
      <c r="I164" s="30"/>
      <c r="J164" s="30">
        <f>K164+N164</f>
        <v>0</v>
      </c>
      <c r="K164" s="30"/>
      <c r="L164" s="30"/>
      <c r="M164" s="30"/>
      <c r="N164" s="30"/>
      <c r="O164" s="30"/>
      <c r="P164" s="30">
        <f>E164+J164</f>
        <v>355847.97</v>
      </c>
      <c r="Q164" s="120"/>
    </row>
    <row r="165" spans="1:17" s="20" customFormat="1" ht="15">
      <c r="A165" s="18"/>
      <c r="B165" s="21" t="s">
        <v>248</v>
      </c>
      <c r="C165" s="21" t="s">
        <v>173</v>
      </c>
      <c r="D165" s="22" t="s">
        <v>249</v>
      </c>
      <c r="E165" s="30">
        <f aca="true" t="shared" si="25" ref="E165:E184">F165+I165</f>
        <v>1680000</v>
      </c>
      <c r="F165" s="30">
        <f>180000+1500000+14880-14880</f>
        <v>1680000</v>
      </c>
      <c r="G165" s="30"/>
      <c r="H165" s="30"/>
      <c r="I165" s="30"/>
      <c r="J165" s="30">
        <f aca="true" t="shared" si="26" ref="J165:J184">K165+N165</f>
        <v>0</v>
      </c>
      <c r="K165" s="30"/>
      <c r="L165" s="30"/>
      <c r="M165" s="30"/>
      <c r="N165" s="30"/>
      <c r="O165" s="30"/>
      <c r="P165" s="30">
        <f aca="true" t="shared" si="27" ref="P165:P184">E165+J165</f>
        <v>1680000</v>
      </c>
      <c r="Q165" s="120"/>
    </row>
    <row r="166" spans="1:17" s="20" customFormat="1" ht="36" customHeight="1">
      <c r="A166" s="18"/>
      <c r="B166" s="21" t="s">
        <v>117</v>
      </c>
      <c r="C166" s="21" t="s">
        <v>173</v>
      </c>
      <c r="D166" s="22" t="s">
        <v>118</v>
      </c>
      <c r="E166" s="30">
        <f t="shared" si="25"/>
        <v>585000</v>
      </c>
      <c r="F166" s="30">
        <f>195000+195000+195000</f>
        <v>585000</v>
      </c>
      <c r="G166" s="31"/>
      <c r="H166" s="31"/>
      <c r="I166" s="31"/>
      <c r="J166" s="30">
        <f t="shared" si="26"/>
        <v>63715444.14</v>
      </c>
      <c r="K166" s="31"/>
      <c r="L166" s="31"/>
      <c r="M166" s="31"/>
      <c r="N166" s="30">
        <f>30000000+6285.14-100000+250000+8000000-1000000+11000000+3000000+81197+34241+43208+1500000+1902000+170702+146800+2000000+80000+2000000+201011+3000000-100000+1500000</f>
        <v>63715444.14</v>
      </c>
      <c r="O166" s="30">
        <f>30000000+6285.14-100000+250000+8000000-1000000+11000000+3000000+81197+34241+43208+1500000+1902000+170702+146800+2000000+80000+2000000+201011+3000000-100000+1500000</f>
        <v>63715444.14</v>
      </c>
      <c r="P166" s="30">
        <f t="shared" si="27"/>
        <v>64300444.14</v>
      </c>
      <c r="Q166" s="120"/>
    </row>
    <row r="167" spans="1:17" s="20" customFormat="1" ht="45.75" customHeight="1">
      <c r="A167" s="18"/>
      <c r="B167" s="21" t="s">
        <v>119</v>
      </c>
      <c r="C167" s="21" t="s">
        <v>173</v>
      </c>
      <c r="D167" s="22" t="s">
        <v>120</v>
      </c>
      <c r="E167" s="30">
        <f t="shared" si="25"/>
        <v>0</v>
      </c>
      <c r="F167" s="31"/>
      <c r="G167" s="31"/>
      <c r="H167" s="31"/>
      <c r="I167" s="31"/>
      <c r="J167" s="30">
        <f t="shared" si="26"/>
        <v>7000000</v>
      </c>
      <c r="K167" s="30"/>
      <c r="L167" s="30"/>
      <c r="M167" s="30"/>
      <c r="N167" s="30">
        <f>2000000+1000000+3000000+1000000</f>
        <v>7000000</v>
      </c>
      <c r="O167" s="30">
        <f>2000000+1000000+3000000+1000000</f>
        <v>7000000</v>
      </c>
      <c r="P167" s="30">
        <f t="shared" si="27"/>
        <v>7000000</v>
      </c>
      <c r="Q167" s="120"/>
    </row>
    <row r="168" spans="1:17" s="20" customFormat="1" ht="28.5" customHeight="1">
      <c r="A168" s="18"/>
      <c r="B168" s="21" t="s">
        <v>121</v>
      </c>
      <c r="C168" s="21" t="s">
        <v>140</v>
      </c>
      <c r="D168" s="22" t="s">
        <v>122</v>
      </c>
      <c r="E168" s="30">
        <f t="shared" si="25"/>
        <v>6231711</v>
      </c>
      <c r="F168" s="30"/>
      <c r="G168" s="31"/>
      <c r="H168" s="31"/>
      <c r="I168" s="30">
        <f>1825100+120003+350000+150000+2729000+1057608</f>
        <v>6231711</v>
      </c>
      <c r="J168" s="30">
        <f t="shared" si="26"/>
        <v>4642909</v>
      </c>
      <c r="K168" s="31"/>
      <c r="L168" s="31"/>
      <c r="M168" s="31"/>
      <c r="N168" s="30">
        <f>1499312+1630100+300790+664532+174600+200666+172909</f>
        <v>4642909</v>
      </c>
      <c r="O168" s="30">
        <f>1499312+1630100+300790+664532+174600+200666+172909</f>
        <v>4642909</v>
      </c>
      <c r="P168" s="30">
        <f t="shared" si="27"/>
        <v>10874620</v>
      </c>
      <c r="Q168" s="120"/>
    </row>
    <row r="169" spans="1:17" s="20" customFormat="1" ht="21" customHeight="1">
      <c r="A169" s="18"/>
      <c r="B169" s="21" t="s">
        <v>29</v>
      </c>
      <c r="C169" s="21" t="s">
        <v>140</v>
      </c>
      <c r="D169" s="22" t="s">
        <v>30</v>
      </c>
      <c r="E169" s="30">
        <f t="shared" si="25"/>
        <v>29666107.8</v>
      </c>
      <c r="F169" s="30">
        <f>9272300+200000-224000+3000000-9255-365036-1747.2-663250-130000-392229-483368.8+200000-282375+26000-11719-184201.18-419848-121017+20000+30000-141277-6200-125209.4+17600-354993.77-5697-154854-5000-49608-193340-6000+48700-70500+2500+2600000-23110-27000-30000-21976.03</f>
        <v>10914288.620000001</v>
      </c>
      <c r="G169" s="30"/>
      <c r="H169" s="30">
        <f>4106300+3000000+2600000</f>
        <v>9706300</v>
      </c>
      <c r="I169" s="30">
        <f>15845612+50000+1700000-350000+130000+128000+184201.18+250000-30000+49955+200000+15407+100000+100000+20000+27000+131644+200000</f>
        <v>18751819.18</v>
      </c>
      <c r="J169" s="30">
        <f t="shared" si="26"/>
        <v>20131990.23</v>
      </c>
      <c r="K169" s="30"/>
      <c r="L169" s="30"/>
      <c r="M169" s="30"/>
      <c r="N169" s="30">
        <f>16250000+6500000-731714+1747.2-461123-287161-248820+25000-234505+11719-245322-20000+121017-55500+6200+200000-238002+5697-146800-49000-115000+755000-317234-206011-231972-20000-41000-30000+30000+76098-41000-22323.97-108000</f>
        <v>20131990.23</v>
      </c>
      <c r="O169" s="30">
        <f>16250000+6500000-731714+1747.2-461123-287161-248820+25000-234505+11719-245322-20000+121017-55500+6200+200000-238002+5697-146800-49000-115000+755000-317234-206011-231972-20000-41000-30000+30000+76098-41000-22323.97-108000</f>
        <v>20131990.23</v>
      </c>
      <c r="P169" s="30">
        <f t="shared" si="27"/>
        <v>49798098.03</v>
      </c>
      <c r="Q169" s="120"/>
    </row>
    <row r="170" spans="1:17" s="20" customFormat="1" ht="45">
      <c r="A170" s="18"/>
      <c r="B170" s="21" t="s">
        <v>309</v>
      </c>
      <c r="C170" s="21" t="s">
        <v>140</v>
      </c>
      <c r="D170" s="22" t="s">
        <v>310</v>
      </c>
      <c r="E170" s="30">
        <f t="shared" si="25"/>
        <v>0</v>
      </c>
      <c r="F170" s="30"/>
      <c r="G170" s="30"/>
      <c r="H170" s="30"/>
      <c r="I170" s="30"/>
      <c r="J170" s="30">
        <f t="shared" si="26"/>
        <v>845938</v>
      </c>
      <c r="K170" s="30"/>
      <c r="L170" s="30"/>
      <c r="M170" s="30"/>
      <c r="N170" s="30">
        <v>845938</v>
      </c>
      <c r="O170" s="30">
        <v>845938</v>
      </c>
      <c r="P170" s="30">
        <f t="shared" si="27"/>
        <v>845938</v>
      </c>
      <c r="Q170" s="120"/>
    </row>
    <row r="171" spans="1:17" s="20" customFormat="1" ht="60">
      <c r="A171" s="18"/>
      <c r="B171" s="21" t="s">
        <v>323</v>
      </c>
      <c r="C171" s="21" t="s">
        <v>140</v>
      </c>
      <c r="D171" s="22" t="s">
        <v>324</v>
      </c>
      <c r="E171" s="30">
        <f t="shared" si="25"/>
        <v>296718.29</v>
      </c>
      <c r="F171" s="30"/>
      <c r="G171" s="30"/>
      <c r="H171" s="30"/>
      <c r="I171" s="30">
        <f>100000+121332+30000+45386.29</f>
        <v>296718.29</v>
      </c>
      <c r="J171" s="30">
        <f t="shared" si="26"/>
        <v>0</v>
      </c>
      <c r="K171" s="30"/>
      <c r="L171" s="30"/>
      <c r="M171" s="30"/>
      <c r="N171" s="30"/>
      <c r="O171" s="30"/>
      <c r="P171" s="30">
        <f t="shared" si="27"/>
        <v>296718.29</v>
      </c>
      <c r="Q171" s="120"/>
    </row>
    <row r="172" spans="1:17" s="20" customFormat="1" ht="15">
      <c r="A172" s="18"/>
      <c r="B172" s="21" t="s">
        <v>129</v>
      </c>
      <c r="C172" s="21" t="s">
        <v>145</v>
      </c>
      <c r="D172" s="22" t="s">
        <v>130</v>
      </c>
      <c r="E172" s="30">
        <f t="shared" si="25"/>
        <v>0</v>
      </c>
      <c r="F172" s="30"/>
      <c r="G172" s="30"/>
      <c r="H172" s="30"/>
      <c r="I172" s="30"/>
      <c r="J172" s="30">
        <f t="shared" si="26"/>
        <v>4314000</v>
      </c>
      <c r="K172" s="30"/>
      <c r="L172" s="30"/>
      <c r="M172" s="30"/>
      <c r="N172" s="30">
        <f>500000+1473000+41000+2300000</f>
        <v>4314000</v>
      </c>
      <c r="O172" s="30">
        <f>500000+1473000+41000+2300000</f>
        <v>4314000</v>
      </c>
      <c r="P172" s="30">
        <f t="shared" si="27"/>
        <v>4314000</v>
      </c>
      <c r="Q172" s="120"/>
    </row>
    <row r="173" spans="1:17" s="102" customFormat="1" ht="15">
      <c r="A173" s="99"/>
      <c r="B173" s="100"/>
      <c r="C173" s="100"/>
      <c r="D173" s="101" t="s">
        <v>262</v>
      </c>
      <c r="E173" s="30">
        <f>F173+I173</f>
        <v>0</v>
      </c>
      <c r="F173" s="30"/>
      <c r="G173" s="30"/>
      <c r="H173" s="30"/>
      <c r="I173" s="30"/>
      <c r="J173" s="30">
        <f>K173+N173</f>
        <v>2300000</v>
      </c>
      <c r="K173" s="30"/>
      <c r="L173" s="30"/>
      <c r="M173" s="30"/>
      <c r="N173" s="30">
        <v>2300000</v>
      </c>
      <c r="O173" s="30">
        <v>2300000</v>
      </c>
      <c r="P173" s="30">
        <f>E173+J173</f>
        <v>2300000</v>
      </c>
      <c r="Q173" s="120"/>
    </row>
    <row r="174" spans="1:17" s="20" customFormat="1" ht="30">
      <c r="A174" s="18"/>
      <c r="B174" s="21" t="s">
        <v>193</v>
      </c>
      <c r="C174" s="21" t="s">
        <v>195</v>
      </c>
      <c r="D174" s="22" t="s">
        <v>194</v>
      </c>
      <c r="E174" s="30">
        <f t="shared" si="25"/>
        <v>499370</v>
      </c>
      <c r="F174" s="30"/>
      <c r="G174" s="31"/>
      <c r="H174" s="31"/>
      <c r="I174" s="30">
        <f>465000+34370</f>
        <v>499370</v>
      </c>
      <c r="J174" s="30">
        <f t="shared" si="26"/>
        <v>0</v>
      </c>
      <c r="K174" s="30"/>
      <c r="L174" s="31"/>
      <c r="M174" s="31"/>
      <c r="N174" s="30"/>
      <c r="O174" s="30"/>
      <c r="P174" s="30">
        <f t="shared" si="27"/>
        <v>499370</v>
      </c>
      <c r="Q174" s="120"/>
    </row>
    <row r="175" spans="1:17" s="20" customFormat="1" ht="15">
      <c r="A175" s="18"/>
      <c r="B175" s="21" t="s">
        <v>123</v>
      </c>
      <c r="C175" s="21" t="s">
        <v>174</v>
      </c>
      <c r="D175" s="22" t="s">
        <v>124</v>
      </c>
      <c r="E175" s="30">
        <f t="shared" si="25"/>
        <v>180000</v>
      </c>
      <c r="F175" s="30">
        <f>180000+1500000+10851-10851-1500000-14880+14880</f>
        <v>180000</v>
      </c>
      <c r="G175" s="31"/>
      <c r="H175" s="31"/>
      <c r="I175" s="30">
        <f>10851+26971+7564.29-45386.29</f>
        <v>0</v>
      </c>
      <c r="J175" s="30">
        <f t="shared" si="26"/>
        <v>0</v>
      </c>
      <c r="K175" s="30"/>
      <c r="L175" s="31"/>
      <c r="M175" s="31"/>
      <c r="N175" s="30"/>
      <c r="O175" s="30"/>
      <c r="P175" s="30">
        <f t="shared" si="27"/>
        <v>180000</v>
      </c>
      <c r="Q175" s="120"/>
    </row>
    <row r="176" spans="1:17" s="20" customFormat="1" ht="24" customHeight="1">
      <c r="A176" s="18"/>
      <c r="B176" s="21" t="s">
        <v>125</v>
      </c>
      <c r="C176" s="21" t="s">
        <v>175</v>
      </c>
      <c r="D176" s="22" t="s">
        <v>126</v>
      </c>
      <c r="E176" s="30">
        <f t="shared" si="25"/>
        <v>1090000</v>
      </c>
      <c r="F176" s="30">
        <f>530000+500000-30000-25000+60000</f>
        <v>1035000</v>
      </c>
      <c r="G176" s="31"/>
      <c r="H176" s="31"/>
      <c r="I176" s="30">
        <f>30000+25000</f>
        <v>55000</v>
      </c>
      <c r="J176" s="30">
        <f t="shared" si="26"/>
        <v>0</v>
      </c>
      <c r="K176" s="31"/>
      <c r="L176" s="31"/>
      <c r="M176" s="31"/>
      <c r="N176" s="31"/>
      <c r="O176" s="31"/>
      <c r="P176" s="30">
        <f t="shared" si="27"/>
        <v>1090000</v>
      </c>
      <c r="Q176" s="120"/>
    </row>
    <row r="177" spans="1:17" s="20" customFormat="1" ht="57.75" customHeight="1">
      <c r="A177" s="18"/>
      <c r="B177" s="21" t="s">
        <v>48</v>
      </c>
      <c r="C177" s="21" t="s">
        <v>145</v>
      </c>
      <c r="D177" s="22" t="s">
        <v>49</v>
      </c>
      <c r="E177" s="30">
        <f t="shared" si="25"/>
        <v>0</v>
      </c>
      <c r="F177" s="30"/>
      <c r="G177" s="31"/>
      <c r="H177" s="31"/>
      <c r="I177" s="31"/>
      <c r="J177" s="30">
        <f t="shared" si="26"/>
        <v>28617016</v>
      </c>
      <c r="K177" s="31"/>
      <c r="L177" s="31"/>
      <c r="M177" s="31"/>
      <c r="N177" s="30">
        <f>12363400+2550000+4260750+319200+14159+292000+4969900+1470000+1907607+470000</f>
        <v>28617016</v>
      </c>
      <c r="O177" s="30">
        <f>12363400+2550000+4260750+319200+14159+292000+4969900+1470000+1907607+470000</f>
        <v>28617016</v>
      </c>
      <c r="P177" s="30">
        <f t="shared" si="27"/>
        <v>28617016</v>
      </c>
      <c r="Q177" s="120"/>
    </row>
    <row r="178" spans="1:17" s="20" customFormat="1" ht="15" customHeight="1">
      <c r="A178" s="18"/>
      <c r="B178" s="21" t="s">
        <v>196</v>
      </c>
      <c r="C178" s="21" t="s">
        <v>156</v>
      </c>
      <c r="D178" s="22" t="s">
        <v>81</v>
      </c>
      <c r="E178" s="30">
        <f t="shared" si="25"/>
        <v>158800</v>
      </c>
      <c r="F178" s="30">
        <f>410000-251200</f>
        <v>158800</v>
      </c>
      <c r="G178" s="31"/>
      <c r="H178" s="31"/>
      <c r="I178" s="31"/>
      <c r="J178" s="30">
        <f t="shared" si="26"/>
        <v>0</v>
      </c>
      <c r="K178" s="31"/>
      <c r="L178" s="31"/>
      <c r="M178" s="31"/>
      <c r="N178" s="30"/>
      <c r="O178" s="30"/>
      <c r="P178" s="30">
        <f t="shared" si="27"/>
        <v>158800</v>
      </c>
      <c r="Q178" s="120"/>
    </row>
    <row r="179" spans="1:17" s="20" customFormat="1" ht="36" customHeight="1">
      <c r="A179" s="18"/>
      <c r="B179" s="21" t="s">
        <v>127</v>
      </c>
      <c r="C179" s="21" t="s">
        <v>176</v>
      </c>
      <c r="D179" s="22" t="s">
        <v>128</v>
      </c>
      <c r="E179" s="30">
        <f t="shared" si="25"/>
        <v>0</v>
      </c>
      <c r="F179" s="30"/>
      <c r="G179" s="30"/>
      <c r="H179" s="30"/>
      <c r="I179" s="30"/>
      <c r="J179" s="30">
        <f t="shared" si="26"/>
        <v>5346082</v>
      </c>
      <c r="K179" s="30">
        <f>350000+120000+145344</f>
        <v>615344</v>
      </c>
      <c r="L179" s="30"/>
      <c r="M179" s="30"/>
      <c r="N179" s="30">
        <f>54000+1184200+3492538</f>
        <v>4730738</v>
      </c>
      <c r="O179" s="30"/>
      <c r="P179" s="30">
        <f t="shared" si="27"/>
        <v>5346082</v>
      </c>
      <c r="Q179" s="120"/>
    </row>
    <row r="180" spans="1:17" s="20" customFormat="1" ht="15">
      <c r="A180" s="18"/>
      <c r="B180" s="21" t="s">
        <v>303</v>
      </c>
      <c r="C180" s="21" t="s">
        <v>304</v>
      </c>
      <c r="D180" s="22" t="s">
        <v>305</v>
      </c>
      <c r="E180" s="30">
        <f t="shared" si="25"/>
        <v>0</v>
      </c>
      <c r="F180" s="30"/>
      <c r="G180" s="30"/>
      <c r="H180" s="30"/>
      <c r="I180" s="30"/>
      <c r="J180" s="30">
        <f t="shared" si="26"/>
        <v>250000</v>
      </c>
      <c r="K180" s="30">
        <v>250000</v>
      </c>
      <c r="L180" s="30"/>
      <c r="M180" s="30"/>
      <c r="N180" s="30"/>
      <c r="O180" s="30"/>
      <c r="P180" s="30">
        <f t="shared" si="27"/>
        <v>250000</v>
      </c>
      <c r="Q180" s="120"/>
    </row>
    <row r="181" spans="1:17" s="20" customFormat="1" ht="15">
      <c r="A181" s="18"/>
      <c r="B181" s="21" t="s">
        <v>308</v>
      </c>
      <c r="C181" s="21" t="s">
        <v>156</v>
      </c>
      <c r="D181" s="22" t="s">
        <v>81</v>
      </c>
      <c r="E181" s="30">
        <f t="shared" si="25"/>
        <v>0</v>
      </c>
      <c r="F181" s="30"/>
      <c r="G181" s="30"/>
      <c r="H181" s="30"/>
      <c r="I181" s="30"/>
      <c r="J181" s="30">
        <f t="shared" si="26"/>
        <v>251200</v>
      </c>
      <c r="K181" s="30">
        <v>251200</v>
      </c>
      <c r="L181" s="30"/>
      <c r="M181" s="30"/>
      <c r="N181" s="30"/>
      <c r="O181" s="30"/>
      <c r="P181" s="30">
        <f t="shared" si="27"/>
        <v>251200</v>
      </c>
      <c r="Q181" s="120"/>
    </row>
    <row r="182" spans="1:17" s="20" customFormat="1" ht="70.5" customHeight="1">
      <c r="A182" s="18"/>
      <c r="B182" s="21" t="s">
        <v>56</v>
      </c>
      <c r="C182" s="21" t="s">
        <v>149</v>
      </c>
      <c r="D182" s="22" t="s">
        <v>57</v>
      </c>
      <c r="E182" s="30">
        <f t="shared" si="25"/>
        <v>0</v>
      </c>
      <c r="F182" s="30"/>
      <c r="G182" s="30"/>
      <c r="H182" s="30"/>
      <c r="I182" s="30"/>
      <c r="J182" s="30">
        <f t="shared" si="26"/>
        <v>237729.32</v>
      </c>
      <c r="K182" s="30">
        <v>75000</v>
      </c>
      <c r="L182" s="30"/>
      <c r="M182" s="30"/>
      <c r="N182" s="30">
        <v>162729.32</v>
      </c>
      <c r="O182" s="31"/>
      <c r="P182" s="30">
        <f t="shared" si="27"/>
        <v>237729.32</v>
      </c>
      <c r="Q182" s="120" t="s">
        <v>370</v>
      </c>
    </row>
    <row r="183" spans="1:17" s="20" customFormat="1" ht="15">
      <c r="A183" s="18"/>
      <c r="B183" s="21" t="s">
        <v>135</v>
      </c>
      <c r="C183" s="21" t="s">
        <v>180</v>
      </c>
      <c r="D183" s="29" t="s">
        <v>136</v>
      </c>
      <c r="E183" s="30">
        <f t="shared" si="25"/>
        <v>679500</v>
      </c>
      <c r="F183" s="30">
        <f>229500+450000</f>
        <v>679500</v>
      </c>
      <c r="G183" s="30"/>
      <c r="H183" s="30"/>
      <c r="I183" s="30"/>
      <c r="J183" s="30">
        <f t="shared" si="26"/>
        <v>750500</v>
      </c>
      <c r="K183" s="30"/>
      <c r="L183" s="30"/>
      <c r="M183" s="30"/>
      <c r="N183" s="30">
        <v>750500</v>
      </c>
      <c r="O183" s="30">
        <v>750500</v>
      </c>
      <c r="P183" s="30">
        <f t="shared" si="27"/>
        <v>1430000</v>
      </c>
      <c r="Q183" s="120"/>
    </row>
    <row r="184" spans="1:17" s="20" customFormat="1" ht="15">
      <c r="A184" s="18"/>
      <c r="B184" s="21" t="s">
        <v>58</v>
      </c>
      <c r="C184" s="21" t="s">
        <v>149</v>
      </c>
      <c r="D184" s="22" t="s">
        <v>26</v>
      </c>
      <c r="E184" s="30">
        <f t="shared" si="25"/>
        <v>1838963</v>
      </c>
      <c r="F184" s="30">
        <f>1429000+258120+1920+67223+82700</f>
        <v>1838963</v>
      </c>
      <c r="G184" s="31"/>
      <c r="H184" s="30">
        <v>72000</v>
      </c>
      <c r="I184" s="31"/>
      <c r="J184" s="30">
        <f t="shared" si="26"/>
        <v>0</v>
      </c>
      <c r="K184" s="31"/>
      <c r="L184" s="31"/>
      <c r="M184" s="31"/>
      <c r="N184" s="31"/>
      <c r="O184" s="31"/>
      <c r="P184" s="30">
        <f t="shared" si="27"/>
        <v>1838963</v>
      </c>
      <c r="Q184" s="120"/>
    </row>
    <row r="185" spans="1:17" s="20" customFormat="1" ht="28.5">
      <c r="A185" s="18"/>
      <c r="B185" s="25"/>
      <c r="C185" s="25"/>
      <c r="D185" s="26" t="s">
        <v>177</v>
      </c>
      <c r="E185" s="31">
        <f>E186+E187+E188</f>
        <v>960235.27</v>
      </c>
      <c r="F185" s="31">
        <f aca="true" t="shared" si="28" ref="F185:P185">F186+F187+F188</f>
        <v>960235.27</v>
      </c>
      <c r="G185" s="31">
        <f t="shared" si="28"/>
        <v>556838.78</v>
      </c>
      <c r="H185" s="31">
        <f t="shared" si="28"/>
        <v>75456.83</v>
      </c>
      <c r="I185" s="31">
        <f t="shared" si="28"/>
        <v>0</v>
      </c>
      <c r="J185" s="31">
        <f t="shared" si="28"/>
        <v>0</v>
      </c>
      <c r="K185" s="31">
        <f t="shared" si="28"/>
        <v>0</v>
      </c>
      <c r="L185" s="31">
        <f t="shared" si="28"/>
        <v>0</v>
      </c>
      <c r="M185" s="31">
        <f t="shared" si="28"/>
        <v>0</v>
      </c>
      <c r="N185" s="31">
        <f t="shared" si="28"/>
        <v>0</v>
      </c>
      <c r="O185" s="31">
        <f t="shared" si="28"/>
        <v>0</v>
      </c>
      <c r="P185" s="31">
        <f t="shared" si="28"/>
        <v>960235.27</v>
      </c>
      <c r="Q185" s="120"/>
    </row>
    <row r="186" spans="1:17" s="20" customFormat="1" ht="15">
      <c r="A186" s="18"/>
      <c r="B186" s="21" t="s">
        <v>11</v>
      </c>
      <c r="C186" s="21" t="s">
        <v>9</v>
      </c>
      <c r="D186" s="22" t="s">
        <v>16</v>
      </c>
      <c r="E186" s="30">
        <f>F186+I186</f>
        <v>838146</v>
      </c>
      <c r="F186" s="30">
        <f>2737690-357480-1385520-156544</f>
        <v>838146</v>
      </c>
      <c r="G186" s="30">
        <f>1763030-86370-1008396-111425.22</f>
        <v>556838.78</v>
      </c>
      <c r="H186" s="30">
        <f>154189-67664-11068.17</f>
        <v>75456.83</v>
      </c>
      <c r="I186" s="30"/>
      <c r="J186" s="30">
        <f>K186+N186</f>
        <v>0</v>
      </c>
      <c r="K186" s="30"/>
      <c r="L186" s="30"/>
      <c r="M186" s="30"/>
      <c r="N186" s="30">
        <f>20000-20000</f>
        <v>0</v>
      </c>
      <c r="O186" s="30">
        <f>20000-20000</f>
        <v>0</v>
      </c>
      <c r="P186" s="30">
        <f>E186+J186</f>
        <v>838146</v>
      </c>
      <c r="Q186" s="120"/>
    </row>
    <row r="187" spans="1:17" s="20" customFormat="1" ht="15">
      <c r="A187" s="18"/>
      <c r="B187" s="21" t="s">
        <v>123</v>
      </c>
      <c r="C187" s="21" t="s">
        <v>174</v>
      </c>
      <c r="D187" s="22" t="s">
        <v>124</v>
      </c>
      <c r="E187" s="30">
        <f>F187+I187</f>
        <v>9300</v>
      </c>
      <c r="F187" s="30">
        <f>10500-1200</f>
        <v>9300</v>
      </c>
      <c r="G187" s="31"/>
      <c r="H187" s="31"/>
      <c r="I187" s="31"/>
      <c r="J187" s="30">
        <f>K187+N187</f>
        <v>0</v>
      </c>
      <c r="K187" s="31"/>
      <c r="L187" s="31"/>
      <c r="M187" s="31"/>
      <c r="N187" s="31"/>
      <c r="O187" s="31"/>
      <c r="P187" s="30">
        <f>E187+J187</f>
        <v>9300</v>
      </c>
      <c r="Q187" s="120"/>
    </row>
    <row r="188" spans="1:17" s="20" customFormat="1" ht="15">
      <c r="A188" s="18"/>
      <c r="B188" s="21" t="s">
        <v>58</v>
      </c>
      <c r="C188" s="21" t="s">
        <v>149</v>
      </c>
      <c r="D188" s="22" t="s">
        <v>26</v>
      </c>
      <c r="E188" s="30">
        <f>F188+I188</f>
        <v>112789.26999999999</v>
      </c>
      <c r="F188" s="30">
        <f>360000-247210.73</f>
        <v>112789.26999999999</v>
      </c>
      <c r="G188" s="31"/>
      <c r="H188" s="30"/>
      <c r="I188" s="31"/>
      <c r="J188" s="30">
        <f>K188+N188</f>
        <v>0</v>
      </c>
      <c r="K188" s="31"/>
      <c r="L188" s="31"/>
      <c r="M188" s="31"/>
      <c r="N188" s="31"/>
      <c r="O188" s="31"/>
      <c r="P188" s="30">
        <f>E188+J188</f>
        <v>112789.26999999999</v>
      </c>
      <c r="Q188" s="120"/>
    </row>
    <row r="189" spans="1:17" s="20" customFormat="1" ht="42.75">
      <c r="A189" s="18"/>
      <c r="B189" s="25"/>
      <c r="C189" s="25"/>
      <c r="D189" s="26" t="s">
        <v>328</v>
      </c>
      <c r="E189" s="31">
        <f>E190+E191+E192</f>
        <v>2905512.95</v>
      </c>
      <c r="F189" s="31">
        <f aca="true" t="shared" si="29" ref="F189:P189">F190+F191+F192</f>
        <v>2905512.95</v>
      </c>
      <c r="G189" s="31">
        <f t="shared" si="29"/>
        <v>1840298.93</v>
      </c>
      <c r="H189" s="31">
        <f t="shared" si="29"/>
        <v>109253</v>
      </c>
      <c r="I189" s="31">
        <f t="shared" si="29"/>
        <v>0</v>
      </c>
      <c r="J189" s="31">
        <f t="shared" si="29"/>
        <v>336667</v>
      </c>
      <c r="K189" s="31">
        <f t="shared" si="29"/>
        <v>0</v>
      </c>
      <c r="L189" s="31">
        <f t="shared" si="29"/>
        <v>0</v>
      </c>
      <c r="M189" s="31">
        <f t="shared" si="29"/>
        <v>0</v>
      </c>
      <c r="N189" s="31">
        <f t="shared" si="29"/>
        <v>336667</v>
      </c>
      <c r="O189" s="31">
        <f t="shared" si="29"/>
        <v>336667</v>
      </c>
      <c r="P189" s="31">
        <f t="shared" si="29"/>
        <v>3242179.95</v>
      </c>
      <c r="Q189" s="120"/>
    </row>
    <row r="190" spans="1:17" s="20" customFormat="1" ht="15">
      <c r="A190" s="18"/>
      <c r="B190" s="21" t="s">
        <v>11</v>
      </c>
      <c r="C190" s="21" t="s">
        <v>9</v>
      </c>
      <c r="D190" s="22" t="s">
        <v>16</v>
      </c>
      <c r="E190" s="30">
        <f>F190+I190</f>
        <v>2599302.22</v>
      </c>
      <c r="F190" s="30">
        <f>2416448+21930-95019.78+12611+77250+8083+99500+58500</f>
        <v>2599302.22</v>
      </c>
      <c r="G190" s="30">
        <f>1792184-77885.07+78000+48000</f>
        <v>1840298.93</v>
      </c>
      <c r="H190" s="30">
        <v>109253</v>
      </c>
      <c r="I190" s="30"/>
      <c r="J190" s="30">
        <f>K190+N190</f>
        <v>236667</v>
      </c>
      <c r="K190" s="30"/>
      <c r="L190" s="30"/>
      <c r="M190" s="30"/>
      <c r="N190" s="30">
        <f>240000+100000-18000-77250-8083</f>
        <v>236667</v>
      </c>
      <c r="O190" s="30">
        <f>240000+100000-18000-77250-8083</f>
        <v>236667</v>
      </c>
      <c r="P190" s="30">
        <f>E190+J190</f>
        <v>2835969.22</v>
      </c>
      <c r="Q190" s="120"/>
    </row>
    <row r="191" spans="1:17" s="20" customFormat="1" ht="15">
      <c r="A191" s="18"/>
      <c r="B191" s="21" t="s">
        <v>123</v>
      </c>
      <c r="C191" s="21" t="s">
        <v>174</v>
      </c>
      <c r="D191" s="22" t="s">
        <v>124</v>
      </c>
      <c r="E191" s="30">
        <f>F191+I191</f>
        <v>18000</v>
      </c>
      <c r="F191" s="30">
        <f>1200+16800</f>
        <v>18000</v>
      </c>
      <c r="G191" s="31"/>
      <c r="H191" s="31"/>
      <c r="I191" s="31"/>
      <c r="J191" s="30">
        <f>K191+N191</f>
        <v>100000</v>
      </c>
      <c r="K191" s="31"/>
      <c r="L191" s="31"/>
      <c r="M191" s="31"/>
      <c r="N191" s="30">
        <f>141000-41000</f>
        <v>100000</v>
      </c>
      <c r="O191" s="30">
        <f>141000-41000</f>
        <v>100000</v>
      </c>
      <c r="P191" s="30">
        <f>E191+J191</f>
        <v>118000</v>
      </c>
      <c r="Q191" s="120"/>
    </row>
    <row r="192" spans="1:17" s="20" customFormat="1" ht="15">
      <c r="A192" s="18"/>
      <c r="B192" s="21" t="s">
        <v>58</v>
      </c>
      <c r="C192" s="21" t="s">
        <v>149</v>
      </c>
      <c r="D192" s="22" t="s">
        <v>26</v>
      </c>
      <c r="E192" s="30">
        <f>F192+I192</f>
        <v>288210.73</v>
      </c>
      <c r="F192" s="30">
        <f>247210.73+41000</f>
        <v>288210.73</v>
      </c>
      <c r="G192" s="31"/>
      <c r="H192" s="30"/>
      <c r="I192" s="31"/>
      <c r="J192" s="30">
        <f>K192+N192</f>
        <v>0</v>
      </c>
      <c r="K192" s="31"/>
      <c r="L192" s="31"/>
      <c r="M192" s="31"/>
      <c r="N192" s="30"/>
      <c r="O192" s="30"/>
      <c r="P192" s="30">
        <f>E192+J192</f>
        <v>288210.73</v>
      </c>
      <c r="Q192" s="120"/>
    </row>
    <row r="193" spans="1:17" s="20" customFormat="1" ht="47.25" customHeight="1">
      <c r="A193" s="18"/>
      <c r="B193" s="21"/>
      <c r="C193" s="32"/>
      <c r="D193" s="26" t="s">
        <v>340</v>
      </c>
      <c r="E193" s="31">
        <f>E194</f>
        <v>784033</v>
      </c>
      <c r="F193" s="31">
        <f aca="true" t="shared" si="30" ref="F193:P193">F194</f>
        <v>784033</v>
      </c>
      <c r="G193" s="31">
        <f t="shared" si="30"/>
        <v>486832</v>
      </c>
      <c r="H193" s="31">
        <f t="shared" si="30"/>
        <v>34232</v>
      </c>
      <c r="I193" s="31">
        <f t="shared" si="30"/>
        <v>0</v>
      </c>
      <c r="J193" s="31">
        <f t="shared" si="30"/>
        <v>177897</v>
      </c>
      <c r="K193" s="31">
        <f t="shared" si="30"/>
        <v>0</v>
      </c>
      <c r="L193" s="31">
        <f t="shared" si="30"/>
        <v>0</v>
      </c>
      <c r="M193" s="31">
        <f t="shared" si="30"/>
        <v>0</v>
      </c>
      <c r="N193" s="31">
        <f t="shared" si="30"/>
        <v>177897</v>
      </c>
      <c r="O193" s="31">
        <f t="shared" si="30"/>
        <v>177897</v>
      </c>
      <c r="P193" s="31">
        <f t="shared" si="30"/>
        <v>961930</v>
      </c>
      <c r="Q193" s="120"/>
    </row>
    <row r="194" spans="1:17" s="20" customFormat="1" ht="21" customHeight="1">
      <c r="A194" s="18"/>
      <c r="B194" s="21" t="s">
        <v>11</v>
      </c>
      <c r="C194" s="21" t="s">
        <v>9</v>
      </c>
      <c r="D194" s="22" t="s">
        <v>16</v>
      </c>
      <c r="E194" s="30">
        <f>F194+I194</f>
        <v>784033</v>
      </c>
      <c r="F194" s="30">
        <f>710680-62060+66138+38872+25600+4803</f>
        <v>784033</v>
      </c>
      <c r="G194" s="30">
        <f>433970+31862+21000</f>
        <v>486832</v>
      </c>
      <c r="H194" s="30">
        <v>34232</v>
      </c>
      <c r="I194" s="30"/>
      <c r="J194" s="30">
        <f>K194+N194</f>
        <v>177897</v>
      </c>
      <c r="K194" s="30"/>
      <c r="L194" s="30"/>
      <c r="M194" s="30"/>
      <c r="N194" s="30">
        <f>134100+48600-4803</f>
        <v>177897</v>
      </c>
      <c r="O194" s="30">
        <f>134100+48600-4803</f>
        <v>177897</v>
      </c>
      <c r="P194" s="30">
        <f>E194+J194</f>
        <v>961930</v>
      </c>
      <c r="Q194" s="120"/>
    </row>
    <row r="195" spans="1:17" s="20" customFormat="1" ht="42.75">
      <c r="A195" s="18"/>
      <c r="B195" s="25"/>
      <c r="C195" s="25"/>
      <c r="D195" s="26" t="s">
        <v>178</v>
      </c>
      <c r="E195" s="31">
        <f>E197+E198+E199+E200+E207+E208+E212+E213+E210+E204+E209+E205+E203+E211+E206+E202</f>
        <v>61517774</v>
      </c>
      <c r="F195" s="31">
        <f aca="true" t="shared" si="31" ref="F195:P195">F197+F198+F199+F200+F207+F208+F212+F213+F210+F204+F209+F205+F203+F211+F206+F202</f>
        <v>61317774</v>
      </c>
      <c r="G195" s="31">
        <f t="shared" si="31"/>
        <v>0</v>
      </c>
      <c r="H195" s="31">
        <f t="shared" si="31"/>
        <v>0</v>
      </c>
      <c r="I195" s="31">
        <f t="shared" si="31"/>
        <v>200000</v>
      </c>
      <c r="J195" s="31">
        <f t="shared" si="31"/>
        <v>257408864.18</v>
      </c>
      <c r="K195" s="31">
        <f t="shared" si="31"/>
        <v>2316191.53</v>
      </c>
      <c r="L195" s="31">
        <f t="shared" si="31"/>
        <v>1480170</v>
      </c>
      <c r="M195" s="31">
        <f t="shared" si="31"/>
        <v>56796</v>
      </c>
      <c r="N195" s="31">
        <f t="shared" si="31"/>
        <v>255092672.65</v>
      </c>
      <c r="O195" s="31">
        <f t="shared" si="31"/>
        <v>251324182.94</v>
      </c>
      <c r="P195" s="31">
        <f t="shared" si="31"/>
        <v>318926638.17999995</v>
      </c>
      <c r="Q195" s="120"/>
    </row>
    <row r="196" spans="1:17" s="20" customFormat="1" ht="15">
      <c r="A196" s="18"/>
      <c r="B196" s="25"/>
      <c r="C196" s="25"/>
      <c r="D196" s="22" t="s">
        <v>210</v>
      </c>
      <c r="E196" s="31">
        <f>E201</f>
        <v>0</v>
      </c>
      <c r="F196" s="31">
        <f aca="true" t="shared" si="32" ref="F196:P196">F201</f>
        <v>0</v>
      </c>
      <c r="G196" s="31">
        <f t="shared" si="32"/>
        <v>0</v>
      </c>
      <c r="H196" s="31">
        <f t="shared" si="32"/>
        <v>0</v>
      </c>
      <c r="I196" s="31">
        <f t="shared" si="32"/>
        <v>0</v>
      </c>
      <c r="J196" s="31">
        <f t="shared" si="32"/>
        <v>2194800</v>
      </c>
      <c r="K196" s="31">
        <f t="shared" si="32"/>
        <v>0</v>
      </c>
      <c r="L196" s="31">
        <f t="shared" si="32"/>
        <v>0</v>
      </c>
      <c r="M196" s="31">
        <f t="shared" si="32"/>
        <v>0</v>
      </c>
      <c r="N196" s="31">
        <f t="shared" si="32"/>
        <v>2194800</v>
      </c>
      <c r="O196" s="31">
        <f t="shared" si="32"/>
        <v>2194800</v>
      </c>
      <c r="P196" s="31">
        <f t="shared" si="32"/>
        <v>2194800</v>
      </c>
      <c r="Q196" s="120"/>
    </row>
    <row r="197" spans="1:17" s="20" customFormat="1" ht="15">
      <c r="A197" s="18"/>
      <c r="B197" s="21" t="s">
        <v>11</v>
      </c>
      <c r="C197" s="21" t="s">
        <v>9</v>
      </c>
      <c r="D197" s="22" t="s">
        <v>94</v>
      </c>
      <c r="E197" s="30">
        <f>F197+I197</f>
        <v>0</v>
      </c>
      <c r="F197" s="30"/>
      <c r="G197" s="30"/>
      <c r="H197" s="30"/>
      <c r="I197" s="30"/>
      <c r="J197" s="30">
        <f>K197+N197</f>
        <v>2380664</v>
      </c>
      <c r="K197" s="30">
        <v>2280164</v>
      </c>
      <c r="L197" s="30">
        <f>1413770+42000+24400</f>
        <v>1480170</v>
      </c>
      <c r="M197" s="30">
        <f>50946+5850</f>
        <v>56796</v>
      </c>
      <c r="N197" s="30">
        <v>100500</v>
      </c>
      <c r="O197" s="30"/>
      <c r="P197" s="30">
        <f>E197+J197</f>
        <v>2380664</v>
      </c>
      <c r="Q197" s="120"/>
    </row>
    <row r="198" spans="1:17" s="20" customFormat="1" ht="15">
      <c r="A198" s="18"/>
      <c r="B198" s="21" t="s">
        <v>82</v>
      </c>
      <c r="C198" s="21" t="s">
        <v>158</v>
      </c>
      <c r="D198" s="22" t="s">
        <v>83</v>
      </c>
      <c r="E198" s="30">
        <f aca="true" t="shared" si="33" ref="E198:E213">F198+I198</f>
        <v>0</v>
      </c>
      <c r="F198" s="30"/>
      <c r="G198" s="30"/>
      <c r="H198" s="30"/>
      <c r="I198" s="30"/>
      <c r="J198" s="30">
        <f aca="true" t="shared" si="34" ref="J198:J213">K198+N198</f>
        <v>1724000</v>
      </c>
      <c r="K198" s="30"/>
      <c r="L198" s="30"/>
      <c r="M198" s="30"/>
      <c r="N198" s="30">
        <v>1724000</v>
      </c>
      <c r="O198" s="30">
        <v>1724000</v>
      </c>
      <c r="P198" s="30">
        <f aca="true" t="shared" si="35" ref="P198:P213">E198+J198</f>
        <v>1724000</v>
      </c>
      <c r="Q198" s="120"/>
    </row>
    <row r="199" spans="1:17" s="20" customFormat="1" ht="15">
      <c r="A199" s="18"/>
      <c r="B199" s="21" t="s">
        <v>29</v>
      </c>
      <c r="C199" s="21" t="s">
        <v>140</v>
      </c>
      <c r="D199" s="22" t="s">
        <v>30</v>
      </c>
      <c r="E199" s="30">
        <f t="shared" si="33"/>
        <v>61009848</v>
      </c>
      <c r="F199" s="30">
        <f>30000000+30000000+300000+709848</f>
        <v>61009848</v>
      </c>
      <c r="G199" s="31"/>
      <c r="H199" s="31"/>
      <c r="I199" s="31"/>
      <c r="J199" s="30">
        <f t="shared" si="34"/>
        <v>82217200</v>
      </c>
      <c r="K199" s="31"/>
      <c r="L199" s="31"/>
      <c r="M199" s="31"/>
      <c r="N199" s="30">
        <f>35000000+15974673+277527+20000000+2000000+2000000+2000000+500000+4465000</f>
        <v>82217200</v>
      </c>
      <c r="O199" s="30">
        <f>35000000+15974673+277527+20000000+2000000+2000000+2000000+500000+4465000</f>
        <v>82217200</v>
      </c>
      <c r="P199" s="30">
        <f t="shared" si="35"/>
        <v>143227048</v>
      </c>
      <c r="Q199" s="120"/>
    </row>
    <row r="200" spans="1:17" s="20" customFormat="1" ht="15">
      <c r="A200" s="18"/>
      <c r="B200" s="21" t="s">
        <v>129</v>
      </c>
      <c r="C200" s="21" t="s">
        <v>145</v>
      </c>
      <c r="D200" s="22" t="s">
        <v>130</v>
      </c>
      <c r="E200" s="30">
        <f t="shared" si="33"/>
        <v>0</v>
      </c>
      <c r="F200" s="31"/>
      <c r="G200" s="31"/>
      <c r="H200" s="31"/>
      <c r="I200" s="31"/>
      <c r="J200" s="30">
        <f t="shared" si="34"/>
        <v>148814182.94</v>
      </c>
      <c r="K200" s="30"/>
      <c r="L200" s="30"/>
      <c r="M200" s="30"/>
      <c r="N200" s="30">
        <f>67500000.94+9417041+15082000+19829065.59+8122934.41+2000000+472250+7365000+185923+9210370+1480000+50000+87000-200000+300000+43500+120000+115000+223234+150000+50000+231972+255000+2936000+2194800+220000+7126777-70000-65000-131644+300000-1322041-4465000</f>
        <v>148814182.94</v>
      </c>
      <c r="O200" s="30">
        <f>67500000.94+9417041+15082000+19829065.59+8122934.41+2000000+472250+7365000+185923+9210370+1480000+50000+87000-200000+300000+43500+120000+115000+223234+150000+50000+231972+255000+2936000+2194800+220000+7126777-70000-65000-131644+300000-1322041-4465000</f>
        <v>148814182.94</v>
      </c>
      <c r="P200" s="30">
        <f t="shared" si="35"/>
        <v>148814182.94</v>
      </c>
      <c r="Q200" s="120"/>
    </row>
    <row r="201" spans="1:17" s="20" customFormat="1" ht="15">
      <c r="A201" s="18"/>
      <c r="B201" s="21"/>
      <c r="C201" s="21"/>
      <c r="D201" s="22" t="s">
        <v>210</v>
      </c>
      <c r="E201" s="30">
        <f t="shared" si="33"/>
        <v>0</v>
      </c>
      <c r="F201" s="31"/>
      <c r="G201" s="31"/>
      <c r="H201" s="31"/>
      <c r="I201" s="31"/>
      <c r="J201" s="30">
        <f t="shared" si="34"/>
        <v>2194800</v>
      </c>
      <c r="K201" s="30"/>
      <c r="L201" s="30"/>
      <c r="M201" s="30"/>
      <c r="N201" s="30">
        <v>2194800</v>
      </c>
      <c r="O201" s="30">
        <v>2194800</v>
      </c>
      <c r="P201" s="30">
        <f t="shared" si="35"/>
        <v>2194800</v>
      </c>
      <c r="Q201" s="120"/>
    </row>
    <row r="202" spans="1:17" s="20" customFormat="1" ht="30">
      <c r="A202" s="18"/>
      <c r="B202" s="21" t="s">
        <v>344</v>
      </c>
      <c r="C202" s="21" t="s">
        <v>165</v>
      </c>
      <c r="D202" s="22" t="s">
        <v>345</v>
      </c>
      <c r="E202" s="30">
        <f>F202+I202</f>
        <v>0</v>
      </c>
      <c r="F202" s="31"/>
      <c r="G202" s="31"/>
      <c r="H202" s="31"/>
      <c r="I202" s="31"/>
      <c r="J202" s="30">
        <f>K202+N202</f>
        <v>500000</v>
      </c>
      <c r="K202" s="30"/>
      <c r="L202" s="30"/>
      <c r="M202" s="30"/>
      <c r="N202" s="30">
        <v>500000</v>
      </c>
      <c r="O202" s="30">
        <v>500000</v>
      </c>
      <c r="P202" s="30">
        <f>E202+J202</f>
        <v>500000</v>
      </c>
      <c r="Q202" s="120"/>
    </row>
    <row r="203" spans="1:17" s="20" customFormat="1" ht="28.5" customHeight="1">
      <c r="A203" s="18"/>
      <c r="B203" s="21" t="s">
        <v>338</v>
      </c>
      <c r="C203" s="21" t="s">
        <v>141</v>
      </c>
      <c r="D203" s="22" t="s">
        <v>339</v>
      </c>
      <c r="E203" s="30">
        <f>F203+I203</f>
        <v>0</v>
      </c>
      <c r="F203" s="31"/>
      <c r="G203" s="31"/>
      <c r="H203" s="31"/>
      <c r="I203" s="31"/>
      <c r="J203" s="30">
        <f>K203+N203</f>
        <v>270000</v>
      </c>
      <c r="K203" s="30"/>
      <c r="L203" s="30"/>
      <c r="M203" s="30"/>
      <c r="N203" s="30">
        <f>200000+70000</f>
        <v>270000</v>
      </c>
      <c r="O203" s="30">
        <f>200000+70000</f>
        <v>270000</v>
      </c>
      <c r="P203" s="30">
        <f>E203+J203</f>
        <v>270000</v>
      </c>
      <c r="Q203" s="120"/>
    </row>
    <row r="204" spans="1:17" s="20" customFormat="1" ht="30">
      <c r="A204" s="18"/>
      <c r="B204" s="21" t="s">
        <v>193</v>
      </c>
      <c r="C204" s="21" t="s">
        <v>195</v>
      </c>
      <c r="D204" s="22" t="s">
        <v>194</v>
      </c>
      <c r="E204" s="30">
        <f t="shared" si="33"/>
        <v>200000</v>
      </c>
      <c r="F204" s="31"/>
      <c r="G204" s="31"/>
      <c r="H204" s="31"/>
      <c r="I204" s="30">
        <v>200000</v>
      </c>
      <c r="J204" s="30">
        <f>K204+N204</f>
        <v>0</v>
      </c>
      <c r="K204" s="30"/>
      <c r="L204" s="30"/>
      <c r="M204" s="30"/>
      <c r="N204" s="30"/>
      <c r="O204" s="30"/>
      <c r="P204" s="30">
        <f t="shared" si="35"/>
        <v>200000</v>
      </c>
      <c r="Q204" s="120"/>
    </row>
    <row r="205" spans="1:17" s="20" customFormat="1" ht="15">
      <c r="A205" s="18"/>
      <c r="B205" s="21" t="s">
        <v>123</v>
      </c>
      <c r="C205" s="21" t="s">
        <v>174</v>
      </c>
      <c r="D205" s="22" t="s">
        <v>124</v>
      </c>
      <c r="E205" s="30">
        <f t="shared" si="33"/>
        <v>35000</v>
      </c>
      <c r="F205" s="30">
        <v>35000</v>
      </c>
      <c r="G205" s="31"/>
      <c r="H205" s="31"/>
      <c r="I205" s="30"/>
      <c r="J205" s="30">
        <f>K205+N205</f>
        <v>0</v>
      </c>
      <c r="K205" s="30"/>
      <c r="L205" s="30"/>
      <c r="M205" s="30"/>
      <c r="N205" s="30"/>
      <c r="O205" s="30"/>
      <c r="P205" s="30">
        <f t="shared" si="35"/>
        <v>35000</v>
      </c>
      <c r="Q205" s="120"/>
    </row>
    <row r="206" spans="1:17" s="20" customFormat="1" ht="48" customHeight="1">
      <c r="A206" s="18"/>
      <c r="B206" s="21" t="s">
        <v>341</v>
      </c>
      <c r="C206" s="21" t="s">
        <v>342</v>
      </c>
      <c r="D206" s="22" t="s">
        <v>343</v>
      </c>
      <c r="E206" s="30">
        <f t="shared" si="33"/>
        <v>0</v>
      </c>
      <c r="F206" s="30"/>
      <c r="G206" s="31"/>
      <c r="H206" s="31"/>
      <c r="I206" s="30"/>
      <c r="J206" s="30">
        <f>K206+N206</f>
        <v>63447.59</v>
      </c>
      <c r="K206" s="30"/>
      <c r="L206" s="30"/>
      <c r="M206" s="30"/>
      <c r="N206" s="30">
        <v>63447.59</v>
      </c>
      <c r="O206" s="30"/>
      <c r="P206" s="30">
        <f t="shared" si="35"/>
        <v>63447.59</v>
      </c>
      <c r="Q206" s="120"/>
    </row>
    <row r="207" spans="1:17" s="20" customFormat="1" ht="60">
      <c r="A207" s="18"/>
      <c r="B207" s="21" t="s">
        <v>48</v>
      </c>
      <c r="C207" s="21" t="s">
        <v>145</v>
      </c>
      <c r="D207" s="22" t="s">
        <v>49</v>
      </c>
      <c r="E207" s="30">
        <f t="shared" si="33"/>
        <v>0</v>
      </c>
      <c r="F207" s="31"/>
      <c r="G207" s="31"/>
      <c r="H207" s="31"/>
      <c r="I207" s="31"/>
      <c r="J207" s="30">
        <f t="shared" si="34"/>
        <v>17798800</v>
      </c>
      <c r="K207" s="30"/>
      <c r="L207" s="30"/>
      <c r="M207" s="30"/>
      <c r="N207" s="30">
        <f>6750000+5250000+5798800</f>
        <v>17798800</v>
      </c>
      <c r="O207" s="30">
        <f>6750000+5250000+5798800</f>
        <v>17798800</v>
      </c>
      <c r="P207" s="30">
        <f t="shared" si="35"/>
        <v>17798800</v>
      </c>
      <c r="Q207" s="120"/>
    </row>
    <row r="208" spans="1:17" s="20" customFormat="1" ht="33" customHeight="1">
      <c r="A208" s="18"/>
      <c r="B208" s="21" t="s">
        <v>127</v>
      </c>
      <c r="C208" s="21" t="s">
        <v>176</v>
      </c>
      <c r="D208" s="22" t="s">
        <v>128</v>
      </c>
      <c r="E208" s="30">
        <f t="shared" si="33"/>
        <v>0</v>
      </c>
      <c r="F208" s="31"/>
      <c r="G208" s="31"/>
      <c r="H208" s="31"/>
      <c r="I208" s="31"/>
      <c r="J208" s="30">
        <f t="shared" si="34"/>
        <v>606000</v>
      </c>
      <c r="K208" s="30"/>
      <c r="L208" s="30"/>
      <c r="M208" s="30"/>
      <c r="N208" s="30">
        <f>126000+480000</f>
        <v>606000</v>
      </c>
      <c r="O208" s="30"/>
      <c r="P208" s="30">
        <f t="shared" si="35"/>
        <v>606000</v>
      </c>
      <c r="Q208" s="120"/>
    </row>
    <row r="209" spans="1:17" s="20" customFormat="1" ht="33" customHeight="1">
      <c r="A209" s="18"/>
      <c r="B209" s="21" t="s">
        <v>318</v>
      </c>
      <c r="C209" s="21" t="s">
        <v>320</v>
      </c>
      <c r="D209" s="22" t="s">
        <v>319</v>
      </c>
      <c r="E209" s="30">
        <f t="shared" si="33"/>
        <v>0</v>
      </c>
      <c r="F209" s="31"/>
      <c r="G209" s="31"/>
      <c r="H209" s="31"/>
      <c r="I209" s="31"/>
      <c r="J209" s="30">
        <f t="shared" si="34"/>
        <v>1340330</v>
      </c>
      <c r="K209" s="30"/>
      <c r="L209" s="30"/>
      <c r="M209" s="30"/>
      <c r="N209" s="30">
        <v>1340330</v>
      </c>
      <c r="O209" s="30"/>
      <c r="P209" s="30">
        <f t="shared" si="35"/>
        <v>1340330</v>
      </c>
      <c r="Q209" s="120"/>
    </row>
    <row r="210" spans="1:17" s="20" customFormat="1" ht="15">
      <c r="A210" s="18"/>
      <c r="B210" s="21" t="s">
        <v>308</v>
      </c>
      <c r="C210" s="21" t="s">
        <v>156</v>
      </c>
      <c r="D210" s="22" t="s">
        <v>81</v>
      </c>
      <c r="E210" s="30">
        <f>F210+I210</f>
        <v>0</v>
      </c>
      <c r="F210" s="31"/>
      <c r="G210" s="31"/>
      <c r="H210" s="31"/>
      <c r="I210" s="31"/>
      <c r="J210" s="30">
        <f>K210+N210</f>
        <v>400000</v>
      </c>
      <c r="K210" s="30"/>
      <c r="L210" s="30"/>
      <c r="M210" s="30"/>
      <c r="N210" s="30">
        <v>400000</v>
      </c>
      <c r="O210" s="30"/>
      <c r="P210" s="30">
        <f>E210+J210</f>
        <v>400000</v>
      </c>
      <c r="Q210" s="120"/>
    </row>
    <row r="211" spans="1:17" s="20" customFormat="1" ht="60">
      <c r="A211" s="18"/>
      <c r="B211" s="21" t="s">
        <v>56</v>
      </c>
      <c r="C211" s="21" t="s">
        <v>149</v>
      </c>
      <c r="D211" s="22" t="s">
        <v>57</v>
      </c>
      <c r="E211" s="30">
        <f>F211+I211</f>
        <v>0</v>
      </c>
      <c r="F211" s="31"/>
      <c r="G211" s="31"/>
      <c r="H211" s="31"/>
      <c r="I211" s="31"/>
      <c r="J211" s="30">
        <f>K211+N211</f>
        <v>1258212.12</v>
      </c>
      <c r="K211" s="30"/>
      <c r="L211" s="30"/>
      <c r="M211" s="30"/>
      <c r="N211" s="30">
        <v>1258212.12</v>
      </c>
      <c r="O211" s="30"/>
      <c r="P211" s="30">
        <f>E211+J211</f>
        <v>1258212.12</v>
      </c>
      <c r="Q211" s="131" t="s">
        <v>371</v>
      </c>
    </row>
    <row r="212" spans="1:17" s="20" customFormat="1" ht="15">
      <c r="A212" s="18"/>
      <c r="B212" s="21" t="s">
        <v>58</v>
      </c>
      <c r="C212" s="21" t="s">
        <v>149</v>
      </c>
      <c r="D212" s="22" t="s">
        <v>26</v>
      </c>
      <c r="E212" s="30">
        <f t="shared" si="33"/>
        <v>188021</v>
      </c>
      <c r="F212" s="30">
        <v>188021</v>
      </c>
      <c r="G212" s="31"/>
      <c r="H212" s="31"/>
      <c r="I212" s="31"/>
      <c r="J212" s="30">
        <f t="shared" si="34"/>
        <v>0</v>
      </c>
      <c r="K212" s="30"/>
      <c r="L212" s="30"/>
      <c r="M212" s="30"/>
      <c r="N212" s="30"/>
      <c r="O212" s="30"/>
      <c r="P212" s="30">
        <f t="shared" si="35"/>
        <v>188021</v>
      </c>
      <c r="Q212" s="131"/>
    </row>
    <row r="213" spans="1:17" s="20" customFormat="1" ht="82.5" customHeight="1">
      <c r="A213" s="18"/>
      <c r="B213" s="24" t="s">
        <v>131</v>
      </c>
      <c r="C213" s="24" t="s">
        <v>165</v>
      </c>
      <c r="D213" s="22" t="s">
        <v>132</v>
      </c>
      <c r="E213" s="30">
        <f t="shared" si="33"/>
        <v>84905</v>
      </c>
      <c r="F213" s="30">
        <v>84905</v>
      </c>
      <c r="G213" s="30"/>
      <c r="H213" s="30"/>
      <c r="I213" s="30"/>
      <c r="J213" s="30">
        <f t="shared" si="34"/>
        <v>36027.53</v>
      </c>
      <c r="K213" s="30">
        <f>30069+10915.53-4957</f>
        <v>36027.53</v>
      </c>
      <c r="L213" s="31"/>
      <c r="M213" s="31"/>
      <c r="N213" s="31"/>
      <c r="O213" s="31"/>
      <c r="P213" s="30">
        <f t="shared" si="35"/>
        <v>120932.53</v>
      </c>
      <c r="Q213" s="131"/>
    </row>
    <row r="214" spans="1:17" s="20" customFormat="1" ht="45" customHeight="1">
      <c r="A214" s="18"/>
      <c r="B214" s="25"/>
      <c r="C214" s="25"/>
      <c r="D214" s="26" t="s">
        <v>179</v>
      </c>
      <c r="E214" s="31">
        <f>E215+E216+E217+E218</f>
        <v>2750433.27</v>
      </c>
      <c r="F214" s="31">
        <f aca="true" t="shared" si="36" ref="F214:P214">F215+F216+F217+F218</f>
        <v>2750433.27</v>
      </c>
      <c r="G214" s="31">
        <f t="shared" si="36"/>
        <v>2079972.59</v>
      </c>
      <c r="H214" s="31">
        <f t="shared" si="36"/>
        <v>84319</v>
      </c>
      <c r="I214" s="31">
        <f t="shared" si="36"/>
        <v>0</v>
      </c>
      <c r="J214" s="31">
        <f t="shared" si="36"/>
        <v>278600</v>
      </c>
      <c r="K214" s="31">
        <f t="shared" si="36"/>
        <v>108255</v>
      </c>
      <c r="L214" s="31">
        <f t="shared" si="36"/>
        <v>0</v>
      </c>
      <c r="M214" s="31">
        <f t="shared" si="36"/>
        <v>0</v>
      </c>
      <c r="N214" s="31">
        <f t="shared" si="36"/>
        <v>170345</v>
      </c>
      <c r="O214" s="31">
        <f t="shared" si="36"/>
        <v>37000</v>
      </c>
      <c r="P214" s="31">
        <f t="shared" si="36"/>
        <v>3029033.27</v>
      </c>
      <c r="Q214" s="131"/>
    </row>
    <row r="215" spans="1:17" s="20" customFormat="1" ht="21.75" customHeight="1">
      <c r="A215" s="18"/>
      <c r="B215" s="21" t="s">
        <v>11</v>
      </c>
      <c r="C215" s="21" t="s">
        <v>9</v>
      </c>
      <c r="D215" s="22" t="s">
        <v>16</v>
      </c>
      <c r="E215" s="30">
        <f>F215+I215</f>
        <v>2716583.27</v>
      </c>
      <c r="F215" s="30">
        <f>4520200-427090-2252198+189281.27+529846+156544</f>
        <v>2716583.27</v>
      </c>
      <c r="G215" s="30">
        <f>2986650-1650946+26500+155148.59+434305+128315</f>
        <v>2079972.59</v>
      </c>
      <c r="H215" s="30">
        <f>167498-83179</f>
        <v>84319</v>
      </c>
      <c r="I215" s="30"/>
      <c r="J215" s="30">
        <f>K215+N215</f>
        <v>30000</v>
      </c>
      <c r="K215" s="30"/>
      <c r="L215" s="30"/>
      <c r="M215" s="30"/>
      <c r="N215" s="30">
        <f>250000-220000</f>
        <v>30000</v>
      </c>
      <c r="O215" s="30">
        <f>250000-220000</f>
        <v>30000</v>
      </c>
      <c r="P215" s="30">
        <f>E215+J215</f>
        <v>2746583.27</v>
      </c>
      <c r="Q215" s="131"/>
    </row>
    <row r="216" spans="1:17" s="20" customFormat="1" ht="24" customHeight="1">
      <c r="A216" s="18"/>
      <c r="B216" s="21" t="s">
        <v>123</v>
      </c>
      <c r="C216" s="21" t="s">
        <v>174</v>
      </c>
      <c r="D216" s="22" t="s">
        <v>124</v>
      </c>
      <c r="E216" s="30">
        <f>F216+I216</f>
        <v>0</v>
      </c>
      <c r="F216" s="31"/>
      <c r="G216" s="31"/>
      <c r="H216" s="31"/>
      <c r="I216" s="31"/>
      <c r="J216" s="30">
        <f>K216+N216</f>
        <v>7000</v>
      </c>
      <c r="K216" s="30"/>
      <c r="L216" s="30"/>
      <c r="M216" s="30"/>
      <c r="N216" s="30">
        <f>148000-141000</f>
        <v>7000</v>
      </c>
      <c r="O216" s="30">
        <f>148000-141000</f>
        <v>7000</v>
      </c>
      <c r="P216" s="30">
        <f>E216+J216</f>
        <v>7000</v>
      </c>
      <c r="Q216" s="131"/>
    </row>
    <row r="217" spans="1:17" s="20" customFormat="1" ht="64.5" customHeight="1">
      <c r="A217" s="18"/>
      <c r="B217" s="21" t="s">
        <v>56</v>
      </c>
      <c r="C217" s="21" t="s">
        <v>149</v>
      </c>
      <c r="D217" s="22" t="s">
        <v>57</v>
      </c>
      <c r="E217" s="30">
        <f>F217+I217</f>
        <v>0</v>
      </c>
      <c r="F217" s="31"/>
      <c r="G217" s="31"/>
      <c r="H217" s="31"/>
      <c r="I217" s="31"/>
      <c r="J217" s="30">
        <f>K217+N217</f>
        <v>241600</v>
      </c>
      <c r="K217" s="30">
        <f>725000-309500-307245</f>
        <v>108255</v>
      </c>
      <c r="L217" s="31"/>
      <c r="M217" s="31"/>
      <c r="N217" s="30">
        <f>309500+199000-199000-176155</f>
        <v>133345</v>
      </c>
      <c r="O217" s="31"/>
      <c r="P217" s="30">
        <f>E217+J217</f>
        <v>241600</v>
      </c>
      <c r="Q217" s="131"/>
    </row>
    <row r="218" spans="1:17" s="20" customFormat="1" ht="19.5" customHeight="1">
      <c r="A218" s="18"/>
      <c r="B218" s="21" t="s">
        <v>58</v>
      </c>
      <c r="C218" s="21" t="s">
        <v>149</v>
      </c>
      <c r="D218" s="22" t="s">
        <v>26</v>
      </c>
      <c r="E218" s="30">
        <f>F218+I218</f>
        <v>33850</v>
      </c>
      <c r="F218" s="30">
        <f>170000+15100-151250</f>
        <v>33850</v>
      </c>
      <c r="G218" s="31"/>
      <c r="H218" s="31"/>
      <c r="I218" s="31"/>
      <c r="J218" s="30">
        <f>K218+N218</f>
        <v>0</v>
      </c>
      <c r="K218" s="31"/>
      <c r="L218" s="31"/>
      <c r="M218" s="31"/>
      <c r="N218" s="31"/>
      <c r="O218" s="31"/>
      <c r="P218" s="30">
        <f>E218+J218</f>
        <v>33850</v>
      </c>
      <c r="Q218" s="131"/>
    </row>
    <row r="219" spans="1:17" s="20" customFormat="1" ht="30.75" customHeight="1">
      <c r="A219" s="18"/>
      <c r="B219" s="25"/>
      <c r="C219" s="25"/>
      <c r="D219" s="26" t="s">
        <v>329</v>
      </c>
      <c r="E219" s="31">
        <f>E220+E222+E223+E224+E221</f>
        <v>1323758.51</v>
      </c>
      <c r="F219" s="31">
        <f aca="true" t="shared" si="37" ref="F219:P219">F220+F222+F223+F224+F221</f>
        <v>1323758.51</v>
      </c>
      <c r="G219" s="31">
        <f t="shared" si="37"/>
        <v>723894.48</v>
      </c>
      <c r="H219" s="31">
        <f t="shared" si="37"/>
        <v>41590</v>
      </c>
      <c r="I219" s="31">
        <f t="shared" si="37"/>
        <v>0</v>
      </c>
      <c r="J219" s="31">
        <f t="shared" si="37"/>
        <v>914900</v>
      </c>
      <c r="K219" s="31">
        <f t="shared" si="37"/>
        <v>307245</v>
      </c>
      <c r="L219" s="31">
        <f t="shared" si="37"/>
        <v>0</v>
      </c>
      <c r="M219" s="31">
        <f t="shared" si="37"/>
        <v>0</v>
      </c>
      <c r="N219" s="31">
        <f t="shared" si="37"/>
        <v>607655</v>
      </c>
      <c r="O219" s="31">
        <f t="shared" si="37"/>
        <v>381500</v>
      </c>
      <c r="P219" s="31">
        <f t="shared" si="37"/>
        <v>2238658.51</v>
      </c>
      <c r="Q219" s="131"/>
    </row>
    <row r="220" spans="1:17" s="20" customFormat="1" ht="21.75" customHeight="1">
      <c r="A220" s="18"/>
      <c r="B220" s="21" t="s">
        <v>11</v>
      </c>
      <c r="C220" s="21" t="s">
        <v>9</v>
      </c>
      <c r="D220" s="22" t="s">
        <v>16</v>
      </c>
      <c r="E220" s="30">
        <f>F220+I220</f>
        <v>1051508.51</v>
      </c>
      <c r="F220" s="30">
        <f>1221270-94261.49+5000-22000-58500</f>
        <v>1051508.51</v>
      </c>
      <c r="G220" s="30">
        <f>867158-77263.52-18000-48000</f>
        <v>723894.48</v>
      </c>
      <c r="H220" s="30">
        <v>41590</v>
      </c>
      <c r="I220" s="30"/>
      <c r="J220" s="30">
        <f>K220+N220</f>
        <v>0</v>
      </c>
      <c r="K220" s="30"/>
      <c r="L220" s="30"/>
      <c r="M220" s="30"/>
      <c r="N220" s="30"/>
      <c r="O220" s="30"/>
      <c r="P220" s="30">
        <f>E220+J220</f>
        <v>1051508.51</v>
      </c>
      <c r="Q220" s="131"/>
    </row>
    <row r="221" spans="1:17" s="20" customFormat="1" ht="65.25" customHeight="1">
      <c r="A221" s="18"/>
      <c r="B221" s="21" t="s">
        <v>48</v>
      </c>
      <c r="C221" s="21" t="s">
        <v>145</v>
      </c>
      <c r="D221" s="22" t="s">
        <v>49</v>
      </c>
      <c r="E221" s="30">
        <f>F221+I221</f>
        <v>0</v>
      </c>
      <c r="F221" s="31"/>
      <c r="G221" s="31"/>
      <c r="H221" s="31"/>
      <c r="I221" s="31"/>
      <c r="J221" s="30">
        <f>K221+N221</f>
        <v>39000</v>
      </c>
      <c r="K221" s="30"/>
      <c r="L221" s="30"/>
      <c r="M221" s="30"/>
      <c r="N221" s="30">
        <v>39000</v>
      </c>
      <c r="O221" s="30">
        <v>39000</v>
      </c>
      <c r="P221" s="30">
        <f>E221+J221</f>
        <v>39000</v>
      </c>
      <c r="Q221" s="131"/>
    </row>
    <row r="222" spans="1:17" s="20" customFormat="1" ht="55.5" customHeight="1">
      <c r="A222" s="18"/>
      <c r="B222" s="21" t="s">
        <v>56</v>
      </c>
      <c r="C222" s="21" t="s">
        <v>149</v>
      </c>
      <c r="D222" s="22" t="s">
        <v>57</v>
      </c>
      <c r="E222" s="30">
        <f>F222+I222</f>
        <v>0</v>
      </c>
      <c r="F222" s="31"/>
      <c r="G222" s="31"/>
      <c r="H222" s="31"/>
      <c r="I222" s="31"/>
      <c r="J222" s="30">
        <f>K222+N222</f>
        <v>533400</v>
      </c>
      <c r="K222" s="30">
        <v>307245</v>
      </c>
      <c r="L222" s="31"/>
      <c r="M222" s="31"/>
      <c r="N222" s="30">
        <f>176155+50000</f>
        <v>226155</v>
      </c>
      <c r="O222" s="31"/>
      <c r="P222" s="30">
        <f>E222+J222</f>
        <v>533400</v>
      </c>
      <c r="Q222" s="131"/>
    </row>
    <row r="223" spans="1:17" s="20" customFormat="1" ht="19.5" customHeight="1">
      <c r="A223" s="18"/>
      <c r="B223" s="21" t="s">
        <v>58</v>
      </c>
      <c r="C223" s="21" t="s">
        <v>149</v>
      </c>
      <c r="D223" s="22" t="s">
        <v>26</v>
      </c>
      <c r="E223" s="30">
        <f>F223+I223</f>
        <v>151250</v>
      </c>
      <c r="F223" s="30">
        <v>151250</v>
      </c>
      <c r="G223" s="31"/>
      <c r="H223" s="31"/>
      <c r="I223" s="31"/>
      <c r="J223" s="30">
        <f>K223+N223</f>
        <v>0</v>
      </c>
      <c r="K223" s="31"/>
      <c r="L223" s="31"/>
      <c r="M223" s="31"/>
      <c r="N223" s="31"/>
      <c r="O223" s="31"/>
      <c r="P223" s="30">
        <f>E223+J223</f>
        <v>151250</v>
      </c>
      <c r="Q223" s="131"/>
    </row>
    <row r="224" spans="1:17" s="20" customFormat="1" ht="21" customHeight="1">
      <c r="A224" s="18"/>
      <c r="B224" s="21" t="s">
        <v>135</v>
      </c>
      <c r="C224" s="21" t="s">
        <v>180</v>
      </c>
      <c r="D224" s="29" t="s">
        <v>136</v>
      </c>
      <c r="E224" s="30">
        <f>F224+I224</f>
        <v>121000</v>
      </c>
      <c r="F224" s="30">
        <f>99000+22000</f>
        <v>121000</v>
      </c>
      <c r="G224" s="31"/>
      <c r="H224" s="31"/>
      <c r="I224" s="31"/>
      <c r="J224" s="30">
        <f>K224+N224</f>
        <v>342500</v>
      </c>
      <c r="K224" s="31"/>
      <c r="L224" s="31"/>
      <c r="M224" s="31"/>
      <c r="N224" s="30">
        <f>99500+265000-22000</f>
        <v>342500</v>
      </c>
      <c r="O224" s="30">
        <f>99500+265000-22000</f>
        <v>342500</v>
      </c>
      <c r="P224" s="30">
        <f>E224+J224</f>
        <v>463500</v>
      </c>
      <c r="Q224" s="131"/>
    </row>
    <row r="225" spans="1:17" s="20" customFormat="1" ht="45.75" customHeight="1">
      <c r="A225" s="18"/>
      <c r="B225" s="21"/>
      <c r="C225" s="32"/>
      <c r="D225" s="26" t="s">
        <v>181</v>
      </c>
      <c r="E225" s="31">
        <f>E226+E228+E227</f>
        <v>2386850</v>
      </c>
      <c r="F225" s="31">
        <f aca="true" t="shared" si="38" ref="F225:P225">F226+F228+F227</f>
        <v>2021770</v>
      </c>
      <c r="G225" s="31">
        <f t="shared" si="38"/>
        <v>1208000</v>
      </c>
      <c r="H225" s="31">
        <f t="shared" si="38"/>
        <v>83538</v>
      </c>
      <c r="I225" s="31">
        <f t="shared" si="38"/>
        <v>365080</v>
      </c>
      <c r="J225" s="31">
        <f t="shared" si="38"/>
        <v>30000</v>
      </c>
      <c r="K225" s="31">
        <f t="shared" si="38"/>
        <v>0</v>
      </c>
      <c r="L225" s="31">
        <f t="shared" si="38"/>
        <v>0</v>
      </c>
      <c r="M225" s="31">
        <f t="shared" si="38"/>
        <v>0</v>
      </c>
      <c r="N225" s="31">
        <f t="shared" si="38"/>
        <v>30000</v>
      </c>
      <c r="O225" s="31">
        <f t="shared" si="38"/>
        <v>30000</v>
      </c>
      <c r="P225" s="31">
        <f t="shared" si="38"/>
        <v>2416850</v>
      </c>
      <c r="Q225" s="131"/>
    </row>
    <row r="226" spans="1:17" s="20" customFormat="1" ht="21" customHeight="1">
      <c r="A226" s="18"/>
      <c r="B226" s="21" t="s">
        <v>11</v>
      </c>
      <c r="C226" s="21" t="s">
        <v>9</v>
      </c>
      <c r="D226" s="22" t="s">
        <v>16</v>
      </c>
      <c r="E226" s="30">
        <f>F226+I226</f>
        <v>1671770</v>
      </c>
      <c r="F226" s="30">
        <f>1751970-160400+56900+23300</f>
        <v>1671770</v>
      </c>
      <c r="G226" s="30">
        <f>1143630+2570+46700-4000+19100</f>
        <v>1208000</v>
      </c>
      <c r="H226" s="30">
        <v>83538</v>
      </c>
      <c r="I226" s="30"/>
      <c r="J226" s="30">
        <f>K226+N226</f>
        <v>30000</v>
      </c>
      <c r="K226" s="30"/>
      <c r="L226" s="30"/>
      <c r="M226" s="30"/>
      <c r="N226" s="30">
        <f>30000</f>
        <v>30000</v>
      </c>
      <c r="O226" s="30">
        <f>30000</f>
        <v>30000</v>
      </c>
      <c r="P226" s="30">
        <f>E226+J226</f>
        <v>1701770</v>
      </c>
      <c r="Q226" s="131"/>
    </row>
    <row r="227" spans="1:17" s="20" customFormat="1" ht="21" customHeight="1">
      <c r="A227" s="18"/>
      <c r="B227" s="21" t="s">
        <v>29</v>
      </c>
      <c r="C227" s="21" t="s">
        <v>140</v>
      </c>
      <c r="D227" s="22" t="s">
        <v>30</v>
      </c>
      <c r="E227" s="30">
        <f>F227+I227</f>
        <v>365080</v>
      </c>
      <c r="F227" s="30">
        <f>365080-365080</f>
        <v>0</v>
      </c>
      <c r="G227" s="30"/>
      <c r="H227" s="30"/>
      <c r="I227" s="30">
        <v>365080</v>
      </c>
      <c r="J227" s="30">
        <f>K227+N227</f>
        <v>0</v>
      </c>
      <c r="K227" s="30"/>
      <c r="L227" s="30"/>
      <c r="M227" s="30"/>
      <c r="N227" s="30"/>
      <c r="O227" s="30"/>
      <c r="P227" s="30">
        <f>E227+J227</f>
        <v>365080</v>
      </c>
      <c r="Q227" s="131"/>
    </row>
    <row r="228" spans="1:17" s="20" customFormat="1" ht="18.75" customHeight="1">
      <c r="A228" s="18"/>
      <c r="B228" s="21" t="s">
        <v>58</v>
      </c>
      <c r="C228" s="21" t="s">
        <v>149</v>
      </c>
      <c r="D228" s="22" t="s">
        <v>26</v>
      </c>
      <c r="E228" s="30">
        <f>F228+I228</f>
        <v>350000</v>
      </c>
      <c r="F228" s="30">
        <v>350000</v>
      </c>
      <c r="G228" s="31"/>
      <c r="H228" s="31"/>
      <c r="I228" s="31"/>
      <c r="J228" s="30">
        <f>K228+N228</f>
        <v>0</v>
      </c>
      <c r="K228" s="31"/>
      <c r="L228" s="31"/>
      <c r="M228" s="31"/>
      <c r="N228" s="31"/>
      <c r="O228" s="31"/>
      <c r="P228" s="30">
        <f>E228+J228</f>
        <v>350000</v>
      </c>
      <c r="Q228" s="131"/>
    </row>
    <row r="229" spans="1:17" s="20" customFormat="1" ht="36" customHeight="1">
      <c r="A229" s="18"/>
      <c r="B229" s="25"/>
      <c r="C229" s="25"/>
      <c r="D229" s="26" t="s">
        <v>326</v>
      </c>
      <c r="E229" s="31">
        <f>E230+E231+E232</f>
        <v>5948501</v>
      </c>
      <c r="F229" s="31">
        <f aca="true" t="shared" si="39" ref="F229:P229">F230+F231+F232</f>
        <v>5948501</v>
      </c>
      <c r="G229" s="31">
        <f t="shared" si="39"/>
        <v>4348520</v>
      </c>
      <c r="H229" s="31">
        <f t="shared" si="39"/>
        <v>191695</v>
      </c>
      <c r="I229" s="31">
        <f t="shared" si="39"/>
        <v>0</v>
      </c>
      <c r="J229" s="31">
        <f t="shared" si="39"/>
        <v>82070</v>
      </c>
      <c r="K229" s="31">
        <f t="shared" si="39"/>
        <v>18000</v>
      </c>
      <c r="L229" s="31">
        <f t="shared" si="39"/>
        <v>0</v>
      </c>
      <c r="M229" s="31">
        <f t="shared" si="39"/>
        <v>0</v>
      </c>
      <c r="N229" s="31">
        <f t="shared" si="39"/>
        <v>64070</v>
      </c>
      <c r="O229" s="31">
        <f t="shared" si="39"/>
        <v>64070</v>
      </c>
      <c r="P229" s="31">
        <f t="shared" si="39"/>
        <v>6030571</v>
      </c>
      <c r="Q229" s="131"/>
    </row>
    <row r="230" spans="1:17" s="20" customFormat="1" ht="15">
      <c r="A230" s="18"/>
      <c r="B230" s="21" t="s">
        <v>11</v>
      </c>
      <c r="C230" s="21" t="s">
        <v>9</v>
      </c>
      <c r="D230" s="22" t="s">
        <v>94</v>
      </c>
      <c r="E230" s="30">
        <f>F230+I230</f>
        <v>5849701</v>
      </c>
      <c r="F230" s="30">
        <f>5498000-286300+89090+154610+158571-4670+119600-7000+22000+105800</f>
        <v>5849701</v>
      </c>
      <c r="G230" s="30">
        <f>3629280+186610+73024+126730+129976+98100+18000+86800</f>
        <v>4348520</v>
      </c>
      <c r="H230" s="30">
        <v>191695</v>
      </c>
      <c r="I230" s="30"/>
      <c r="J230" s="30">
        <f>K230+N230</f>
        <v>64070</v>
      </c>
      <c r="K230" s="30"/>
      <c r="L230" s="30"/>
      <c r="M230" s="30"/>
      <c r="N230" s="30">
        <f>40000+12400+4670+7000</f>
        <v>64070</v>
      </c>
      <c r="O230" s="30">
        <f>40000+12400+4670+7000</f>
        <v>64070</v>
      </c>
      <c r="P230" s="30">
        <f>E230+J230</f>
        <v>5913771</v>
      </c>
      <c r="Q230" s="131"/>
    </row>
    <row r="231" spans="1:17" s="20" customFormat="1" ht="15">
      <c r="A231" s="18"/>
      <c r="B231" s="21" t="s">
        <v>203</v>
      </c>
      <c r="C231" s="21" t="s">
        <v>211</v>
      </c>
      <c r="D231" s="22" t="s">
        <v>204</v>
      </c>
      <c r="E231" s="30">
        <f>F231+I231</f>
        <v>98800</v>
      </c>
      <c r="F231" s="30">
        <f>198694.54-67810.69-32083.85</f>
        <v>98800</v>
      </c>
      <c r="G231" s="30"/>
      <c r="H231" s="30"/>
      <c r="I231" s="30"/>
      <c r="J231" s="30">
        <f>K231+N231</f>
        <v>0</v>
      </c>
      <c r="K231" s="30"/>
      <c r="L231" s="30"/>
      <c r="M231" s="30"/>
      <c r="N231" s="30"/>
      <c r="O231" s="30"/>
      <c r="P231" s="30">
        <f>E231+J231</f>
        <v>98800</v>
      </c>
      <c r="Q231" s="131"/>
    </row>
    <row r="232" spans="1:17" s="20" customFormat="1" ht="30">
      <c r="A232" s="18"/>
      <c r="B232" s="21" t="s">
        <v>306</v>
      </c>
      <c r="C232" s="21" t="s">
        <v>148</v>
      </c>
      <c r="D232" s="22" t="s">
        <v>307</v>
      </c>
      <c r="E232" s="30">
        <f>F232+I232</f>
        <v>0</v>
      </c>
      <c r="F232" s="30"/>
      <c r="G232" s="30"/>
      <c r="H232" s="30"/>
      <c r="I232" s="30"/>
      <c r="J232" s="30">
        <f>K232+N232</f>
        <v>18000</v>
      </c>
      <c r="K232" s="30">
        <v>18000</v>
      </c>
      <c r="L232" s="30"/>
      <c r="M232" s="30"/>
      <c r="N232" s="30"/>
      <c r="O232" s="30"/>
      <c r="P232" s="30">
        <f>E232+J232</f>
        <v>18000</v>
      </c>
      <c r="Q232" s="131"/>
    </row>
    <row r="233" spans="1:17" s="20" customFormat="1" ht="63" customHeight="1">
      <c r="A233" s="18"/>
      <c r="B233" s="25"/>
      <c r="C233" s="25"/>
      <c r="D233" s="26" t="s">
        <v>327</v>
      </c>
      <c r="E233" s="31">
        <f>E234+E235+E236+E237</f>
        <v>66543672</v>
      </c>
      <c r="F233" s="31">
        <f aca="true" t="shared" si="40" ref="F233:P233">F234+F235+F236+F237</f>
        <v>56741757</v>
      </c>
      <c r="G233" s="31">
        <f t="shared" si="40"/>
        <v>0</v>
      </c>
      <c r="H233" s="31">
        <f t="shared" si="40"/>
        <v>0</v>
      </c>
      <c r="I233" s="31">
        <f t="shared" si="40"/>
        <v>0</v>
      </c>
      <c r="J233" s="31">
        <f t="shared" si="40"/>
        <v>709900</v>
      </c>
      <c r="K233" s="31">
        <f t="shared" si="40"/>
        <v>0</v>
      </c>
      <c r="L233" s="31">
        <f t="shared" si="40"/>
        <v>0</v>
      </c>
      <c r="M233" s="31">
        <f t="shared" si="40"/>
        <v>0</v>
      </c>
      <c r="N233" s="31">
        <f t="shared" si="40"/>
        <v>709900</v>
      </c>
      <c r="O233" s="31">
        <f t="shared" si="40"/>
        <v>709900</v>
      </c>
      <c r="P233" s="31">
        <f t="shared" si="40"/>
        <v>67253572</v>
      </c>
      <c r="Q233" s="124" t="s">
        <v>372</v>
      </c>
    </row>
    <row r="234" spans="1:17" s="20" customFormat="1" ht="15">
      <c r="A234" s="18"/>
      <c r="B234" s="21" t="s">
        <v>133</v>
      </c>
      <c r="C234" s="21" t="s">
        <v>149</v>
      </c>
      <c r="D234" s="22" t="s">
        <v>134</v>
      </c>
      <c r="E234" s="30">
        <f>9833216.06-80000-23542.6-134100-100000-670100-360000-3000000-1811608+12618382-254670-4690000-2263140-130000-7200000-420000+19000+10000000+55000-330000+67810.69-54755-1822284-20000-160975+733680.85</f>
        <v>9801915</v>
      </c>
      <c r="F234" s="30"/>
      <c r="G234" s="31"/>
      <c r="H234" s="31"/>
      <c r="I234" s="31"/>
      <c r="J234" s="30">
        <f>K234+N234</f>
        <v>0</v>
      </c>
      <c r="K234" s="31"/>
      <c r="L234" s="31"/>
      <c r="M234" s="31"/>
      <c r="N234" s="31"/>
      <c r="O234" s="31"/>
      <c r="P234" s="30">
        <f>E234+J234</f>
        <v>9801915</v>
      </c>
      <c r="Q234" s="124"/>
    </row>
    <row r="235" spans="1:17" s="20" customFormat="1" ht="15">
      <c r="A235" s="18"/>
      <c r="B235" s="21" t="s">
        <v>182</v>
      </c>
      <c r="C235" s="21" t="s">
        <v>180</v>
      </c>
      <c r="D235" s="22" t="s">
        <v>183</v>
      </c>
      <c r="E235" s="30">
        <f>F235+I235</f>
        <v>56401300</v>
      </c>
      <c r="F235" s="30">
        <f>55480900+920400</f>
        <v>56401300</v>
      </c>
      <c r="G235" s="31"/>
      <c r="H235" s="31"/>
      <c r="I235" s="31"/>
      <c r="J235" s="30">
        <f>K235+N235</f>
        <v>0</v>
      </c>
      <c r="K235" s="31"/>
      <c r="L235" s="31"/>
      <c r="M235" s="31"/>
      <c r="N235" s="31"/>
      <c r="O235" s="31"/>
      <c r="P235" s="30">
        <f>E235+J235</f>
        <v>56401300</v>
      </c>
      <c r="Q235" s="124"/>
    </row>
    <row r="236" spans="1:17" s="20" customFormat="1" ht="15">
      <c r="A236" s="18"/>
      <c r="B236" s="21" t="s">
        <v>184</v>
      </c>
      <c r="C236" s="21" t="s">
        <v>180</v>
      </c>
      <c r="D236" s="22" t="s">
        <v>186</v>
      </c>
      <c r="E236" s="30">
        <f>F236+I236</f>
        <v>141957</v>
      </c>
      <c r="F236" s="30">
        <f>164814-22857</f>
        <v>141957</v>
      </c>
      <c r="G236" s="31"/>
      <c r="H236" s="31"/>
      <c r="I236" s="31"/>
      <c r="J236" s="30">
        <f>K236+N236</f>
        <v>0</v>
      </c>
      <c r="K236" s="31"/>
      <c r="L236" s="31"/>
      <c r="M236" s="31"/>
      <c r="N236" s="31"/>
      <c r="O236" s="31"/>
      <c r="P236" s="30">
        <f>E236+J236</f>
        <v>141957</v>
      </c>
      <c r="Q236" s="124"/>
    </row>
    <row r="237" spans="1:17" s="20" customFormat="1" ht="15">
      <c r="A237" s="18"/>
      <c r="B237" s="21" t="s">
        <v>135</v>
      </c>
      <c r="C237" s="21" t="s">
        <v>180</v>
      </c>
      <c r="D237" s="29" t="s">
        <v>136</v>
      </c>
      <c r="E237" s="30">
        <f>F237+I237</f>
        <v>198500</v>
      </c>
      <c r="F237" s="30">
        <f>190000+8500</f>
        <v>198500</v>
      </c>
      <c r="G237" s="31"/>
      <c r="H237" s="31"/>
      <c r="I237" s="31"/>
      <c r="J237" s="30">
        <f>K237+N237</f>
        <v>709900</v>
      </c>
      <c r="K237" s="31"/>
      <c r="L237" s="31"/>
      <c r="M237" s="31"/>
      <c r="N237" s="30">
        <f>500000+200000+9900</f>
        <v>709900</v>
      </c>
      <c r="O237" s="30">
        <f>500000+200000+9900</f>
        <v>709900</v>
      </c>
      <c r="P237" s="30">
        <f>E237+J237</f>
        <v>908400</v>
      </c>
      <c r="Q237" s="124"/>
    </row>
    <row r="238" spans="1:17" s="20" customFormat="1" ht="21" customHeight="1">
      <c r="A238" s="18"/>
      <c r="B238" s="25"/>
      <c r="C238" s="25"/>
      <c r="D238" s="26" t="s">
        <v>137</v>
      </c>
      <c r="E238" s="31">
        <f aca="true" t="shared" si="41" ref="E238:P238">E13+E45+E68+E88+E152+E155+E161+E185+E193+E195+E214+E225+E229+E233+E219+E189</f>
        <v>1734993376</v>
      </c>
      <c r="F238" s="31">
        <f t="shared" si="41"/>
        <v>1679492122.53</v>
      </c>
      <c r="G238" s="31">
        <f t="shared" si="41"/>
        <v>458510170.64</v>
      </c>
      <c r="H238" s="31">
        <f t="shared" si="41"/>
        <v>95520742.61999999</v>
      </c>
      <c r="I238" s="31">
        <f t="shared" si="41"/>
        <v>45699338.47</v>
      </c>
      <c r="J238" s="31">
        <f t="shared" si="41"/>
        <v>566769566.79</v>
      </c>
      <c r="K238" s="31">
        <f t="shared" si="41"/>
        <v>53996894</v>
      </c>
      <c r="L238" s="31">
        <f t="shared" si="41"/>
        <v>11433840</v>
      </c>
      <c r="M238" s="31">
        <f t="shared" si="41"/>
        <v>2174142</v>
      </c>
      <c r="N238" s="31">
        <f t="shared" si="41"/>
        <v>512772672.78999996</v>
      </c>
      <c r="O238" s="31">
        <f t="shared" si="41"/>
        <v>503329365.76</v>
      </c>
      <c r="P238" s="31">
        <f t="shared" si="41"/>
        <v>2301762942.79</v>
      </c>
      <c r="Q238" s="124"/>
    </row>
    <row r="239" spans="1:17" s="20" customFormat="1" ht="33" customHeight="1">
      <c r="A239" s="18"/>
      <c r="B239" s="25"/>
      <c r="C239" s="25"/>
      <c r="D239" s="26" t="s">
        <v>212</v>
      </c>
      <c r="E239" s="31">
        <f>E46+E69+E89+E196+E162</f>
        <v>1118794214.52</v>
      </c>
      <c r="F239" s="31">
        <f aca="true" t="shared" si="42" ref="F239:P239">F46+F69+F89+F196+F162</f>
        <v>1118794214.52</v>
      </c>
      <c r="G239" s="31">
        <f t="shared" si="42"/>
        <v>259954796</v>
      </c>
      <c r="H239" s="31">
        <f t="shared" si="42"/>
        <v>47612257</v>
      </c>
      <c r="I239" s="31">
        <f t="shared" si="42"/>
        <v>0</v>
      </c>
      <c r="J239" s="31">
        <f t="shared" si="42"/>
        <v>10183810</v>
      </c>
      <c r="K239" s="31">
        <f t="shared" si="42"/>
        <v>0</v>
      </c>
      <c r="L239" s="31">
        <f t="shared" si="42"/>
        <v>0</v>
      </c>
      <c r="M239" s="31">
        <f t="shared" si="42"/>
        <v>0</v>
      </c>
      <c r="N239" s="31">
        <f t="shared" si="42"/>
        <v>10183810</v>
      </c>
      <c r="O239" s="31">
        <f t="shared" si="42"/>
        <v>10183810</v>
      </c>
      <c r="P239" s="31">
        <f t="shared" si="42"/>
        <v>1128978024.52</v>
      </c>
      <c r="Q239" s="124"/>
    </row>
    <row r="240" spans="1:17" ht="92.25" customHeight="1">
      <c r="A240" s="11"/>
      <c r="B240" s="11"/>
      <c r="C240" s="11"/>
      <c r="D240" s="11"/>
      <c r="E240" s="33"/>
      <c r="F240" s="33"/>
      <c r="G240" s="33"/>
      <c r="H240" s="33"/>
      <c r="I240" s="33"/>
      <c r="J240" s="33"/>
      <c r="K240" s="33"/>
      <c r="L240" s="33"/>
      <c r="M240" s="33"/>
      <c r="N240" s="33"/>
      <c r="O240" s="33"/>
      <c r="P240" s="33"/>
      <c r="Q240" s="124"/>
    </row>
    <row r="241" spans="1:19" s="76" customFormat="1" ht="24" customHeight="1">
      <c r="A241" s="74"/>
      <c r="B241" s="123" t="s">
        <v>346</v>
      </c>
      <c r="C241" s="123"/>
      <c r="D241" s="123"/>
      <c r="E241" s="123"/>
      <c r="F241" s="123"/>
      <c r="G241" s="123"/>
      <c r="H241" s="123"/>
      <c r="I241" s="123"/>
      <c r="J241" s="7"/>
      <c r="K241" s="7"/>
      <c r="L241" s="119" t="s">
        <v>347</v>
      </c>
      <c r="M241" s="119"/>
      <c r="N241" s="119"/>
      <c r="O241" s="119"/>
      <c r="P241" s="75"/>
      <c r="Q241" s="124"/>
      <c r="S241" s="44"/>
    </row>
    <row r="242" spans="1:19" s="8" customFormat="1" ht="35.25" customHeight="1">
      <c r="A242" s="6"/>
      <c r="B242" s="121"/>
      <c r="C242" s="121"/>
      <c r="D242" s="73"/>
      <c r="E242" s="7"/>
      <c r="F242" s="7"/>
      <c r="G242" s="7"/>
      <c r="H242" s="7"/>
      <c r="I242" s="7"/>
      <c r="J242" s="7"/>
      <c r="K242" s="7"/>
      <c r="L242" s="110"/>
      <c r="M242" s="110"/>
      <c r="N242" s="110"/>
      <c r="O242" s="110"/>
      <c r="P242" s="6"/>
      <c r="Q242" s="124"/>
      <c r="S242" s="45"/>
    </row>
    <row r="243" spans="1:19" s="8" customFormat="1" ht="23.25">
      <c r="A243" s="6"/>
      <c r="B243" s="6"/>
      <c r="C243" s="103"/>
      <c r="D243" s="9"/>
      <c r="E243" s="9"/>
      <c r="F243" s="9"/>
      <c r="G243" s="9"/>
      <c r="H243" s="9"/>
      <c r="I243" s="9"/>
      <c r="J243" s="9"/>
      <c r="K243" s="9"/>
      <c r="L243" s="9"/>
      <c r="M243" s="9"/>
      <c r="N243" s="6"/>
      <c r="O243" s="6"/>
      <c r="P243" s="6"/>
      <c r="Q243" s="124"/>
      <c r="S243" s="45"/>
    </row>
    <row r="244" spans="1:17" s="84" customFormat="1" ht="9.75" customHeight="1">
      <c r="A244" s="78"/>
      <c r="B244" s="43"/>
      <c r="C244" s="79"/>
      <c r="D244" s="79"/>
      <c r="E244" s="80"/>
      <c r="F244" s="81"/>
      <c r="G244" s="81"/>
      <c r="H244" s="81"/>
      <c r="I244" s="81"/>
      <c r="J244" s="81"/>
      <c r="K244" s="81"/>
      <c r="L244" s="82"/>
      <c r="M244" s="82"/>
      <c r="N244" s="82"/>
      <c r="O244" s="83"/>
      <c r="P244" s="83"/>
      <c r="Q244" s="124"/>
    </row>
    <row r="245" spans="1:17" s="84" customFormat="1" ht="11.25" customHeight="1">
      <c r="A245" s="78"/>
      <c r="B245" s="109"/>
      <c r="C245" s="79"/>
      <c r="D245" s="79"/>
      <c r="E245" s="80"/>
      <c r="F245" s="81"/>
      <c r="G245" s="81"/>
      <c r="H245" s="81"/>
      <c r="I245" s="81"/>
      <c r="J245" s="81"/>
      <c r="K245" s="81"/>
      <c r="L245" s="82"/>
      <c r="M245" s="82"/>
      <c r="N245" s="82"/>
      <c r="O245" s="83"/>
      <c r="P245" s="83"/>
      <c r="Q245" s="124"/>
    </row>
    <row r="246" spans="1:17" s="88" customFormat="1" ht="23.25" customHeight="1">
      <c r="A246" s="85"/>
      <c r="B246" s="86"/>
      <c r="C246" s="87"/>
      <c r="D246" s="87"/>
      <c r="E246" s="1"/>
      <c r="F246" s="1"/>
      <c r="G246" s="1"/>
      <c r="H246" s="1"/>
      <c r="I246" s="1"/>
      <c r="J246" s="1"/>
      <c r="K246" s="1"/>
      <c r="L246" s="1"/>
      <c r="M246" s="1"/>
      <c r="N246" s="1"/>
      <c r="O246" s="1"/>
      <c r="P246" s="1"/>
      <c r="Q246" s="124"/>
    </row>
    <row r="247" spans="1:19" ht="26.25">
      <c r="A247" s="10"/>
      <c r="B247" s="77"/>
      <c r="C247" s="77"/>
      <c r="D247" s="77"/>
      <c r="E247" s="10"/>
      <c r="F247" s="10"/>
      <c r="G247" s="10"/>
      <c r="H247" s="10"/>
      <c r="I247" s="10"/>
      <c r="J247" s="10"/>
      <c r="K247" s="10"/>
      <c r="L247" s="10"/>
      <c r="M247" s="10"/>
      <c r="N247" s="10"/>
      <c r="O247" s="10"/>
      <c r="P247" s="10"/>
      <c r="Q247" s="94"/>
      <c r="S247" s="44"/>
    </row>
    <row r="248" spans="17:19" ht="26.25">
      <c r="Q248" s="94"/>
      <c r="S248" s="44"/>
    </row>
    <row r="249" spans="17:19" ht="26.25">
      <c r="Q249" s="94"/>
      <c r="S249" s="44"/>
    </row>
    <row r="250" ht="12.75">
      <c r="Q250" s="94"/>
    </row>
    <row r="251" spans="8:17" ht="12.75">
      <c r="H251" s="72"/>
      <c r="Q251" s="94"/>
    </row>
    <row r="252" ht="12.75">
      <c r="Q252" s="94"/>
    </row>
    <row r="253" ht="12.75">
      <c r="Q253" s="94"/>
    </row>
    <row r="254" ht="12.75">
      <c r="Q254" s="94"/>
    </row>
    <row r="255" ht="12.75">
      <c r="Q255" s="94"/>
    </row>
  </sheetData>
  <sheetProtection/>
  <mergeCells count="42">
    <mergeCell ref="Q97:Q99"/>
    <mergeCell ref="Q100:Q107"/>
    <mergeCell ref="Q30:Q53"/>
    <mergeCell ref="Q1:Q29"/>
    <mergeCell ref="Q155:Q181"/>
    <mergeCell ref="Q182:Q210"/>
    <mergeCell ref="Q211:Q232"/>
    <mergeCell ref="Q233:Q246"/>
    <mergeCell ref="L1:O1"/>
    <mergeCell ref="L3:P3"/>
    <mergeCell ref="Q108:Q131"/>
    <mergeCell ref="Q132:Q154"/>
    <mergeCell ref="Q54:Q81"/>
    <mergeCell ref="Q82:Q96"/>
    <mergeCell ref="L11:L12"/>
    <mergeCell ref="P9:P12"/>
    <mergeCell ref="J9:O9"/>
    <mergeCell ref="L10:M10"/>
    <mergeCell ref="N10:N12"/>
    <mergeCell ref="E9:I9"/>
    <mergeCell ref="H11:H12"/>
    <mergeCell ref="F10:F12"/>
    <mergeCell ref="R7:V7"/>
    <mergeCell ref="R1:U1"/>
    <mergeCell ref="R2:V2"/>
    <mergeCell ref="R6:V6"/>
    <mergeCell ref="B242:C242"/>
    <mergeCell ref="L242:O242"/>
    <mergeCell ref="B241:I241"/>
    <mergeCell ref="L241:O241"/>
    <mergeCell ref="I10:I12"/>
    <mergeCell ref="J10:J12"/>
    <mergeCell ref="B7:P7"/>
    <mergeCell ref="B9:B12"/>
    <mergeCell ref="D9:D12"/>
    <mergeCell ref="C9:C12"/>
    <mergeCell ref="M11:M12"/>
    <mergeCell ref="O11:O12"/>
    <mergeCell ref="K10:K12"/>
    <mergeCell ref="G10:H10"/>
    <mergeCell ref="G11:G12"/>
    <mergeCell ref="E10:E12"/>
  </mergeCells>
  <printOptions horizontalCentered="1"/>
  <pageMargins left="0.1968503937007874" right="0.1968503937007874" top="1.0236220472440944" bottom="0.4330708661417323" header="0.35433070866141736" footer="0.2362204724409449"/>
  <pageSetup fitToHeight="12" fitToWidth="1" horizontalDpi="600" verticalDpi="600" orientation="landscape" paperSize="9" scale="52" r:id="rId1"/>
  <headerFooter alignWithMargins="0">
    <oddHeader>&amp;R&amp;12Продовження додатку 4</oddHeader>
  </headerFooter>
  <rowBreaks count="3" manualBreakCount="3">
    <brk id="29" min="1" max="16" man="1"/>
    <brk id="78" min="1" max="16" man="1"/>
    <brk id="199" min="1"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Шуліпа Ольга Василівна</cp:lastModifiedBy>
  <cp:lastPrinted>2016-11-16T15:22:46Z</cp:lastPrinted>
  <dcterms:created xsi:type="dcterms:W3CDTF">2014-01-17T10:52:16Z</dcterms:created>
  <dcterms:modified xsi:type="dcterms:W3CDTF">2016-11-23T08:38:07Z</dcterms:modified>
  <cp:category/>
  <cp:version/>
  <cp:contentType/>
  <cp:contentStatus/>
</cp:coreProperties>
</file>