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activeTab="21"/>
  </bookViews>
  <sheets>
    <sheet name="дод. зміни 2022 " sheetId="1" r:id="rId1"/>
    <sheet name="дод. зміни 2020 1" sheetId="2" state="hidden" r:id="rId2"/>
    <sheet name="дод 2" sheetId="3" r:id="rId3"/>
    <sheet name="дод 3  Трансп.інфрастр. " sheetId="4" r:id="rId4"/>
    <sheet name="дод 4 Свет " sheetId="5" r:id="rId5"/>
    <sheet name="дод 5 озеленення  (2)" sheetId="6"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r:id="rId14"/>
    <sheet name="дод 14   Вода  " sheetId="15"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r:id="rId19"/>
    <sheet name="дод 19  Субв. Сироватк (Крас " sheetId="20" state="hidden" r:id="rId20"/>
    <sheet name="дод 20  паспорт дом  " sheetId="21" state="hidden" r:id="rId21"/>
    <sheet name="дод.21 Буд.реставр. та реконстр" sheetId="22" r:id="rId22"/>
    <sheet name="дод 22 Поверн  бюдж позичок" sheetId="23" state="hidden" r:id="rId23"/>
  </sheets>
  <definedNames>
    <definedName name="_xlnm.Print_Area" localSheetId="9">'дод 11   кап ремонт житло. '!$A$1:$O$38</definedName>
    <definedName name="_xlnm.Print_Area" localSheetId="10">'дод 12 Святкові   '!$A$1:$K$61</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зміцн.мат.тех.'!$A$1:$J$149</definedName>
    <definedName name="_xlnm.Print_Area" localSheetId="2">'дод 2'!$A$1:$U$43</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13">'дод 7  сан очистка (2)'!$A$1:$P$34</definedName>
    <definedName name="_xlnm.Print_Area" localSheetId="0">'дод. зміни 2022 '!$A$1:$K$46</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<sst xmlns="http://schemas.openxmlformats.org/spreadsheetml/2006/main" count="1845" uniqueCount="646">
  <si>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</si>
  <si>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</si>
  <si>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</si>
  <si>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</si>
  <si>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</si>
  <si>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</si>
  <si>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</si>
  <si>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</si>
  <si>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</si>
  <si>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</si>
  <si>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</si>
  <si>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</si>
  <si>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</si>
  <si>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</si>
  <si>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</si>
  <si>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</si>
  <si>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</si>
  <si>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</si>
  <si>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</si>
  <si>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</si>
  <si>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</si>
  <si>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</si>
  <si>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</si>
  <si>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</si>
  <si>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</si>
  <si>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</si>
  <si>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</si>
  <si>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</si>
  <si>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</si>
  <si>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</si>
  <si>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</si>
  <si>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</si>
  <si>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</si>
  <si>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</si>
  <si>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</si>
  <si>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</si>
  <si>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</si>
  <si>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</si>
  <si>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</si>
  <si>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</si>
  <si>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</si>
  <si>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</si>
  <si>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</si>
  <si>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</si>
  <si>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</si>
  <si>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</si>
  <si>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</si>
  <si>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</si>
  <si>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</si>
  <si>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</si>
  <si>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</si>
  <si>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</si>
  <si>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</si>
  <si>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</si>
  <si>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</si>
  <si>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</si>
  <si>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</si>
  <si>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</si>
  <si>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</si>
  <si>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</si>
  <si>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</si>
  <si>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</si>
  <si>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</si>
  <si>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</si>
  <si>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</si>
  <si>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</si>
  <si>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</si>
  <si>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</si>
  <si>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</si>
  <si>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</si>
  <si>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</si>
  <si>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</si>
  <si>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</si>
  <si>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</si>
  <si>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</si>
  <si>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</si>
  <si>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</si>
  <si>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</si>
  <si>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</si>
  <si>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</si>
  <si>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</si>
  <si>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</si>
  <si>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</si>
  <si>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</si>
  <si>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</si>
  <si>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</si>
  <si>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</si>
  <si>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</si>
  <si>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</si>
  <si>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</si>
  <si>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</si>
  <si>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</si>
  <si>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</si>
  <si>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</si>
  <si>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</si>
  <si>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</si>
  <si>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</si>
  <si>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</si>
  <si>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</si>
  <si>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</si>
  <si>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</si>
  <si>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</si>
  <si>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</si>
  <si>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</si>
  <si>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</si>
  <si>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</si>
  <si>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</si>
  <si>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</si>
  <si>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</si>
  <si>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</si>
  <si>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</si>
  <si>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</si>
  <si>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</si>
  <si>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</si>
  <si>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</si>
  <si>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</si>
  <si>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</si>
  <si>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</si>
  <si>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</si>
  <si>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</si>
  <si>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</si>
  <si>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</si>
  <si>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</si>
  <si>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</si>
  <si>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</si>
  <si>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</si>
  <si>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</si>
  <si>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</si>
  <si>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</si>
  <si>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</si>
  <si>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</si>
  <si>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</si>
  <si>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</si>
  <si>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</si>
  <si>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</si>
  <si>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</si>
  <si>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</si>
  <si>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</si>
  <si>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</si>
  <si>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</si>
  <si>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</si>
  <si>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</si>
  <si>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</si>
  <si>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</si>
  <si>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</si>
  <si>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</si>
  <si>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</si>
  <si>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</si>
  <si>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</si>
  <si>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</si>
  <si>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</si>
  <si>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</si>
  <si>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</si>
  <si>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</si>
  <si>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</si>
  <si>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</si>
  <si>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</si>
  <si>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</si>
  <si>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</si>
  <si>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</si>
  <si>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</si>
  <si>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</si>
  <si>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</si>
  <si>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</si>
  <si>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</si>
  <si>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</si>
  <si>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</si>
  <si>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</si>
  <si>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</si>
  <si>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</si>
  <si>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</si>
  <si>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</si>
  <si>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</si>
  <si>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</si>
  <si>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</si>
  <si>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</si>
  <si>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</si>
  <si>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</si>
  <si>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</si>
  <si>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</si>
  <si>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</si>
  <si>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</si>
  <si>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</si>
  <si>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</si>
  <si>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</si>
  <si>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</si>
  <si>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</si>
  <si>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</si>
  <si>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</si>
  <si>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</si>
  <si>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</si>
  <si>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</si>
  <si>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</si>
  <si>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</si>
  <si>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</si>
  <si>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</si>
  <si>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</si>
  <si>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</si>
  <si>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</si>
  <si>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</si>
  <si>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</si>
  <si>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</si>
  <si>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</si>
  <si>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</si>
  <si>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</si>
  <si>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</si>
  <si>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</si>
  <si>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</si>
  <si>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</si>
  <si>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</si>
  <si>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</si>
  <si>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</si>
  <si>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</si>
  <si>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</si>
  <si>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</si>
  <si>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</si>
  <si>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</si>
  <si>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</si>
  <si>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</si>
  <si>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</si>
  <si>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</si>
  <si>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</si>
  <si>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</si>
  <si>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</si>
  <si>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</si>
  <si>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</si>
  <si>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</si>
  <si>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</si>
  <si>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</si>
  <si>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</si>
  <si>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</si>
  <si>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</si>
  <si>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</si>
  <si>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</si>
  <si>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</si>
  <si>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</si>
  <si>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</si>
  <si>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</si>
  <si>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</si>
  <si>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</si>
  <si>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</si>
  <si>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</si>
  <si>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</si>
  <si>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</si>
  <si>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</si>
  <si>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</si>
  <si>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</si>
  <si>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</si>
  <si>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</si>
  <si>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</si>
  <si>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</si>
  <si>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</si>
  <si>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</si>
  <si>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</si>
  <si>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</si>
  <si>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</si>
  <si>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</si>
  <si>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</si>
  <si>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</si>
  <si>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</si>
  <si>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</si>
  <si>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</si>
  <si>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</si>
  <si>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</si>
  <si>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</si>
  <si>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</si>
  <si>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</si>
  <si>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</si>
  <si>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</si>
  <si>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</si>
  <si>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</si>
  <si>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</si>
  <si>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</si>
  <si>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</si>
  <si>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</si>
  <si>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</si>
  <si>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</si>
  <si>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</si>
  <si>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</si>
  <si>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</si>
  <si>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</si>
  <si>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</si>
  <si>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</si>
  <si>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</si>
  <si>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</si>
  <si>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</si>
  <si>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</si>
  <si>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</si>
  <si>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</si>
  <si>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</si>
  <si>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</si>
  <si>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</si>
  <si>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</si>
  <si>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</si>
  <si>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</si>
  <si>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</si>
  <si>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</si>
  <si>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</si>
  <si>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</si>
  <si>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</si>
  <si>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</si>
  <si>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</si>
  <si>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</si>
  <si>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</si>
  <si>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</si>
  <si>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</si>
  <si>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</si>
  <si>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</si>
  <si>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</si>
  <si>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</si>
  <si>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</si>
  <si>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</si>
  <si>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</si>
  <si>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</si>
  <si>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</si>
  <si>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</si>
  <si>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</si>
  <si>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</si>
  <si>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</si>
  <si>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</si>
  <si>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</si>
  <si>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</si>
  <si>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</si>
  <si>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</si>
  <si>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</si>
  <si>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</si>
  <si>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</si>
  <si>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</si>
  <si>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</si>
  <si>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</si>
  <si>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</si>
  <si>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</si>
  <si>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</si>
  <si>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</si>
  <si>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</si>
  <si>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</si>
  <si>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</si>
  <si>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</si>
  <si>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</si>
  <si>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</si>
  <si>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</si>
  <si>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</si>
  <si>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</si>
  <si>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</si>
  <si>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</si>
  <si>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</si>
  <si>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</si>
  <si>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</si>
  <si>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</si>
  <si>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</si>
  <si>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</si>
  <si>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</si>
  <si>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</si>
  <si>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</si>
  <si>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</si>
  <si>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</si>
  <si>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</si>
  <si>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</si>
  <si>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</si>
  <si>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</si>
  <si>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</si>
  <si>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</si>
  <si>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</si>
  <si>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</si>
  <si>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</si>
  <si>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</si>
  <si>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</si>
  <si>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</si>
  <si>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</si>
  <si>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</si>
  <si>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</si>
  <si>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</si>
  <si>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</si>
  <si>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</si>
  <si>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</si>
  <si>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</si>
  <si>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</si>
  <si>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</si>
  <si>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</si>
  <si>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</si>
  <si>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</si>
  <si>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</si>
  <si>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</si>
  <si>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</si>
  <si>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</si>
  <si>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</si>
  <si>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</si>
  <si>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</si>
  <si>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</si>
  <si>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</si>
  <si>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</si>
  <si>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</si>
  <si>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</si>
  <si>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</si>
  <si>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</si>
  <si>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</si>
  <si>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 xml:space="preserve">від                              № </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</si>
  <si>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</si>
  <si>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</si>
  <si>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</si>
  <si>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 xml:space="preserve">від                                 № </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</si>
  <si>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</si>
  <si>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</si>
  <si>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</si>
  <si>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</si>
  <si>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</si>
  <si>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</si>
  <si>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</si>
  <si>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</si>
  <si>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</si>
  <si>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</si>
  <si>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</si>
  <si>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</si>
  <si>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</si>
  <si>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</si>
  <si>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</si>
  <si>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</si>
  <si>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</si>
  <si>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</si>
  <si>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</si>
  <si>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</si>
  <si>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</si>
  <si>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</si>
  <si>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</si>
  <si>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</si>
  <si>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</si>
  <si>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</si>
  <si>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</si>
  <si>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</si>
  <si>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</si>
  <si>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</si>
  <si>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</si>
  <si>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</si>
  <si>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</si>
  <si>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</si>
  <si>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</si>
  <si>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</si>
  <si>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</si>
  <si>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</si>
  <si>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</si>
  <si>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</si>
  <si>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</si>
  <si>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</si>
  <si>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</si>
  <si>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</si>
  <si>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</si>
  <si>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</si>
  <si>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</si>
  <si>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</si>
  <si>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</si>
  <si>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</si>
  <si>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</si>
  <si>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</si>
  <si>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</si>
  <si>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</si>
  <si>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</si>
  <si>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</si>
  <si>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</si>
  <si>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</si>
  <si>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</si>
  <si>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</si>
  <si>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</si>
  <si>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</si>
  <si>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</si>
  <si>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</si>
  <si>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</si>
  <si>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</si>
  <si>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</si>
  <si>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</si>
  <si>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</si>
  <si>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</si>
  <si>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</si>
  <si>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</si>
  <si>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</si>
  <si>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</si>
  <si>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</si>
  <si>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</si>
  <si>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</si>
  <si>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</si>
  <si>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</si>
  <si>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</si>
  <si>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</si>
  <si>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</si>
  <si>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</si>
  <si>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</si>
  <si>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</si>
  <si>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</si>
  <si>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</si>
  <si>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</si>
  <si>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</si>
  <si>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</si>
  <si>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</si>
  <si>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</si>
  <si>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</si>
  <si>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</si>
  <si>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</si>
  <si>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</si>
  <si>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</si>
  <si>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</si>
  <si>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</si>
  <si>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</si>
  <si>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</si>
  <si>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</si>
  <si>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</si>
  <si>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</si>
  <si>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</si>
  <si>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</si>
  <si>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</si>
  <si>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</si>
  <si>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</si>
  <si>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</si>
  <si>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</si>
  <si>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</si>
  <si>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</si>
  <si>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</si>
  <si>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</si>
  <si>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</si>
  <si>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</si>
  <si>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</si>
  <si>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</si>
  <si>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</si>
  <si>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</si>
  <si>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</si>
  <si>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</si>
  <si>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</si>
  <si>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</si>
  <si>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</si>
  <si>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</si>
  <si>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</si>
  <si>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</si>
  <si>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</si>
  <si>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</si>
  <si>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</si>
  <si>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</si>
  <si>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</si>
  <si>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</si>
  <si>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</si>
  <si>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</si>
  <si>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</si>
  <si>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</si>
  <si>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</si>
  <si>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</si>
  <si>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</si>
  <si>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</si>
  <si>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</si>
  <si>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</si>
  <si>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</si>
  <si>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</si>
  <si>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</si>
  <si>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</si>
  <si>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</si>
  <si>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</si>
  <si>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</si>
  <si>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</si>
  <si>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</si>
  <si>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</si>
  <si>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</si>
  <si>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</si>
  <si>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</si>
  <si>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</si>
  <si>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</si>
  <si>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</si>
  <si>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</si>
  <si>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</si>
  <si>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</si>
  <si>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</si>
  <si>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</si>
  <si>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</si>
  <si>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</si>
  <si>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</si>
  <si>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</si>
  <si>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</si>
  <si>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</si>
  <si>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</si>
  <si>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</si>
  <si>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</si>
  <si>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</si>
  <si>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</si>
  <si>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</si>
  <si>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</si>
  <si>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</si>
  <si>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</si>
  <si>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</si>
  <si>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</si>
  <si>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</si>
  <si>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</si>
  <si>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</si>
  <si>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</si>
  <si>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</si>
  <si>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</si>
  <si>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</si>
  <si>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</si>
  <si>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</si>
  <si>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</si>
  <si>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</si>
  <si>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</si>
  <si>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</si>
  <si>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</si>
  <si>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</si>
  <si>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</si>
  <si>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</si>
  <si>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</si>
  <si>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</si>
  <si>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</si>
  <si>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</si>
  <si>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</si>
  <si>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</si>
  <si>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</si>
  <si>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</si>
  <si>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</si>
  <si>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від 26 січня 2022 року   № 2718-МР</t>
  </si>
  <si>
    <t>від                     2022 року   №          -МР</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</si>
  <si>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</si>
  <si>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</si>
  <si>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ЖУРБА</t>
  </si>
  <si>
    <t>до рішення сесії Сумської міської ради</t>
  </si>
  <si>
    <t>Олександр ЛИСЕНКО</t>
  </si>
  <si>
    <t>до рішення сесії  Сумської міської ради</t>
  </si>
  <si>
    <t>від                         №</t>
  </si>
  <si>
    <t>Додаток 13</t>
  </si>
  <si>
    <t>Додаток 15</t>
  </si>
  <si>
    <t>Додаток 18</t>
  </si>
  <si>
    <t>Додаток 4</t>
  </si>
  <si>
    <t>Виконавець: Олександр ЖУРБА</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</si>
  <si>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проведення державної експертизи та оцінки запасів корисних копалин )</t>
  </si>
  <si>
    <t>Додаток  6</t>
  </si>
  <si>
    <t>Зменшення до сум бюджетних призначень</t>
  </si>
  <si>
    <t>КПКВК 1216030</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</si>
  <si>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</si>
  <si>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4</t>
  </si>
  <si>
    <t>Зменшення / збільшення до сум бюджетних призначень</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</si>
  <si>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</si>
  <si>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Зменшення  до сум бюджетних призначень</t>
  </si>
  <si>
    <t>9</t>
  </si>
  <si>
    <t>14</t>
  </si>
  <si>
    <t>19</t>
  </si>
  <si>
    <t>Збільшення до сум бюджетних призначень</t>
  </si>
  <si>
    <t>Поповнення статутного капіталу  КП «Чисте місто» СМР (придбання гусеничного бульдозеру)</t>
  </si>
  <si>
    <t>Зменшення/ збільшення  до сум бюджетних призначень</t>
  </si>
  <si>
    <t>«Про внесення змін до Комплексної цільової програми</t>
  </si>
  <si>
    <t>від 26 січня 2022 року №2718-МР (зі змінами)»</t>
  </si>
  <si>
    <t>від 14 грудня 2022 року  № 3324-МР</t>
  </si>
  <si>
    <t>ради від 26 січня 2022 року №2718-МР (зі змінами)»</t>
  </si>
  <si>
    <t xml:space="preserve">на 2022- 2024  роки, затвердженої рішенням Сумської міської             </t>
  </si>
  <si>
    <t xml:space="preserve"> від 26 січня 2022 року № 2718-МР (зі змінами)» </t>
  </si>
  <si>
    <t>від 14 грудня 2022 року  №3324-МР</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</si>
</sst>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6" fillId="32" borderId="0" applyNumberFormat="0" applyBorder="0" applyAlignment="0" applyProtection="0"/>
  </cellStyleXfs>
  <cellXfs count="81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9" fontId="14" fillId="34" borderId="0" xfId="64" applyNumberFormat="1" applyFont="1" applyFill="1" applyBorder="1" applyAlignment="1">
      <alignment horizontal="center" vertical="center"/>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0" fontId="25" fillId="40" borderId="10" xfId="53" applyFont="1" applyFill="1" applyBorder="1" applyAlignment="1">
      <alignment horizontal="left" vertical="center" wrapText="1"/>
      <protection/>
    </xf>
    <xf numFmtId="194" fontId="14" fillId="40" borderId="12" xfId="53" applyNumberFormat="1" applyFont="1" applyFill="1" applyBorder="1" applyAlignment="1">
      <alignment horizontal="center" vertical="center" wrapText="1"/>
      <protection/>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25" fillId="40" borderId="0" xfId="53" applyFont="1" applyFill="1" applyAlignment="1">
      <alignment horizontal="center"/>
      <protection/>
    </xf>
    <xf numFmtId="0" fontId="6" fillId="40" borderId="10"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6" fillId="40" borderId="13" xfId="53" applyFont="1" applyFill="1" applyBorder="1" applyAlignment="1">
      <alignment horizontal="left"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left" vertical="center" wrapText="1"/>
      <protection/>
    </xf>
    <xf numFmtId="194" fontId="14" fillId="40" borderId="21" xfId="53" applyNumberFormat="1" applyFont="1" applyFill="1" applyBorder="1" applyAlignment="1">
      <alignment horizontal="center" vertical="center" wrapText="1"/>
      <protection/>
    </xf>
    <xf numFmtId="2" fontId="14" fillId="40" borderId="12" xfId="65" applyNumberFormat="1" applyFont="1" applyFill="1" applyBorder="1" applyAlignment="1">
      <alignment horizontal="center" vertical="center" wrapText="1"/>
    </xf>
    <xf numFmtId="194" fontId="25" fillId="40" borderId="21" xfId="53" applyNumberFormat="1" applyFont="1" applyFill="1" applyBorder="1" applyAlignment="1">
      <alignment horizontal="center" vertical="center" wrapText="1"/>
      <protection/>
    </xf>
    <xf numFmtId="2" fontId="25" fillId="40" borderId="12" xfId="65" applyNumberFormat="1" applyFont="1" applyFill="1" applyBorder="1" applyAlignment="1">
      <alignment horizontal="center" vertical="center" wrapText="1"/>
    </xf>
    <xf numFmtId="193" fontId="14" fillId="40" borderId="12" xfId="65" applyFont="1" applyFill="1" applyBorder="1" applyAlignment="1">
      <alignment horizontal="center" vertical="center" wrapText="1"/>
    </xf>
    <xf numFmtId="2" fontId="14" fillId="40" borderId="10" xfId="65" applyNumberFormat="1" applyFont="1" applyFill="1" applyBorder="1" applyAlignment="1">
      <alignment horizontal="center" vertical="center" wrapText="1"/>
    </xf>
    <xf numFmtId="2" fontId="0" fillId="40" borderId="0" xfId="53" applyNumberFormat="1" applyFont="1" applyFill="1">
      <alignment/>
      <protection/>
    </xf>
    <xf numFmtId="49" fontId="25" fillId="40" borderId="13" xfId="53" applyNumberFormat="1" applyFont="1" applyFill="1" applyBorder="1" applyAlignment="1">
      <alignment horizontal="center" vertical="center" wrapText="1"/>
      <protection/>
    </xf>
    <xf numFmtId="0" fontId="25" fillId="40" borderId="13" xfId="53" applyFont="1" applyFill="1" applyBorder="1" applyAlignment="1">
      <alignment horizontal="left" vertical="center" wrapText="1"/>
      <protection/>
    </xf>
    <xf numFmtId="193" fontId="25" fillId="40" borderId="21" xfId="65" applyFont="1" applyFill="1" applyBorder="1" applyAlignment="1">
      <alignment horizontal="center" vertical="center" wrapText="1"/>
    </xf>
    <xf numFmtId="2" fontId="25" fillId="40" borderId="10" xfId="65" applyNumberFormat="1" applyFont="1" applyFill="1" applyBorder="1" applyAlignment="1">
      <alignment horizontal="center" vertical="center" wrapText="1"/>
    </xf>
    <xf numFmtId="49" fontId="25" fillId="40" borderId="10" xfId="53" applyNumberFormat="1" applyFont="1" applyFill="1" applyBorder="1" applyAlignment="1">
      <alignment horizontal="center" vertical="center" wrapText="1"/>
      <protection/>
    </xf>
    <xf numFmtId="210" fontId="25" fillId="40" borderId="21" xfId="65" applyNumberFormat="1" applyFont="1" applyFill="1" applyBorder="1" applyAlignment="1">
      <alignment horizontal="center" vertical="center" wrapText="1"/>
    </xf>
    <xf numFmtId="0" fontId="14" fillId="40" borderId="10" xfId="53" applyFont="1" applyFill="1" applyBorder="1" applyAlignment="1">
      <alignment horizontal="left" vertical="center" wrapText="1"/>
      <protection/>
    </xf>
    <xf numFmtId="210" fontId="14" fillId="40" borderId="21" xfId="65" applyNumberFormat="1" applyFont="1" applyFill="1" applyBorder="1" applyAlignment="1">
      <alignment horizontal="center" vertical="center" wrapText="1"/>
    </xf>
    <xf numFmtId="210" fontId="25" fillId="40" borderId="12" xfId="65" applyNumberFormat="1" applyFont="1" applyFill="1" applyBorder="1" applyAlignment="1">
      <alignment horizontal="left" vertical="center" wrapText="1"/>
    </xf>
    <xf numFmtId="0" fontId="14" fillId="40" borderId="13" xfId="53" applyFont="1" applyFill="1" applyBorder="1" applyAlignment="1">
      <alignment horizontal="left" vertical="center" wrapText="1"/>
      <protection/>
    </xf>
    <xf numFmtId="210" fontId="14" fillId="40" borderId="10" xfId="65" applyNumberFormat="1" applyFont="1" applyFill="1" applyBorder="1" applyAlignment="1">
      <alignment horizontal="center" vertical="center" wrapText="1"/>
    </xf>
    <xf numFmtId="0" fontId="6" fillId="40" borderId="10" xfId="0" applyFont="1" applyFill="1" applyBorder="1" applyAlignment="1">
      <alignment vertical="center" wrapText="1"/>
    </xf>
    <xf numFmtId="193" fontId="25" fillId="40" borderId="12" xfId="65" applyFont="1" applyFill="1" applyBorder="1" applyAlignment="1">
      <alignment horizontal="center" vertical="center" wrapText="1"/>
    </xf>
    <xf numFmtId="210" fontId="14" fillId="40" borderId="12" xfId="65" applyNumberFormat="1" applyFont="1" applyFill="1" applyBorder="1" applyAlignment="1">
      <alignment horizontal="center" vertical="center" wrapText="1"/>
    </xf>
    <xf numFmtId="210" fontId="25" fillId="40" borderId="12" xfId="65" applyNumberFormat="1" applyFont="1" applyFill="1" applyBorder="1" applyAlignment="1">
      <alignment horizontal="center" vertical="center" wrapText="1"/>
    </xf>
    <xf numFmtId="210" fontId="25" fillId="40" borderId="10" xfId="65" applyNumberFormat="1" applyFont="1" applyFill="1" applyBorder="1" applyAlignment="1">
      <alignment horizontal="center" vertical="center" wrapText="1"/>
    </xf>
    <xf numFmtId="0" fontId="30" fillId="40" borderId="10" xfId="0" applyFont="1" applyFill="1" applyBorder="1" applyAlignment="1">
      <alignment vertical="center" wrapText="1"/>
    </xf>
    <xf numFmtId="193" fontId="14" fillId="40" borderId="10" xfId="65" applyFont="1" applyFill="1" applyBorder="1" applyAlignment="1">
      <alignment horizontal="center" vertical="center" wrapText="1"/>
    </xf>
    <xf numFmtId="0" fontId="0" fillId="40" borderId="0" xfId="53" applyFont="1" applyFill="1">
      <alignment/>
      <protection/>
    </xf>
    <xf numFmtId="0" fontId="13" fillId="40" borderId="0" xfId="53" applyFont="1" applyFill="1">
      <alignment/>
      <protection/>
    </xf>
    <xf numFmtId="0" fontId="0" fillId="40" borderId="0" xfId="0" applyFill="1" applyAlignment="1">
      <alignment/>
    </xf>
    <xf numFmtId="0" fontId="25" fillId="40" borderId="15" xfId="53" applyFont="1" applyFill="1" applyBorder="1" applyAlignment="1">
      <alignment horizontal="left" vertical="center" wrapText="1"/>
      <protection/>
    </xf>
    <xf numFmtId="193" fontId="25" fillId="40" borderId="10" xfId="65" applyFont="1" applyFill="1" applyBorder="1" applyAlignment="1">
      <alignment horizontal="center" vertical="center" wrapText="1"/>
    </xf>
    <xf numFmtId="198" fontId="28" fillId="40" borderId="10" xfId="0" applyNumberFormat="1" applyFont="1" applyFill="1" applyBorder="1" applyAlignment="1">
      <alignment horizontal="center" vertical="center"/>
    </xf>
    <xf numFmtId="193" fontId="14" fillId="40" borderId="10" xfId="62" applyFont="1" applyFill="1" applyBorder="1" applyAlignment="1">
      <alignment horizontal="center" vertical="center" wrapText="1"/>
    </xf>
    <xf numFmtId="0" fontId="14" fillId="40" borderId="15" xfId="53" applyFont="1" applyFill="1" applyBorder="1" applyAlignment="1">
      <alignment horizontal="left" vertical="center" wrapText="1"/>
      <protection/>
    </xf>
    <xf numFmtId="0" fontId="1" fillId="40" borderId="10" xfId="53" applyFont="1" applyFill="1" applyBorder="1" applyAlignment="1">
      <alignment vertical="center" wrapText="1"/>
      <protection/>
    </xf>
    <xf numFmtId="0" fontId="14" fillId="40" borderId="0" xfId="0" applyFont="1" applyFill="1" applyAlignment="1">
      <alignment horizontal="center" vertical="center" wrapText="1"/>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2"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25" fillId="40" borderId="0" xfId="53"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4" xfId="53" applyFont="1" applyFill="1" applyBorder="1" applyAlignment="1">
      <alignment horizontal="center" vertical="center" wrapText="1"/>
      <protection/>
    </xf>
    <xf numFmtId="0" fontId="25" fillId="40" borderId="0" xfId="53" applyFont="1" applyFill="1" applyAlignment="1">
      <alignment horizontal="center"/>
      <protection/>
    </xf>
    <xf numFmtId="0" fontId="25" fillId="0" borderId="0" xfId="53" applyFont="1" applyBorder="1" applyAlignment="1">
      <alignment horizontal="left" vertical="center" wrapText="1"/>
      <protection/>
    </xf>
    <xf numFmtId="0" fontId="2" fillId="34" borderId="21" xfId="53" applyFont="1" applyFill="1" applyBorder="1" applyAlignment="1">
      <alignment horizontal="right"/>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1" fillId="34" borderId="0" xfId="53" applyFont="1" applyFill="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9" fillId="0" borderId="0" xfId="53" applyFont="1" applyAlignment="1">
      <alignment horizontal="center"/>
      <protection/>
    </xf>
    <xf numFmtId="0" fontId="1" fillId="0" borderId="23"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40"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40" borderId="10" xfId="0" applyFont="1" applyFill="1" applyBorder="1" applyAlignment="1">
      <alignment horizontal="center" vertical="center"/>
    </xf>
    <xf numFmtId="0" fontId="6" fillId="40"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1" fillId="0" borderId="18"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2" fillId="0" borderId="0" xfId="53" applyFont="1" applyAlignment="1">
      <alignment horizontal="left" wrapText="1"/>
      <protection/>
    </xf>
    <xf numFmtId="0" fontId="6" fillId="40" borderId="12" xfId="53" applyFont="1" applyFill="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2" fillId="0" borderId="0" xfId="0" applyFont="1" applyAlignment="1">
      <alignment horizontal="left"/>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0" fontId="1" fillId="0" borderId="16"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view="pageBreakPreview" zoomScale="73" zoomScaleNormal="75" zoomScaleSheetLayoutView="73" zoomScalePageLayoutView="0" workbookViewId="0" topLeftCell="A1">
      <selection activeCell="F11" sqref="F11"/>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8" width="21.28125" style="215"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29"/>
      <c r="B1" s="529"/>
      <c r="C1" s="530"/>
      <c r="D1" s="531"/>
      <c r="E1" s="531"/>
      <c r="F1" s="531"/>
      <c r="G1" s="531"/>
      <c r="H1" s="531"/>
      <c r="I1" s="356"/>
      <c r="J1" s="356"/>
      <c r="K1" s="356"/>
      <c r="L1" s="231"/>
      <c r="M1" s="231"/>
      <c r="N1" s="231"/>
    </row>
    <row r="2" spans="1:14" ht="51.75" customHeight="1">
      <c r="A2" s="621" t="s">
        <v>605</v>
      </c>
      <c r="B2" s="621"/>
      <c r="C2" s="621"/>
      <c r="D2" s="621"/>
      <c r="E2" s="621"/>
      <c r="F2" s="621"/>
      <c r="G2" s="621"/>
      <c r="H2" s="621"/>
      <c r="I2" s="621"/>
      <c r="J2" s="621"/>
      <c r="K2" s="532"/>
      <c r="L2" s="231"/>
      <c r="M2" s="231"/>
      <c r="N2" s="231"/>
    </row>
    <row r="3" spans="1:14" ht="1.5" customHeight="1">
      <c r="A3" s="621"/>
      <c r="B3" s="621"/>
      <c r="C3" s="621"/>
      <c r="D3" s="621"/>
      <c r="E3" s="621"/>
      <c r="F3" s="621"/>
      <c r="G3" s="621"/>
      <c r="H3" s="621"/>
      <c r="I3" s="621"/>
      <c r="J3" s="621"/>
      <c r="K3" s="532"/>
      <c r="L3" s="231"/>
      <c r="M3" s="231"/>
      <c r="N3" s="231"/>
    </row>
    <row r="4" spans="1:14" ht="3" customHeight="1" hidden="1">
      <c r="A4" s="533"/>
      <c r="B4" s="533"/>
      <c r="C4" s="534"/>
      <c r="D4" s="533"/>
      <c r="E4" s="533"/>
      <c r="F4" s="533"/>
      <c r="G4" s="533"/>
      <c r="H4" s="533"/>
      <c r="I4" s="532"/>
      <c r="J4" s="532"/>
      <c r="K4" s="532"/>
      <c r="L4" s="231"/>
      <c r="M4" s="231"/>
      <c r="N4" s="231"/>
    </row>
    <row r="5" spans="1:14" ht="37.5" customHeight="1">
      <c r="A5" s="622" t="s">
        <v>464</v>
      </c>
      <c r="B5" s="622" t="s">
        <v>529</v>
      </c>
      <c r="C5" s="535" t="s">
        <v>55</v>
      </c>
      <c r="D5" s="536" t="s">
        <v>56</v>
      </c>
      <c r="E5" s="622" t="s">
        <v>100</v>
      </c>
      <c r="F5" s="535" t="s">
        <v>55</v>
      </c>
      <c r="G5" s="536" t="s">
        <v>56</v>
      </c>
      <c r="H5" s="622" t="s">
        <v>100</v>
      </c>
      <c r="I5" s="625" t="s">
        <v>57</v>
      </c>
      <c r="J5" s="626"/>
      <c r="K5" s="627"/>
      <c r="L5" s="231"/>
      <c r="M5" s="231"/>
      <c r="N5" s="231"/>
    </row>
    <row r="6" spans="1:14" ht="15" customHeight="1">
      <c r="A6" s="623"/>
      <c r="B6" s="623"/>
      <c r="C6" s="622">
        <v>2022</v>
      </c>
      <c r="D6" s="626">
        <v>2022</v>
      </c>
      <c r="E6" s="623"/>
      <c r="F6" s="622">
        <v>2023</v>
      </c>
      <c r="G6" s="626">
        <v>2023</v>
      </c>
      <c r="H6" s="623"/>
      <c r="I6" s="628"/>
      <c r="J6" s="629"/>
      <c r="K6" s="630"/>
      <c r="L6" s="231"/>
      <c r="M6" s="231"/>
      <c r="N6" s="231"/>
    </row>
    <row r="7" spans="1:14" ht="18" customHeight="1">
      <c r="A7" s="624"/>
      <c r="B7" s="624"/>
      <c r="C7" s="624"/>
      <c r="D7" s="632"/>
      <c r="E7" s="624"/>
      <c r="F7" s="624"/>
      <c r="G7" s="632"/>
      <c r="H7" s="624"/>
      <c r="I7" s="628"/>
      <c r="J7" s="629"/>
      <c r="K7" s="630"/>
      <c r="L7" s="231"/>
      <c r="M7" s="231"/>
      <c r="N7" s="231"/>
    </row>
    <row r="8" spans="1:14" ht="18" customHeight="1">
      <c r="A8" s="576"/>
      <c r="B8" s="576" t="s">
        <v>591</v>
      </c>
      <c r="C8" s="535">
        <v>399343.53</v>
      </c>
      <c r="D8" s="535">
        <v>360486.93</v>
      </c>
      <c r="E8" s="564">
        <f>D8-C8</f>
        <v>-38856.600000000035</v>
      </c>
      <c r="F8" s="535">
        <v>929216.83</v>
      </c>
      <c r="G8" s="535">
        <v>929216.83</v>
      </c>
      <c r="H8" s="564">
        <f>G8-F8</f>
        <v>0</v>
      </c>
      <c r="I8" s="628"/>
      <c r="J8" s="629"/>
      <c r="K8" s="630"/>
      <c r="L8" s="231"/>
      <c r="M8" s="231"/>
      <c r="N8" s="231"/>
    </row>
    <row r="9" spans="1:14" ht="18" customHeight="1">
      <c r="A9" s="576"/>
      <c r="B9" s="576" t="s">
        <v>593</v>
      </c>
      <c r="C9" s="535">
        <v>399219.53</v>
      </c>
      <c r="D9" s="535">
        <v>360362.93</v>
      </c>
      <c r="E9" s="564">
        <f>D9-C9</f>
        <v>-38856.600000000035</v>
      </c>
      <c r="F9" s="535">
        <v>875463.83</v>
      </c>
      <c r="G9" s="535">
        <v>875463.83</v>
      </c>
      <c r="H9" s="564">
        <f>G9-F9</f>
        <v>0</v>
      </c>
      <c r="I9" s="628"/>
      <c r="J9" s="629"/>
      <c r="K9" s="630"/>
      <c r="L9" s="231"/>
      <c r="M9" s="231"/>
      <c r="N9" s="231"/>
    </row>
    <row r="10" spans="1:14" ht="18" customHeight="1">
      <c r="A10" s="576"/>
      <c r="B10" s="576" t="s">
        <v>592</v>
      </c>
      <c r="C10" s="576"/>
      <c r="D10" s="576"/>
      <c r="E10" s="576"/>
      <c r="F10" s="576"/>
      <c r="G10" s="576"/>
      <c r="H10" s="576"/>
      <c r="I10" s="631"/>
      <c r="J10" s="632"/>
      <c r="K10" s="633"/>
      <c r="L10" s="231"/>
      <c r="M10" s="231"/>
      <c r="N10" s="231"/>
    </row>
    <row r="11" spans="1:14" ht="66" customHeight="1">
      <c r="A11" s="576"/>
      <c r="B11" s="586" t="s">
        <v>393</v>
      </c>
      <c r="C11" s="576">
        <v>63014</v>
      </c>
      <c r="D11" s="587">
        <v>62954</v>
      </c>
      <c r="E11" s="588">
        <f>D11-C11</f>
        <v>-60</v>
      </c>
      <c r="F11" s="578"/>
      <c r="G11" s="535"/>
      <c r="H11" s="535"/>
      <c r="I11" s="535"/>
      <c r="J11" s="535"/>
      <c r="K11" s="634" t="s">
        <v>626</v>
      </c>
      <c r="L11" s="231"/>
      <c r="M11" s="231"/>
      <c r="N11" s="231"/>
    </row>
    <row r="12" spans="1:14" s="215" customFormat="1" ht="37.5">
      <c r="A12" s="535">
        <v>2</v>
      </c>
      <c r="B12" s="583" t="s">
        <v>363</v>
      </c>
      <c r="C12" s="542">
        <v>5350</v>
      </c>
      <c r="D12" s="589">
        <v>5290</v>
      </c>
      <c r="E12" s="590">
        <f>D12-C12</f>
        <v>-60</v>
      </c>
      <c r="F12" s="578"/>
      <c r="G12" s="535"/>
      <c r="H12" s="535"/>
      <c r="I12" s="535"/>
      <c r="J12" s="535"/>
      <c r="K12" s="636"/>
      <c r="L12" s="231"/>
      <c r="M12" s="231"/>
      <c r="N12" s="231"/>
    </row>
    <row r="13" spans="1:14" s="215" customFormat="1" ht="60.75">
      <c r="A13" s="537"/>
      <c r="B13" s="538" t="s">
        <v>392</v>
      </c>
      <c r="C13" s="591">
        <v>211540.5</v>
      </c>
      <c r="D13" s="591">
        <v>174237</v>
      </c>
      <c r="E13" s="588">
        <f aca="true" t="shared" si="0" ref="E13:E32">D13-C13</f>
        <v>-37303.5</v>
      </c>
      <c r="F13" s="592"/>
      <c r="G13" s="592"/>
      <c r="H13" s="592"/>
      <c r="I13" s="634" t="s">
        <v>627</v>
      </c>
      <c r="J13" s="634" t="s">
        <v>628</v>
      </c>
      <c r="K13" s="634" t="s">
        <v>626</v>
      </c>
      <c r="L13" s="593"/>
      <c r="M13" s="109"/>
      <c r="N13" s="109"/>
    </row>
    <row r="14" spans="1:14" s="215" customFormat="1" ht="60.75">
      <c r="A14" s="594" t="s">
        <v>629</v>
      </c>
      <c r="B14" s="595" t="s">
        <v>311</v>
      </c>
      <c r="C14" s="616">
        <v>66000</v>
      </c>
      <c r="D14" s="616">
        <v>61774.8</v>
      </c>
      <c r="E14" s="590">
        <f t="shared" si="0"/>
        <v>-4225.199999999997</v>
      </c>
      <c r="F14" s="592"/>
      <c r="G14" s="592"/>
      <c r="H14" s="592"/>
      <c r="I14" s="635"/>
      <c r="J14" s="635"/>
      <c r="K14" s="635"/>
      <c r="L14" s="593"/>
      <c r="M14" s="109"/>
      <c r="N14" s="109"/>
    </row>
    <row r="15" spans="1:14" s="215" customFormat="1" ht="20.25">
      <c r="A15" s="594" t="s">
        <v>186</v>
      </c>
      <c r="B15" s="62" t="s">
        <v>358</v>
      </c>
      <c r="C15" s="616">
        <v>1500</v>
      </c>
      <c r="D15" s="616">
        <v>204.2</v>
      </c>
      <c r="E15" s="590">
        <f t="shared" si="0"/>
        <v>-1295.8</v>
      </c>
      <c r="F15" s="592"/>
      <c r="G15" s="592"/>
      <c r="H15" s="592"/>
      <c r="I15" s="635"/>
      <c r="J15" s="635"/>
      <c r="K15" s="635"/>
      <c r="L15" s="593"/>
      <c r="M15" s="109"/>
      <c r="N15" s="109"/>
    </row>
    <row r="16" spans="1:14" s="215" customFormat="1" ht="20.25">
      <c r="A16" s="594" t="s">
        <v>187</v>
      </c>
      <c r="B16" s="325" t="s">
        <v>273</v>
      </c>
      <c r="C16" s="616">
        <v>1595.2</v>
      </c>
      <c r="D16" s="616">
        <v>855</v>
      </c>
      <c r="E16" s="590">
        <f t="shared" si="0"/>
        <v>-740.2</v>
      </c>
      <c r="F16" s="592"/>
      <c r="G16" s="592"/>
      <c r="H16" s="592"/>
      <c r="I16" s="635"/>
      <c r="J16" s="635"/>
      <c r="K16" s="635"/>
      <c r="L16" s="593"/>
      <c r="M16" s="109"/>
      <c r="N16" s="109"/>
    </row>
    <row r="17" spans="1:14" s="215" customFormat="1" ht="37.5">
      <c r="A17" s="594" t="s">
        <v>188</v>
      </c>
      <c r="B17" s="294" t="s">
        <v>376</v>
      </c>
      <c r="C17" s="616">
        <v>11469</v>
      </c>
      <c r="D17" s="616">
        <v>1701.9</v>
      </c>
      <c r="E17" s="590">
        <f t="shared" si="0"/>
        <v>-9767.1</v>
      </c>
      <c r="F17" s="592"/>
      <c r="G17" s="592"/>
      <c r="H17" s="592"/>
      <c r="I17" s="635"/>
      <c r="J17" s="635"/>
      <c r="K17" s="635"/>
      <c r="L17" s="593"/>
      <c r="M17" s="109"/>
      <c r="N17" s="109"/>
    </row>
    <row r="18" spans="1:14" s="215" customFormat="1" ht="37.5">
      <c r="A18" s="594" t="s">
        <v>194</v>
      </c>
      <c r="B18" s="294" t="s">
        <v>449</v>
      </c>
      <c r="C18" s="616">
        <v>894.6</v>
      </c>
      <c r="D18" s="616">
        <v>0</v>
      </c>
      <c r="E18" s="590">
        <f t="shared" si="0"/>
        <v>-894.6</v>
      </c>
      <c r="F18" s="592"/>
      <c r="G18" s="592"/>
      <c r="H18" s="592"/>
      <c r="I18" s="635"/>
      <c r="J18" s="635"/>
      <c r="K18" s="635"/>
      <c r="L18" s="593"/>
      <c r="M18" s="109"/>
      <c r="N18" s="109"/>
    </row>
    <row r="19" spans="1:14" s="215" customFormat="1" ht="37.5">
      <c r="A19" s="594" t="s">
        <v>633</v>
      </c>
      <c r="B19" s="294" t="s">
        <v>308</v>
      </c>
      <c r="C19" s="616">
        <v>2191.7</v>
      </c>
      <c r="D19" s="616">
        <v>367.7</v>
      </c>
      <c r="E19" s="590">
        <f t="shared" si="0"/>
        <v>-1823.9999999999998</v>
      </c>
      <c r="F19" s="592"/>
      <c r="G19" s="592"/>
      <c r="H19" s="592"/>
      <c r="I19" s="635"/>
      <c r="J19" s="635"/>
      <c r="K19" s="635"/>
      <c r="L19" s="593"/>
      <c r="M19" s="109"/>
      <c r="N19" s="109"/>
    </row>
    <row r="20" spans="1:14" s="215" customFormat="1" ht="37.5">
      <c r="A20" s="594" t="s">
        <v>390</v>
      </c>
      <c r="B20" s="294" t="s">
        <v>450</v>
      </c>
      <c r="C20" s="616">
        <v>1440</v>
      </c>
      <c r="D20" s="616">
        <v>1195</v>
      </c>
      <c r="E20" s="590">
        <f t="shared" si="0"/>
        <v>-245</v>
      </c>
      <c r="F20" s="592"/>
      <c r="G20" s="592"/>
      <c r="H20" s="592"/>
      <c r="I20" s="635"/>
      <c r="J20" s="635"/>
      <c r="K20" s="635"/>
      <c r="L20" s="593"/>
      <c r="M20" s="109"/>
      <c r="N20" s="109"/>
    </row>
    <row r="21" spans="1:14" s="215" customFormat="1" ht="37.5">
      <c r="A21" s="594" t="s">
        <v>634</v>
      </c>
      <c r="B21" s="62" t="s">
        <v>276</v>
      </c>
      <c r="C21" s="616">
        <v>5000</v>
      </c>
      <c r="D21" s="596">
        <f>3500-1911.6</f>
        <v>1588.4</v>
      </c>
      <c r="E21" s="590">
        <f t="shared" si="0"/>
        <v>-3411.6</v>
      </c>
      <c r="F21" s="592"/>
      <c r="G21" s="592"/>
      <c r="H21" s="592"/>
      <c r="I21" s="635"/>
      <c r="J21" s="635"/>
      <c r="K21" s="635"/>
      <c r="L21" s="593"/>
      <c r="M21" s="109"/>
      <c r="N21" s="109"/>
    </row>
    <row r="22" spans="1:14" s="215" customFormat="1" ht="37.5">
      <c r="A22" s="573">
        <v>18</v>
      </c>
      <c r="B22" s="62" t="s">
        <v>451</v>
      </c>
      <c r="C22" s="528">
        <v>7000</v>
      </c>
      <c r="D22" s="596">
        <v>0</v>
      </c>
      <c r="E22" s="590">
        <f t="shared" si="0"/>
        <v>-7000</v>
      </c>
      <c r="F22" s="597"/>
      <c r="G22" s="597"/>
      <c r="H22" s="597"/>
      <c r="I22" s="635"/>
      <c r="J22" s="635"/>
      <c r="K22" s="635"/>
      <c r="L22" s="593"/>
      <c r="M22" s="109"/>
      <c r="N22" s="109"/>
    </row>
    <row r="23" spans="1:14" s="215" customFormat="1" ht="37.5">
      <c r="A23" s="598" t="s">
        <v>635</v>
      </c>
      <c r="B23" s="294" t="s">
        <v>580</v>
      </c>
      <c r="C23" s="528">
        <v>50000</v>
      </c>
      <c r="D23" s="599">
        <v>42100</v>
      </c>
      <c r="E23" s="590">
        <f t="shared" si="0"/>
        <v>-7900</v>
      </c>
      <c r="F23" s="597"/>
      <c r="G23" s="597"/>
      <c r="H23" s="597"/>
      <c r="I23" s="635"/>
      <c r="J23" s="635"/>
      <c r="K23" s="635"/>
      <c r="L23" s="109"/>
      <c r="M23" s="109"/>
      <c r="N23" s="109"/>
    </row>
    <row r="24" spans="1:14" s="215" customFormat="1" ht="60.75">
      <c r="A24" s="598"/>
      <c r="B24" s="600" t="s">
        <v>399</v>
      </c>
      <c r="C24" s="604">
        <v>7440</v>
      </c>
      <c r="D24" s="604">
        <v>7430</v>
      </c>
      <c r="E24" s="588">
        <f t="shared" si="0"/>
        <v>-10</v>
      </c>
      <c r="F24" s="592"/>
      <c r="G24" s="592"/>
      <c r="H24" s="588"/>
      <c r="I24" s="574"/>
      <c r="J24" s="574"/>
      <c r="K24" s="634" t="s">
        <v>632</v>
      </c>
      <c r="L24" s="109"/>
      <c r="M24" s="109"/>
      <c r="N24" s="109"/>
    </row>
    <row r="25" spans="1:14" s="215" customFormat="1" ht="37.5">
      <c r="A25" s="598" t="s">
        <v>186</v>
      </c>
      <c r="B25" s="583" t="s">
        <v>440</v>
      </c>
      <c r="C25" s="602">
        <v>1300</v>
      </c>
      <c r="D25" s="599">
        <v>1290</v>
      </c>
      <c r="E25" s="590">
        <f t="shared" si="0"/>
        <v>-10</v>
      </c>
      <c r="F25" s="597"/>
      <c r="G25" s="597"/>
      <c r="H25" s="597"/>
      <c r="I25" s="574"/>
      <c r="J25" s="574"/>
      <c r="K25" s="635"/>
      <c r="L25" s="109"/>
      <c r="M25" s="109"/>
      <c r="N25" s="109"/>
    </row>
    <row r="26" spans="1:14" s="215" customFormat="1" ht="81" customHeight="1">
      <c r="A26" s="598"/>
      <c r="B26" s="603" t="s">
        <v>397</v>
      </c>
      <c r="C26" s="604">
        <v>33831.1</v>
      </c>
      <c r="D26" s="604">
        <v>29301.6</v>
      </c>
      <c r="E26" s="588">
        <f t="shared" si="0"/>
        <v>-4529.5</v>
      </c>
      <c r="F26" s="618">
        <v>55596</v>
      </c>
      <c r="G26" s="618">
        <v>55596</v>
      </c>
      <c r="H26" s="592">
        <f>G26-F26</f>
        <v>0</v>
      </c>
      <c r="I26" s="573" t="s">
        <v>627</v>
      </c>
      <c r="J26" s="573" t="s">
        <v>631</v>
      </c>
      <c r="K26" s="634" t="s">
        <v>630</v>
      </c>
      <c r="L26" s="109"/>
      <c r="M26" s="109"/>
      <c r="N26" s="109"/>
    </row>
    <row r="27" spans="1:14" s="215" customFormat="1" ht="81" customHeight="1">
      <c r="A27" s="598" t="s">
        <v>172</v>
      </c>
      <c r="B27" s="581" t="s">
        <v>599</v>
      </c>
      <c r="C27" s="604"/>
      <c r="D27" s="604"/>
      <c r="E27" s="588"/>
      <c r="F27" s="597">
        <v>11466.7</v>
      </c>
      <c r="G27" s="597">
        <v>7800</v>
      </c>
      <c r="H27" s="597">
        <f>G27-F27</f>
        <v>-3666.7000000000007</v>
      </c>
      <c r="I27" s="574"/>
      <c r="J27" s="574"/>
      <c r="K27" s="635"/>
      <c r="L27" s="109"/>
      <c r="M27" s="109"/>
      <c r="N27" s="109"/>
    </row>
    <row r="28" spans="1:14" s="215" customFormat="1" ht="75">
      <c r="A28" s="605">
        <v>3</v>
      </c>
      <c r="B28" s="581" t="s">
        <v>365</v>
      </c>
      <c r="C28" s="609">
        <v>9395</v>
      </c>
      <c r="D28" s="609">
        <v>9635.1</v>
      </c>
      <c r="E28" s="590">
        <f t="shared" si="0"/>
        <v>240.10000000000036</v>
      </c>
      <c r="F28" s="597">
        <v>6958.9</v>
      </c>
      <c r="G28" s="597">
        <v>10625.6</v>
      </c>
      <c r="H28" s="597">
        <f>G28-F28</f>
        <v>3666.7000000000007</v>
      </c>
      <c r="I28" s="574"/>
      <c r="J28" s="574"/>
      <c r="K28" s="635"/>
      <c r="L28" s="109"/>
      <c r="M28" s="109"/>
      <c r="N28" s="109"/>
    </row>
    <row r="29" spans="1:14" s="215" customFormat="1" ht="20.25">
      <c r="A29" s="580">
        <v>10</v>
      </c>
      <c r="B29" s="581" t="s">
        <v>9</v>
      </c>
      <c r="C29" s="606">
        <v>900</v>
      </c>
      <c r="D29" s="599">
        <v>530.4</v>
      </c>
      <c r="E29" s="590">
        <f t="shared" si="0"/>
        <v>-369.6</v>
      </c>
      <c r="F29" s="597"/>
      <c r="G29" s="597"/>
      <c r="H29" s="597"/>
      <c r="I29" s="574"/>
      <c r="J29" s="574"/>
      <c r="K29" s="635"/>
      <c r="L29" s="109"/>
      <c r="M29" s="109"/>
      <c r="N29" s="109"/>
    </row>
    <row r="30" spans="1:14" s="215" customFormat="1" ht="20.25">
      <c r="A30" s="582">
        <v>14</v>
      </c>
      <c r="B30" s="512" t="s">
        <v>328</v>
      </c>
      <c r="C30" s="606">
        <v>7761.2</v>
      </c>
      <c r="D30" s="599">
        <v>3361.2</v>
      </c>
      <c r="E30" s="590">
        <f t="shared" si="0"/>
        <v>-4400</v>
      </c>
      <c r="F30" s="597"/>
      <c r="G30" s="597"/>
      <c r="H30" s="597"/>
      <c r="I30" s="574"/>
      <c r="J30" s="574"/>
      <c r="K30" s="635"/>
      <c r="L30" s="109"/>
      <c r="M30" s="109"/>
      <c r="N30" s="109"/>
    </row>
    <row r="31" spans="1:14" s="215" customFormat="1" ht="60.75" customHeight="1">
      <c r="A31" s="598"/>
      <c r="B31" s="600" t="s">
        <v>405</v>
      </c>
      <c r="C31" s="591">
        <v>60</v>
      </c>
      <c r="D31" s="601">
        <v>2060</v>
      </c>
      <c r="E31" s="588">
        <f t="shared" si="0"/>
        <v>2000</v>
      </c>
      <c r="F31" s="597"/>
      <c r="G31" s="597"/>
      <c r="H31" s="597"/>
      <c r="I31" s="574"/>
      <c r="J31" s="574"/>
      <c r="K31" s="634" t="s">
        <v>636</v>
      </c>
      <c r="L31" s="109"/>
      <c r="M31" s="109"/>
      <c r="N31" s="109"/>
    </row>
    <row r="32" spans="1:14" s="215" customFormat="1" ht="20.25">
      <c r="A32" s="598" t="s">
        <v>291</v>
      </c>
      <c r="B32" s="512" t="s">
        <v>249</v>
      </c>
      <c r="C32" s="606">
        <v>14.1</v>
      </c>
      <c r="D32" s="599">
        <v>2014.1</v>
      </c>
      <c r="E32" s="590">
        <f t="shared" si="0"/>
        <v>2000</v>
      </c>
      <c r="F32" s="597"/>
      <c r="G32" s="597"/>
      <c r="H32" s="597"/>
      <c r="I32" s="574"/>
      <c r="J32" s="574"/>
      <c r="K32" s="635"/>
      <c r="L32" s="109"/>
      <c r="M32" s="109"/>
      <c r="N32" s="109"/>
    </row>
    <row r="33" spans="1:14" s="215" customFormat="1" ht="60.75" customHeight="1">
      <c r="A33" s="537"/>
      <c r="B33" s="538" t="s">
        <v>570</v>
      </c>
      <c r="C33" s="607">
        <v>6096.5</v>
      </c>
      <c r="D33" s="607">
        <v>6071.4</v>
      </c>
      <c r="E33" s="540">
        <f aca="true" t="shared" si="1" ref="E33:E40">D33-C33</f>
        <v>-25.100000000000364</v>
      </c>
      <c r="F33" s="535"/>
      <c r="G33" s="535"/>
      <c r="H33" s="540"/>
      <c r="I33" s="634" t="s">
        <v>579</v>
      </c>
      <c r="J33" s="634" t="s">
        <v>590</v>
      </c>
      <c r="K33" s="634" t="s">
        <v>632</v>
      </c>
      <c r="L33" s="109"/>
      <c r="M33" s="109"/>
      <c r="N33" s="109"/>
    </row>
    <row r="34" spans="1:14" s="215" customFormat="1" ht="20.25">
      <c r="A34" s="537" t="s">
        <v>158</v>
      </c>
      <c r="B34" s="539" t="s">
        <v>574</v>
      </c>
      <c r="C34" s="608">
        <v>79</v>
      </c>
      <c r="D34" s="599">
        <v>78.9</v>
      </c>
      <c r="E34" s="542">
        <f t="shared" si="1"/>
        <v>-0.09999999999999432</v>
      </c>
      <c r="F34" s="543"/>
      <c r="G34" s="543"/>
      <c r="H34" s="542"/>
      <c r="I34" s="636"/>
      <c r="J34" s="636"/>
      <c r="K34" s="635"/>
      <c r="L34" s="109"/>
      <c r="M34" s="109"/>
      <c r="N34" s="109"/>
    </row>
    <row r="35" spans="1:14" s="215" customFormat="1" ht="37.5">
      <c r="A35" s="537" t="s">
        <v>186</v>
      </c>
      <c r="B35" s="512" t="s">
        <v>576</v>
      </c>
      <c r="C35" s="608">
        <v>220</v>
      </c>
      <c r="D35" s="599">
        <v>195</v>
      </c>
      <c r="E35" s="542">
        <f t="shared" si="1"/>
        <v>-25</v>
      </c>
      <c r="F35" s="543"/>
      <c r="G35" s="543"/>
      <c r="H35" s="542"/>
      <c r="I35" s="575"/>
      <c r="J35" s="575"/>
      <c r="K35" s="636"/>
      <c r="L35" s="109"/>
      <c r="M35" s="109"/>
      <c r="N35" s="109"/>
    </row>
    <row r="36" spans="1:22" s="614" customFormat="1" ht="40.5" customHeight="1">
      <c r="A36" s="537"/>
      <c r="B36" s="610" t="s">
        <v>421</v>
      </c>
      <c r="C36" s="611">
        <v>18601.4</v>
      </c>
      <c r="D36" s="611">
        <v>17761.3</v>
      </c>
      <c r="E36" s="588">
        <f t="shared" si="1"/>
        <v>-840.1000000000022</v>
      </c>
      <c r="F36" s="543"/>
      <c r="G36" s="543"/>
      <c r="H36" s="542"/>
      <c r="I36" s="575"/>
      <c r="J36" s="575"/>
      <c r="K36" s="634" t="s">
        <v>632</v>
      </c>
      <c r="L36" s="612"/>
      <c r="M36" s="612"/>
      <c r="N36" s="612"/>
      <c r="O36" s="613"/>
      <c r="P36" s="613"/>
      <c r="Q36" s="613"/>
      <c r="R36" s="613"/>
      <c r="S36" s="613"/>
      <c r="T36" s="613"/>
      <c r="U36" s="613"/>
      <c r="V36" s="613"/>
    </row>
    <row r="37" spans="1:22" s="614" customFormat="1" ht="20.25">
      <c r="A37" s="537" t="s">
        <v>291</v>
      </c>
      <c r="B37" s="615" t="s">
        <v>201</v>
      </c>
      <c r="C37" s="616">
        <v>2976.2</v>
      </c>
      <c r="D37" s="616">
        <v>2136.1</v>
      </c>
      <c r="E37" s="542">
        <f t="shared" si="1"/>
        <v>-840.0999999999999</v>
      </c>
      <c r="F37" s="543"/>
      <c r="G37" s="543"/>
      <c r="H37" s="542"/>
      <c r="I37" s="575"/>
      <c r="J37" s="575"/>
      <c r="K37" s="635"/>
      <c r="L37" s="612"/>
      <c r="M37" s="612"/>
      <c r="N37" s="612"/>
      <c r="O37" s="613"/>
      <c r="P37" s="613"/>
      <c r="Q37" s="613"/>
      <c r="R37" s="613"/>
      <c r="S37" s="613"/>
      <c r="T37" s="613"/>
      <c r="U37" s="613"/>
      <c r="V37" s="613"/>
    </row>
    <row r="38" spans="1:22" s="614" customFormat="1" ht="60.75">
      <c r="A38" s="537"/>
      <c r="B38" s="619" t="s">
        <v>415</v>
      </c>
      <c r="C38" s="611">
        <v>5240</v>
      </c>
      <c r="D38" s="611">
        <v>7151.6</v>
      </c>
      <c r="E38" s="540">
        <f t="shared" si="1"/>
        <v>1911.6000000000004</v>
      </c>
      <c r="F38" s="543"/>
      <c r="G38" s="543"/>
      <c r="H38" s="542"/>
      <c r="I38" s="585"/>
      <c r="J38" s="585"/>
      <c r="K38" s="635" t="s">
        <v>638</v>
      </c>
      <c r="L38" s="612"/>
      <c r="M38" s="612"/>
      <c r="N38" s="612"/>
      <c r="O38" s="613"/>
      <c r="P38" s="613"/>
      <c r="Q38" s="613"/>
      <c r="R38" s="613"/>
      <c r="S38" s="613"/>
      <c r="T38" s="613"/>
      <c r="U38" s="613"/>
      <c r="V38" s="613"/>
    </row>
    <row r="39" spans="1:22" s="614" customFormat="1" ht="37.5">
      <c r="A39" s="537"/>
      <c r="B39" s="522" t="s">
        <v>600</v>
      </c>
      <c r="C39" s="616">
        <v>4288.4</v>
      </c>
      <c r="D39" s="616">
        <v>0</v>
      </c>
      <c r="E39" s="542">
        <f t="shared" si="1"/>
        <v>-4288.4</v>
      </c>
      <c r="F39" s="543"/>
      <c r="G39" s="543"/>
      <c r="H39" s="542"/>
      <c r="I39" s="585"/>
      <c r="J39" s="585"/>
      <c r="K39" s="635"/>
      <c r="L39" s="612"/>
      <c r="M39" s="612"/>
      <c r="N39" s="612"/>
      <c r="O39" s="613"/>
      <c r="P39" s="613"/>
      <c r="Q39" s="613"/>
      <c r="R39" s="613"/>
      <c r="S39" s="613"/>
      <c r="T39" s="613"/>
      <c r="U39" s="613"/>
      <c r="V39" s="613"/>
    </row>
    <row r="40" spans="1:22" s="614" customFormat="1" ht="37.5">
      <c r="A40" s="537"/>
      <c r="B40" s="522" t="s">
        <v>637</v>
      </c>
      <c r="C40" s="616">
        <v>0</v>
      </c>
      <c r="D40" s="616">
        <v>6200</v>
      </c>
      <c r="E40" s="542">
        <f t="shared" si="1"/>
        <v>6200</v>
      </c>
      <c r="F40" s="543"/>
      <c r="G40" s="543"/>
      <c r="H40" s="542"/>
      <c r="I40" s="585"/>
      <c r="J40" s="585"/>
      <c r="K40" s="635"/>
      <c r="L40" s="612"/>
      <c r="M40" s="612"/>
      <c r="N40" s="612"/>
      <c r="O40" s="613"/>
      <c r="P40" s="613"/>
      <c r="Q40" s="613"/>
      <c r="R40" s="613"/>
      <c r="S40" s="613"/>
      <c r="T40" s="613"/>
      <c r="U40" s="613"/>
      <c r="V40" s="613"/>
    </row>
    <row r="41" spans="1:22" s="614" customFormat="1" ht="20.25">
      <c r="A41" s="537"/>
      <c r="B41" s="615"/>
      <c r="C41" s="616"/>
      <c r="D41" s="616"/>
      <c r="E41" s="542"/>
      <c r="F41" s="543"/>
      <c r="G41" s="543"/>
      <c r="H41" s="542"/>
      <c r="I41" s="585"/>
      <c r="J41" s="585"/>
      <c r="K41" s="584"/>
      <c r="L41" s="612"/>
      <c r="M41" s="612"/>
      <c r="N41" s="612"/>
      <c r="O41" s="613"/>
      <c r="P41" s="613"/>
      <c r="Q41" s="613"/>
      <c r="R41" s="613"/>
      <c r="S41" s="613"/>
      <c r="T41" s="613"/>
      <c r="U41" s="613"/>
      <c r="V41" s="613"/>
    </row>
    <row r="42" spans="1:14" ht="20.25">
      <c r="A42" s="537"/>
      <c r="B42" s="600"/>
      <c r="C42" s="604"/>
      <c r="D42" s="604"/>
      <c r="E42" s="540"/>
      <c r="F42" s="544"/>
      <c r="G42" s="544"/>
      <c r="H42" s="544"/>
      <c r="I42" s="545"/>
      <c r="J42" s="545"/>
      <c r="K42" s="545"/>
      <c r="L42" s="109"/>
      <c r="M42" s="109"/>
      <c r="N42" s="109"/>
    </row>
    <row r="43" spans="1:14" ht="18.75" customHeight="1" hidden="1">
      <c r="A43" s="637" t="s">
        <v>463</v>
      </c>
      <c r="B43" s="638"/>
      <c r="C43" s="546" t="e">
        <f>C11+C13+C24+#REF!+C26+#REF!+#REF!+#REF!+C31+#REF!+#REF!+C33+#REF!+#REF!+#REF!+C36+#REF!</f>
        <v>#REF!</v>
      </c>
      <c r="D43" s="546" t="e">
        <f>D11+D13+D24+#REF!+D26+#REF!+#REF!+#REF!+D31+#REF!+#REF!+D33+#REF!+#REF!+#REF!+D36+#REF!</f>
        <v>#REF!</v>
      </c>
      <c r="E43" s="546" t="e">
        <f>D43-C43</f>
        <v>#REF!</v>
      </c>
      <c r="F43" s="546" t="e">
        <f>F11+F13+F24+#REF!+F26+#REF!+#REF!+#REF!+F31+#REF!+#REF!+F33+#REF!+#REF!+#REF!+F36+#REF!</f>
        <v>#REF!</v>
      </c>
      <c r="G43" s="546" t="e">
        <f>G11+G13+G24+#REF!+G26+#REF!+#REF!+#REF!+G31+#REF!+#REF!+G33+#REF!+#REF!+#REF!+G36+#REF!</f>
        <v>#REF!</v>
      </c>
      <c r="H43" s="546" t="e">
        <f>G43-F43</f>
        <v>#REF!</v>
      </c>
      <c r="I43" s="556"/>
      <c r="J43" s="541"/>
      <c r="K43" s="557"/>
      <c r="L43" s="231"/>
      <c r="M43" s="231"/>
      <c r="N43" s="231"/>
    </row>
    <row r="44" spans="1:14" s="215" customFormat="1" ht="18.75" customHeight="1">
      <c r="A44" s="639"/>
      <c r="B44" s="639"/>
      <c r="C44" s="639"/>
      <c r="D44" s="558"/>
      <c r="E44" s="558"/>
      <c r="F44" s="558"/>
      <c r="G44" s="558"/>
      <c r="H44" s="558"/>
      <c r="I44" s="532"/>
      <c r="J44" s="579"/>
      <c r="K44" s="532"/>
      <c r="L44" s="231"/>
      <c r="M44" s="231"/>
      <c r="N44" s="231"/>
    </row>
    <row r="45" spans="1:14" s="215" customFormat="1" ht="20.25">
      <c r="A45" s="559"/>
      <c r="B45" s="559"/>
      <c r="C45" s="577"/>
      <c r="D45" s="560"/>
      <c r="E45" s="560"/>
      <c r="F45" s="560"/>
      <c r="G45" s="560"/>
      <c r="H45" s="560"/>
      <c r="I45" s="561"/>
      <c r="J45" s="532"/>
      <c r="K45" s="532"/>
      <c r="L45" s="231"/>
      <c r="M45" s="231"/>
      <c r="N45" s="231"/>
    </row>
    <row r="46" spans="1:14" s="215" customFormat="1" ht="40.5" customHeight="1">
      <c r="A46" s="640" t="s">
        <v>164</v>
      </c>
      <c r="B46" s="640"/>
      <c r="C46" s="640"/>
      <c r="D46" s="562"/>
      <c r="E46" s="562"/>
      <c r="F46" s="641" t="s">
        <v>614</v>
      </c>
      <c r="G46" s="641"/>
      <c r="H46" s="562"/>
      <c r="I46" s="532"/>
      <c r="J46" s="532"/>
      <c r="K46" s="532"/>
      <c r="L46" s="231"/>
      <c r="M46" s="231"/>
      <c r="N46" s="231"/>
    </row>
    <row r="47" s="215" customFormat="1" ht="15">
      <c r="A47" s="223"/>
    </row>
    <row r="48" s="215" customFormat="1" ht="15">
      <c r="A48" s="223"/>
    </row>
    <row r="49" s="215" customFormat="1" ht="15">
      <c r="A49" s="223"/>
    </row>
    <row r="50" s="215" customFormat="1" ht="15">
      <c r="A50" s="223"/>
    </row>
    <row r="51" s="215" customFormat="1" ht="15">
      <c r="A51" s="223"/>
    </row>
    <row r="52" s="215" customFormat="1" ht="15">
      <c r="A52" s="223"/>
    </row>
    <row r="53" s="215" customFormat="1" ht="15">
      <c r="A53" s="223"/>
    </row>
    <row r="54" s="215" customFormat="1" ht="15">
      <c r="A54" s="223"/>
    </row>
    <row r="55" s="215" customFormat="1" ht="15">
      <c r="A55" s="223"/>
    </row>
  </sheetData>
  <sheetProtection/>
  <mergeCells count="26">
    <mergeCell ref="A43:B43"/>
    <mergeCell ref="A44:C44"/>
    <mergeCell ref="A46:C46"/>
    <mergeCell ref="F46:G46"/>
    <mergeCell ref="K36:K37"/>
    <mergeCell ref="I33:I34"/>
    <mergeCell ref="J33:J34"/>
    <mergeCell ref="K33:K35"/>
    <mergeCell ref="K38:K40"/>
    <mergeCell ref="K31:K32"/>
    <mergeCell ref="K26:K30"/>
    <mergeCell ref="K11:K12"/>
    <mergeCell ref="I13:I23"/>
    <mergeCell ref="J13:J23"/>
    <mergeCell ref="K13:K23"/>
    <mergeCell ref="K24:K25"/>
    <mergeCell ref="A2:J3"/>
    <mergeCell ref="A5:A7"/>
    <mergeCell ref="B5:B7"/>
    <mergeCell ref="E5:E7"/>
    <mergeCell ref="H5:H7"/>
    <mergeCell ref="I5:K10"/>
    <mergeCell ref="C6:C7"/>
    <mergeCell ref="D6:D7"/>
    <mergeCell ref="F6:F7"/>
    <mergeCell ref="G6:G7"/>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4" r:id="rId1"/>
  <rowBreaks count="1" manualBreakCount="1">
    <brk id="30" max="10" man="1"/>
  </rowBreaks>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N44"/>
  <sheetViews>
    <sheetView view="pageBreakPreview" zoomScale="82" zoomScaleSheetLayoutView="82" zoomScalePageLayoutView="0" workbookViewId="0" topLeftCell="A1">
      <selection activeCell="J7" sqref="J7"/>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4" width="9.140625" style="14" hidden="1" customWidth="1"/>
    <col min="15" max="16384" width="9.140625" style="14" customWidth="1"/>
  </cols>
  <sheetData>
    <row r="1" spans="2:11" ht="15.75">
      <c r="B1" s="15"/>
      <c r="C1" s="15"/>
      <c r="D1" s="15"/>
      <c r="E1" s="15"/>
      <c r="F1" s="15"/>
      <c r="G1" s="15"/>
      <c r="H1" s="15"/>
      <c r="I1" s="13" t="s">
        <v>475</v>
      </c>
      <c r="J1" s="1" t="s">
        <v>603</v>
      </c>
      <c r="K1" s="297"/>
    </row>
    <row r="2" spans="2:14" ht="15.75">
      <c r="B2" s="15"/>
      <c r="C2" s="15"/>
      <c r="D2" s="15"/>
      <c r="E2" s="15"/>
      <c r="F2" s="15"/>
      <c r="G2" s="15"/>
      <c r="H2" s="15"/>
      <c r="I2" s="12" t="s">
        <v>468</v>
      </c>
      <c r="J2" s="12" t="s">
        <v>468</v>
      </c>
      <c r="K2" s="12"/>
      <c r="L2" s="12"/>
      <c r="M2" s="12"/>
      <c r="N2" s="12"/>
    </row>
    <row r="3" spans="2:14" ht="15.75">
      <c r="B3" s="15"/>
      <c r="C3" s="15"/>
      <c r="D3" s="15"/>
      <c r="E3" s="15"/>
      <c r="F3" s="15"/>
      <c r="G3" s="15"/>
      <c r="H3" s="15"/>
      <c r="I3" s="12"/>
      <c r="J3" s="12" t="s">
        <v>639</v>
      </c>
      <c r="K3" s="12"/>
      <c r="L3" s="12"/>
      <c r="M3" s="12"/>
      <c r="N3" s="12"/>
    </row>
    <row r="4" spans="2:14" ht="15.75">
      <c r="B4" s="15"/>
      <c r="C4" s="15"/>
      <c r="D4" s="15"/>
      <c r="E4" s="15"/>
      <c r="F4" s="15"/>
      <c r="G4" s="15"/>
      <c r="H4" s="15"/>
      <c r="I4" s="12" t="s">
        <v>476</v>
      </c>
      <c r="J4" s="17" t="s">
        <v>161</v>
      </c>
      <c r="K4" s="17"/>
      <c r="L4" s="12"/>
      <c r="M4" s="12"/>
      <c r="N4" s="12"/>
    </row>
    <row r="5" spans="2:14" ht="15.75">
      <c r="B5" s="15"/>
      <c r="C5" s="15"/>
      <c r="D5" s="15"/>
      <c r="E5" s="15"/>
      <c r="F5" s="15"/>
      <c r="G5" s="15"/>
      <c r="H5" s="15"/>
      <c r="I5" s="12" t="s">
        <v>477</v>
      </c>
      <c r="J5" s="17" t="s">
        <v>369</v>
      </c>
      <c r="K5" s="17"/>
      <c r="L5" s="12"/>
      <c r="M5" s="12"/>
      <c r="N5" s="12"/>
    </row>
    <row r="6" spans="2:14" ht="15.75" customHeight="1">
      <c r="B6" s="15"/>
      <c r="C6" s="15"/>
      <c r="D6" s="15"/>
      <c r="E6" s="15"/>
      <c r="F6" s="15"/>
      <c r="G6" s="15"/>
      <c r="H6" s="15"/>
      <c r="I6" s="12"/>
      <c r="J6" s="17" t="s">
        <v>581</v>
      </c>
      <c r="K6" s="17"/>
      <c r="L6" s="12"/>
      <c r="M6" s="12"/>
      <c r="N6" s="12"/>
    </row>
    <row r="7" spans="2:14" ht="15.75" customHeight="1">
      <c r="B7" s="15"/>
      <c r="C7" s="15"/>
      <c r="D7" s="15"/>
      <c r="E7" s="15"/>
      <c r="F7" s="15"/>
      <c r="G7" s="15"/>
      <c r="H7" s="16"/>
      <c r="I7" s="12" t="s">
        <v>478</v>
      </c>
      <c r="J7" s="17" t="s">
        <v>640</v>
      </c>
      <c r="K7" s="17"/>
      <c r="L7" s="12"/>
      <c r="M7" s="12"/>
      <c r="N7" s="12"/>
    </row>
    <row r="8" spans="2:14" ht="15.75" customHeight="1">
      <c r="B8" s="15"/>
      <c r="C8" s="15"/>
      <c r="D8" s="15"/>
      <c r="E8" s="15"/>
      <c r="F8" s="15"/>
      <c r="G8" s="15"/>
      <c r="H8" s="15"/>
      <c r="I8" s="15"/>
      <c r="J8" s="665" t="s">
        <v>641</v>
      </c>
      <c r="K8" s="665"/>
      <c r="L8" s="665"/>
      <c r="M8" s="665"/>
      <c r="N8" s="665"/>
    </row>
    <row r="9" spans="2:14" ht="15.75">
      <c r="B9" s="15"/>
      <c r="C9" s="15"/>
      <c r="D9" s="15"/>
      <c r="E9" s="15"/>
      <c r="F9" s="15"/>
      <c r="G9" s="15"/>
      <c r="H9" s="15"/>
      <c r="I9" s="15"/>
      <c r="J9" s="438"/>
      <c r="K9" s="438"/>
      <c r="L9" s="438"/>
      <c r="M9" s="438"/>
      <c r="N9" s="438"/>
    </row>
    <row r="10" spans="2:11" ht="18.75">
      <c r="B10" s="666" t="s">
        <v>405</v>
      </c>
      <c r="C10" s="666"/>
      <c r="D10" s="666"/>
      <c r="E10" s="666"/>
      <c r="F10" s="666"/>
      <c r="G10" s="666"/>
      <c r="H10" s="666"/>
      <c r="I10" s="666"/>
      <c r="J10" s="666"/>
      <c r="K10" s="666"/>
    </row>
    <row r="11" spans="2:11" ht="18.75">
      <c r="B11" s="15"/>
      <c r="C11" s="15"/>
      <c r="D11" s="676"/>
      <c r="E11" s="676"/>
      <c r="F11" s="676"/>
      <c r="G11" s="676"/>
      <c r="H11" s="676"/>
      <c r="I11" s="15"/>
      <c r="J11" s="15"/>
      <c r="K11" s="273" t="s">
        <v>114</v>
      </c>
    </row>
    <row r="12" spans="1:11" ht="18.75">
      <c r="A12" s="720" t="s">
        <v>464</v>
      </c>
      <c r="B12" s="667" t="s">
        <v>469</v>
      </c>
      <c r="C12" s="667" t="s">
        <v>470</v>
      </c>
      <c r="D12" s="667" t="s">
        <v>116</v>
      </c>
      <c r="E12" s="677" t="s">
        <v>466</v>
      </c>
      <c r="F12" s="677"/>
      <c r="G12" s="677"/>
      <c r="H12" s="677"/>
      <c r="I12" s="677"/>
      <c r="J12" s="708"/>
      <c r="K12" s="674" t="s">
        <v>472</v>
      </c>
    </row>
    <row r="13" spans="1:11" ht="17.25" customHeight="1">
      <c r="A13" s="721"/>
      <c r="B13" s="668"/>
      <c r="C13" s="668"/>
      <c r="D13" s="668"/>
      <c r="E13" s="667">
        <v>2022</v>
      </c>
      <c r="F13" s="667">
        <v>2023</v>
      </c>
      <c r="G13" s="667" t="s">
        <v>481</v>
      </c>
      <c r="H13" s="667" t="s">
        <v>482</v>
      </c>
      <c r="I13" s="667" t="s">
        <v>483</v>
      </c>
      <c r="J13" s="674">
        <v>2024</v>
      </c>
      <c r="K13" s="674"/>
    </row>
    <row r="14" spans="1:11" ht="27" customHeight="1">
      <c r="A14" s="722"/>
      <c r="B14" s="669"/>
      <c r="C14" s="669"/>
      <c r="D14" s="669"/>
      <c r="E14" s="669"/>
      <c r="F14" s="669"/>
      <c r="G14" s="669"/>
      <c r="H14" s="669"/>
      <c r="I14" s="669"/>
      <c r="J14" s="674"/>
      <c r="K14" s="674"/>
    </row>
    <row r="15" spans="1:11" s="16" customFormat="1" ht="65.25" customHeight="1">
      <c r="A15" s="198">
        <v>1</v>
      </c>
      <c r="B15" s="276" t="s">
        <v>249</v>
      </c>
      <c r="C15" s="63" t="s">
        <v>195</v>
      </c>
      <c r="D15" s="95">
        <f>SUM(E15:J15)</f>
        <v>33164.899999999994</v>
      </c>
      <c r="E15" s="95">
        <f>14335.4-14321.3+2000</f>
        <v>2014.1000000000004</v>
      </c>
      <c r="F15" s="95">
        <v>15195.5</v>
      </c>
      <c r="G15" s="95"/>
      <c r="H15" s="95"/>
      <c r="I15" s="95"/>
      <c r="J15" s="95">
        <v>15955.3</v>
      </c>
      <c r="K15" s="293" t="s">
        <v>40</v>
      </c>
    </row>
    <row r="16" spans="1:11" ht="52.5" customHeight="1">
      <c r="A16" s="295" t="s">
        <v>172</v>
      </c>
      <c r="B16" s="294" t="s">
        <v>250</v>
      </c>
      <c r="C16" s="63" t="s">
        <v>195</v>
      </c>
      <c r="D16" s="440">
        <f>E16+F16+J16</f>
        <v>11639</v>
      </c>
      <c r="E16" s="440">
        <f>5335-5289.1</f>
        <v>45.899999999999636</v>
      </c>
      <c r="F16" s="440">
        <v>5655.1</v>
      </c>
      <c r="G16" s="440"/>
      <c r="H16" s="440"/>
      <c r="I16" s="440"/>
      <c r="J16" s="440">
        <v>5938</v>
      </c>
      <c r="K16" s="293" t="s">
        <v>40</v>
      </c>
    </row>
    <row r="17" spans="1:11" ht="75" hidden="1">
      <c r="A17" s="230" t="s">
        <v>45</v>
      </c>
      <c r="B17" s="202" t="s">
        <v>51</v>
      </c>
      <c r="C17" s="63" t="s">
        <v>495</v>
      </c>
      <c r="D17" s="442">
        <f aca="true" t="shared" si="0" ref="D17:D29">E17+F17+J17</f>
        <v>160</v>
      </c>
      <c r="E17" s="440">
        <f>160</f>
        <v>160</v>
      </c>
      <c r="F17" s="440">
        <v>0</v>
      </c>
      <c r="G17" s="440"/>
      <c r="H17" s="440"/>
      <c r="I17" s="440"/>
      <c r="J17" s="440">
        <v>0</v>
      </c>
      <c r="K17" s="201" t="s">
        <v>489</v>
      </c>
    </row>
    <row r="18" spans="1:11" ht="51.75" customHeight="1" hidden="1">
      <c r="A18" s="709" t="s">
        <v>46</v>
      </c>
      <c r="B18" s="718" t="s">
        <v>52</v>
      </c>
      <c r="C18" s="63" t="s">
        <v>495</v>
      </c>
      <c r="D18" s="442">
        <f t="shared" si="0"/>
        <v>548</v>
      </c>
      <c r="E18" s="440">
        <v>548</v>
      </c>
      <c r="F18" s="440">
        <v>0</v>
      </c>
      <c r="G18" s="440"/>
      <c r="H18" s="440"/>
      <c r="I18" s="440"/>
      <c r="J18" s="440">
        <v>0</v>
      </c>
      <c r="K18" s="713" t="s">
        <v>489</v>
      </c>
    </row>
    <row r="19" spans="1:11" ht="24" customHeight="1" hidden="1">
      <c r="A19" s="710"/>
      <c r="B19" s="719"/>
      <c r="C19" s="63" t="s">
        <v>473</v>
      </c>
      <c r="D19" s="442">
        <f t="shared" si="0"/>
        <v>16.5</v>
      </c>
      <c r="E19" s="440">
        <v>16.5</v>
      </c>
      <c r="F19" s="440">
        <v>0</v>
      </c>
      <c r="G19" s="440"/>
      <c r="H19" s="440"/>
      <c r="I19" s="440"/>
      <c r="J19" s="440">
        <v>0</v>
      </c>
      <c r="K19" s="714"/>
    </row>
    <row r="20" spans="1:11" ht="34.5" customHeight="1" hidden="1">
      <c r="A20" s="709" t="s">
        <v>47</v>
      </c>
      <c r="B20" s="716" t="s">
        <v>54</v>
      </c>
      <c r="C20" s="63" t="s">
        <v>495</v>
      </c>
      <c r="D20" s="442">
        <f t="shared" si="0"/>
        <v>389.2</v>
      </c>
      <c r="E20" s="440">
        <v>344</v>
      </c>
      <c r="F20" s="440">
        <v>45.2</v>
      </c>
      <c r="G20" s="440"/>
      <c r="H20" s="440"/>
      <c r="I20" s="440"/>
      <c r="J20" s="440">
        <v>0</v>
      </c>
      <c r="K20" s="713" t="s">
        <v>489</v>
      </c>
    </row>
    <row r="21" spans="1:11" ht="20.25" customHeight="1" hidden="1">
      <c r="A21" s="710"/>
      <c r="B21" s="717"/>
      <c r="C21" s="63" t="s">
        <v>473</v>
      </c>
      <c r="D21" s="442">
        <f t="shared" si="0"/>
        <v>233.9</v>
      </c>
      <c r="E21" s="440">
        <v>210.3</v>
      </c>
      <c r="F21" s="440">
        <v>23.6</v>
      </c>
      <c r="G21" s="440"/>
      <c r="H21" s="440"/>
      <c r="I21" s="440"/>
      <c r="J21" s="440">
        <v>0</v>
      </c>
      <c r="K21" s="714"/>
    </row>
    <row r="22" spans="1:11" ht="47.25" customHeight="1" hidden="1">
      <c r="A22" s="709" t="s">
        <v>48</v>
      </c>
      <c r="B22" s="716" t="s">
        <v>53</v>
      </c>
      <c r="C22" s="63" t="s">
        <v>495</v>
      </c>
      <c r="D22" s="442">
        <f t="shared" si="0"/>
        <v>1251.1</v>
      </c>
      <c r="E22" s="440">
        <v>630</v>
      </c>
      <c r="F22" s="440">
        <v>621.1</v>
      </c>
      <c r="G22" s="440"/>
      <c r="H22" s="440"/>
      <c r="I22" s="440"/>
      <c r="J22" s="440">
        <v>0</v>
      </c>
      <c r="K22" s="713" t="s">
        <v>489</v>
      </c>
    </row>
    <row r="23" spans="1:11" ht="24.75" customHeight="1" hidden="1">
      <c r="A23" s="710"/>
      <c r="B23" s="717"/>
      <c r="C23" s="63" t="s">
        <v>473</v>
      </c>
      <c r="D23" s="442">
        <f t="shared" si="0"/>
        <v>37.5</v>
      </c>
      <c r="E23" s="440">
        <v>18.9</v>
      </c>
      <c r="F23" s="440">
        <v>18.6</v>
      </c>
      <c r="G23" s="440"/>
      <c r="H23" s="440"/>
      <c r="I23" s="440"/>
      <c r="J23" s="440">
        <v>0</v>
      </c>
      <c r="K23" s="714"/>
    </row>
    <row r="24" spans="1:11" ht="44.25" customHeight="1" hidden="1">
      <c r="A24" s="709" t="s">
        <v>49</v>
      </c>
      <c r="B24" s="716" t="s">
        <v>88</v>
      </c>
      <c r="C24" s="63" t="s">
        <v>495</v>
      </c>
      <c r="D24" s="442">
        <f>E24+F24+J24</f>
        <v>23614.899999999998</v>
      </c>
      <c r="E24" s="440">
        <f>0+8354</f>
        <v>8354</v>
      </c>
      <c r="F24" s="440">
        <f>4673+4663.3+4487+990+295</f>
        <v>15108.3</v>
      </c>
      <c r="G24" s="440"/>
      <c r="H24" s="440"/>
      <c r="I24" s="440"/>
      <c r="J24" s="440">
        <v>152.6</v>
      </c>
      <c r="K24" s="713" t="s">
        <v>489</v>
      </c>
    </row>
    <row r="25" spans="1:11" ht="33" customHeight="1" hidden="1">
      <c r="A25" s="710"/>
      <c r="B25" s="717"/>
      <c r="C25" s="63" t="s">
        <v>473</v>
      </c>
      <c r="D25" s="442">
        <f t="shared" si="0"/>
        <v>826.4</v>
      </c>
      <c r="E25" s="440">
        <f>0+675.6</f>
        <v>675.6</v>
      </c>
      <c r="F25" s="440">
        <v>150</v>
      </c>
      <c r="G25" s="440"/>
      <c r="H25" s="440"/>
      <c r="I25" s="440"/>
      <c r="J25" s="440">
        <v>0.8</v>
      </c>
      <c r="K25" s="714"/>
    </row>
    <row r="26" spans="1:11" ht="31.5" customHeight="1" hidden="1">
      <c r="A26" s="709">
        <v>2</v>
      </c>
      <c r="B26" s="713" t="s">
        <v>42</v>
      </c>
      <c r="C26" s="63" t="s">
        <v>473</v>
      </c>
      <c r="D26" s="442">
        <f t="shared" si="0"/>
        <v>29000</v>
      </c>
      <c r="E26" s="440">
        <v>15000</v>
      </c>
      <c r="F26" s="440">
        <v>14000</v>
      </c>
      <c r="G26" s="440"/>
      <c r="H26" s="440"/>
      <c r="I26" s="440"/>
      <c r="J26" s="440"/>
      <c r="K26" s="713" t="s">
        <v>489</v>
      </c>
    </row>
    <row r="27" spans="1:11" ht="18.75" hidden="1">
      <c r="A27" s="710"/>
      <c r="B27" s="714"/>
      <c r="C27" s="63" t="s">
        <v>156</v>
      </c>
      <c r="D27" s="442">
        <f t="shared" si="0"/>
        <v>13000</v>
      </c>
      <c r="E27" s="440"/>
      <c r="F27" s="440"/>
      <c r="G27" s="440"/>
      <c r="H27" s="440"/>
      <c r="I27" s="440"/>
      <c r="J27" s="440">
        <v>13000</v>
      </c>
      <c r="K27" s="714"/>
    </row>
    <row r="28" spans="1:11" ht="24.75" customHeight="1" hidden="1">
      <c r="A28" s="709">
        <v>3</v>
      </c>
      <c r="B28" s="711" t="s">
        <v>193</v>
      </c>
      <c r="C28" s="63" t="s">
        <v>473</v>
      </c>
      <c r="D28" s="442">
        <f t="shared" si="0"/>
        <v>11000</v>
      </c>
      <c r="E28" s="440">
        <v>5000</v>
      </c>
      <c r="F28" s="440">
        <v>6000</v>
      </c>
      <c r="G28" s="440"/>
      <c r="H28" s="440"/>
      <c r="I28" s="440"/>
      <c r="J28" s="440"/>
      <c r="K28" s="713" t="s">
        <v>499</v>
      </c>
    </row>
    <row r="29" spans="1:11" ht="18.75" hidden="1">
      <c r="A29" s="710"/>
      <c r="B29" s="712"/>
      <c r="C29" s="63" t="s">
        <v>156</v>
      </c>
      <c r="D29" s="442">
        <f t="shared" si="0"/>
        <v>7000</v>
      </c>
      <c r="E29" s="440"/>
      <c r="F29" s="440"/>
      <c r="G29" s="440"/>
      <c r="H29" s="440"/>
      <c r="I29" s="440"/>
      <c r="J29" s="440">
        <v>7000</v>
      </c>
      <c r="K29" s="714"/>
    </row>
    <row r="30" spans="1:11" ht="5.25" customHeight="1" hidden="1">
      <c r="A30" s="296"/>
      <c r="B30" s="281"/>
      <c r="C30" s="63"/>
      <c r="D30" s="442"/>
      <c r="E30" s="440"/>
      <c r="F30" s="440"/>
      <c r="G30" s="440"/>
      <c r="H30" s="440"/>
      <c r="I30" s="440"/>
      <c r="J30" s="440"/>
      <c r="K30" s="174"/>
    </row>
    <row r="31" spans="1:11" ht="18.75">
      <c r="A31" s="71"/>
      <c r="B31" s="57" t="s">
        <v>463</v>
      </c>
      <c r="C31" s="57"/>
      <c r="D31" s="94">
        <f>D16+D15</f>
        <v>44803.899999999994</v>
      </c>
      <c r="E31" s="94">
        <f aca="true" t="shared" si="1" ref="E31:J31">E15+E16</f>
        <v>2060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474</v>
      </c>
      <c r="C36" s="239"/>
      <c r="D36" s="83"/>
      <c r="E36" s="239"/>
      <c r="F36" s="715" t="s">
        <v>616</v>
      </c>
      <c r="G36" s="715"/>
      <c r="H36" s="715"/>
      <c r="I36" s="715"/>
      <c r="J36" s="715"/>
    </row>
    <row r="37" spans="2:10" ht="18.75">
      <c r="B37" s="239"/>
      <c r="C37" s="239"/>
      <c r="D37" s="83"/>
      <c r="E37" s="239"/>
      <c r="F37" s="240"/>
      <c r="G37" s="240"/>
      <c r="H37" s="240"/>
      <c r="I37" s="240"/>
      <c r="J37" s="240"/>
    </row>
    <row r="38" spans="2:10" ht="18.75">
      <c r="B38" s="88" t="s">
        <v>159</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4">
    <mergeCell ref="J8:N8"/>
    <mergeCell ref="B10:K10"/>
    <mergeCell ref="D11:H11"/>
    <mergeCell ref="A12:A14"/>
    <mergeCell ref="B12:B14"/>
    <mergeCell ref="C12:C14"/>
    <mergeCell ref="D12:D14"/>
    <mergeCell ref="E12:J12"/>
    <mergeCell ref="K12:K14"/>
    <mergeCell ref="A18:A19"/>
    <mergeCell ref="B18:B19"/>
    <mergeCell ref="K18:K19"/>
    <mergeCell ref="E13:E14"/>
    <mergeCell ref="F13:F14"/>
    <mergeCell ref="G13:G14"/>
    <mergeCell ref="H13:H14"/>
    <mergeCell ref="I13:I14"/>
    <mergeCell ref="J13:J14"/>
    <mergeCell ref="K26:K27"/>
    <mergeCell ref="A20:A21"/>
    <mergeCell ref="B20:B21"/>
    <mergeCell ref="K20:K21"/>
    <mergeCell ref="A22:A23"/>
    <mergeCell ref="B22:B23"/>
    <mergeCell ref="K22:K23"/>
    <mergeCell ref="A28:A29"/>
    <mergeCell ref="B28:B29"/>
    <mergeCell ref="K28:K29"/>
    <mergeCell ref="F36:J36"/>
    <mergeCell ref="A24:A25"/>
    <mergeCell ref="B24:B25"/>
    <mergeCell ref="K24:K25"/>
    <mergeCell ref="A26:A27"/>
    <mergeCell ref="B26:B27"/>
  </mergeCells>
  <printOptions horizontalCentered="1"/>
  <pageMargins left="0" right="0" top="1.1811023622047245" bottom="0" header="0" footer="0"/>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0" sqref="A10:K55"/>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475</v>
      </c>
      <c r="J1" s="1" t="s">
        <v>86</v>
      </c>
      <c r="K1" s="297"/>
      <c r="L1" s="13" t="s">
        <v>475</v>
      </c>
    </row>
    <row r="2" spans="2:15" ht="15.75">
      <c r="B2" s="15"/>
      <c r="C2" s="15"/>
      <c r="D2" s="15"/>
      <c r="E2" s="15"/>
      <c r="F2" s="15"/>
      <c r="G2" s="15"/>
      <c r="H2" s="15"/>
      <c r="I2" s="13"/>
      <c r="J2" s="12" t="s">
        <v>615</v>
      </c>
      <c r="K2" s="12"/>
      <c r="L2" s="15"/>
      <c r="M2" s="12"/>
      <c r="N2" s="12"/>
      <c r="O2" s="12"/>
    </row>
    <row r="3" spans="2:15" ht="15.75">
      <c r="B3" s="15"/>
      <c r="C3" s="15"/>
      <c r="D3" s="15"/>
      <c r="E3" s="15"/>
      <c r="F3" s="15"/>
      <c r="G3" s="15"/>
      <c r="H3" s="15"/>
      <c r="I3" s="12" t="s">
        <v>468</v>
      </c>
      <c r="J3" s="12" t="s">
        <v>456</v>
      </c>
      <c r="K3" s="12"/>
      <c r="L3" s="15"/>
      <c r="M3" s="12"/>
      <c r="N3" s="12"/>
      <c r="O3" s="12"/>
    </row>
    <row r="4" spans="2:15" ht="15.75">
      <c r="B4" s="15"/>
      <c r="C4" s="15"/>
      <c r="D4" s="15"/>
      <c r="E4" s="15"/>
      <c r="F4" s="15"/>
      <c r="G4" s="15"/>
      <c r="H4" s="15"/>
      <c r="I4" s="12"/>
      <c r="J4" s="17" t="s">
        <v>161</v>
      </c>
      <c r="K4" s="17"/>
      <c r="L4" s="15"/>
      <c r="M4" s="12"/>
      <c r="N4" s="12"/>
      <c r="O4" s="12"/>
    </row>
    <row r="5" spans="2:15" ht="15.75">
      <c r="B5" s="15"/>
      <c r="C5" s="15"/>
      <c r="D5" s="15"/>
      <c r="E5" s="15"/>
      <c r="F5" s="15"/>
      <c r="G5" s="15"/>
      <c r="H5" s="15"/>
      <c r="I5" s="12" t="s">
        <v>476</v>
      </c>
      <c r="J5" s="17" t="s">
        <v>369</v>
      </c>
      <c r="K5" s="17"/>
      <c r="L5" s="15"/>
      <c r="M5" s="12"/>
      <c r="N5" s="12"/>
      <c r="O5" s="12"/>
    </row>
    <row r="6" spans="2:15" ht="15.75">
      <c r="B6" s="15"/>
      <c r="C6" s="15"/>
      <c r="D6" s="15"/>
      <c r="E6" s="15"/>
      <c r="F6" s="15"/>
      <c r="G6" s="15"/>
      <c r="H6" s="15"/>
      <c r="I6" s="12" t="s">
        <v>477</v>
      </c>
      <c r="J6" s="665" t="s">
        <v>453</v>
      </c>
      <c r="K6" s="665"/>
      <c r="L6" s="665"/>
      <c r="M6" s="665"/>
      <c r="N6" s="665"/>
      <c r="O6" s="665"/>
    </row>
    <row r="7" spans="2:15" ht="15.75" customHeight="1">
      <c r="B7" s="15"/>
      <c r="C7" s="15"/>
      <c r="D7" s="15"/>
      <c r="E7" s="15"/>
      <c r="F7" s="15"/>
      <c r="G7" s="15"/>
      <c r="H7" s="16"/>
      <c r="I7" s="12"/>
      <c r="J7" s="665" t="s">
        <v>454</v>
      </c>
      <c r="K7" s="665"/>
      <c r="L7" s="665"/>
      <c r="M7" s="665"/>
      <c r="N7" s="665"/>
      <c r="O7" s="665"/>
    </row>
    <row r="8" spans="2:15" ht="15.75">
      <c r="B8" s="15"/>
      <c r="C8" s="15"/>
      <c r="D8" s="15"/>
      <c r="E8" s="15"/>
      <c r="F8" s="15"/>
      <c r="G8" s="15"/>
      <c r="H8" s="15"/>
      <c r="I8" s="15"/>
      <c r="J8" s="665" t="s">
        <v>618</v>
      </c>
      <c r="K8" s="665"/>
      <c r="L8" s="438"/>
      <c r="M8" s="438"/>
      <c r="N8" s="438"/>
      <c r="O8" s="438"/>
    </row>
    <row r="9" spans="2:15" ht="15.75">
      <c r="B9" s="15"/>
      <c r="C9" s="15"/>
      <c r="D9" s="15"/>
      <c r="E9" s="15"/>
      <c r="F9" s="15"/>
      <c r="G9" s="15"/>
      <c r="H9" s="15"/>
      <c r="I9" s="15"/>
      <c r="J9" s="438"/>
      <c r="K9" s="438"/>
      <c r="L9" s="438"/>
      <c r="M9" s="438"/>
      <c r="N9" s="438"/>
      <c r="O9" s="438"/>
    </row>
    <row r="10" spans="2:12" ht="36" customHeight="1">
      <c r="B10" s="666" t="s">
        <v>406</v>
      </c>
      <c r="C10" s="666"/>
      <c r="D10" s="666"/>
      <c r="E10" s="666"/>
      <c r="F10" s="666"/>
      <c r="G10" s="666"/>
      <c r="H10" s="666"/>
      <c r="I10" s="666"/>
      <c r="J10" s="666"/>
      <c r="K10" s="666"/>
      <c r="L10" s="15"/>
    </row>
    <row r="11" spans="2:12" ht="18.75">
      <c r="B11" s="15"/>
      <c r="C11" s="15"/>
      <c r="D11" s="676"/>
      <c r="E11" s="676"/>
      <c r="F11" s="676"/>
      <c r="G11" s="676"/>
      <c r="H11" s="676"/>
      <c r="I11" s="15"/>
      <c r="J11" s="15"/>
      <c r="K11" s="273" t="s">
        <v>114</v>
      </c>
      <c r="L11" s="15"/>
    </row>
    <row r="12" spans="1:12" ht="15.75" customHeight="1">
      <c r="A12" s="720" t="s">
        <v>464</v>
      </c>
      <c r="B12" s="667" t="s">
        <v>469</v>
      </c>
      <c r="C12" s="667" t="s">
        <v>470</v>
      </c>
      <c r="D12" s="667" t="s">
        <v>117</v>
      </c>
      <c r="E12" s="677" t="s">
        <v>466</v>
      </c>
      <c r="F12" s="677"/>
      <c r="G12" s="677"/>
      <c r="H12" s="677"/>
      <c r="I12" s="677"/>
      <c r="J12" s="708"/>
      <c r="K12" s="674" t="s">
        <v>472</v>
      </c>
      <c r="L12" s="15"/>
    </row>
    <row r="13" spans="1:12" ht="15.75">
      <c r="A13" s="721"/>
      <c r="B13" s="668"/>
      <c r="C13" s="668"/>
      <c r="D13" s="668"/>
      <c r="E13" s="667">
        <v>2022</v>
      </c>
      <c r="F13" s="667">
        <v>2023</v>
      </c>
      <c r="G13" s="667" t="s">
        <v>481</v>
      </c>
      <c r="H13" s="667" t="s">
        <v>482</v>
      </c>
      <c r="I13" s="667" t="s">
        <v>483</v>
      </c>
      <c r="J13" s="674">
        <v>2024</v>
      </c>
      <c r="K13" s="674"/>
      <c r="L13" s="15"/>
    </row>
    <row r="14" spans="1:12" ht="21.75" customHeight="1">
      <c r="A14" s="722"/>
      <c r="B14" s="669"/>
      <c r="C14" s="669"/>
      <c r="D14" s="669"/>
      <c r="E14" s="669"/>
      <c r="F14" s="669"/>
      <c r="G14" s="669"/>
      <c r="H14" s="669"/>
      <c r="I14" s="669"/>
      <c r="J14" s="674"/>
      <c r="K14" s="674"/>
      <c r="L14" s="15"/>
    </row>
    <row r="15" spans="1:12" s="231" customFormat="1" ht="28.5" customHeight="1">
      <c r="A15" s="723">
        <v>1</v>
      </c>
      <c r="B15" s="724" t="s">
        <v>321</v>
      </c>
      <c r="C15" s="713" t="s">
        <v>195</v>
      </c>
      <c r="D15" s="728">
        <f>E16+F16+J15</f>
        <v>1121.1</v>
      </c>
      <c r="E15" s="726">
        <f>1007.3-417.1</f>
        <v>590.1999999999999</v>
      </c>
      <c r="F15" s="726">
        <v>1067.7</v>
      </c>
      <c r="G15" s="440"/>
      <c r="H15" s="440"/>
      <c r="I15" s="440"/>
      <c r="J15" s="726">
        <v>1121.1</v>
      </c>
      <c r="K15" s="713" t="s">
        <v>40</v>
      </c>
      <c r="L15" s="81"/>
    </row>
    <row r="16" spans="1:12" s="231" customFormat="1" ht="22.5" customHeight="1">
      <c r="A16" s="723"/>
      <c r="B16" s="725"/>
      <c r="C16" s="714"/>
      <c r="D16" s="729"/>
      <c r="E16" s="727"/>
      <c r="F16" s="727"/>
      <c r="G16" s="440"/>
      <c r="H16" s="440"/>
      <c r="I16" s="440"/>
      <c r="J16" s="727"/>
      <c r="K16" s="714"/>
      <c r="L16" s="81"/>
    </row>
    <row r="17" spans="1:12" s="231" customFormat="1" ht="31.5" customHeight="1">
      <c r="A17" s="723">
        <v>2</v>
      </c>
      <c r="B17" s="724" t="s">
        <v>322</v>
      </c>
      <c r="C17" s="713" t="s">
        <v>195</v>
      </c>
      <c r="D17" s="728">
        <f aca="true" t="shared" si="0" ref="D17:D53">E17+F17+J17</f>
        <v>4263.8</v>
      </c>
      <c r="E17" s="726">
        <f>1468-568.2</f>
        <v>899.8</v>
      </c>
      <c r="F17" s="726">
        <v>1641</v>
      </c>
      <c r="G17" s="440"/>
      <c r="H17" s="440"/>
      <c r="I17" s="440"/>
      <c r="J17" s="726">
        <v>1723</v>
      </c>
      <c r="K17" s="713" t="s">
        <v>40</v>
      </c>
      <c r="L17" s="81"/>
    </row>
    <row r="18" spans="1:12" s="231" customFormat="1" ht="24" customHeight="1">
      <c r="A18" s="723"/>
      <c r="B18" s="725"/>
      <c r="C18" s="714"/>
      <c r="D18" s="729"/>
      <c r="E18" s="727"/>
      <c r="F18" s="727"/>
      <c r="G18" s="440"/>
      <c r="H18" s="440"/>
      <c r="I18" s="440"/>
      <c r="J18" s="727"/>
      <c r="K18" s="714"/>
      <c r="L18" s="81"/>
    </row>
    <row r="19" spans="1:12" s="231" customFormat="1" ht="46.5" customHeight="1">
      <c r="A19" s="63">
        <v>3</v>
      </c>
      <c r="B19" s="294" t="s">
        <v>238</v>
      </c>
      <c r="C19" s="63" t="s">
        <v>195</v>
      </c>
      <c r="D19" s="442">
        <f t="shared" si="0"/>
        <v>190</v>
      </c>
      <c r="E19" s="440">
        <f>60-10</f>
        <v>50</v>
      </c>
      <c r="F19" s="440">
        <v>70</v>
      </c>
      <c r="G19" s="440"/>
      <c r="H19" s="440"/>
      <c r="I19" s="440"/>
      <c r="J19" s="440">
        <v>70</v>
      </c>
      <c r="K19" s="293" t="s">
        <v>40</v>
      </c>
      <c r="L19" s="81"/>
    </row>
    <row r="20" spans="1:12" s="231" customFormat="1" ht="39.75" customHeight="1">
      <c r="A20" s="63">
        <v>4</v>
      </c>
      <c r="B20" s="294" t="s">
        <v>239</v>
      </c>
      <c r="C20" s="63" t="s">
        <v>195</v>
      </c>
      <c r="D20" s="442">
        <f t="shared" si="0"/>
        <v>5848</v>
      </c>
      <c r="E20" s="440">
        <f>1150+850-654</f>
        <v>1346</v>
      </c>
      <c r="F20" s="440">
        <f>1219+1000</f>
        <v>2219</v>
      </c>
      <c r="G20" s="440"/>
      <c r="H20" s="440"/>
      <c r="I20" s="440"/>
      <c r="J20" s="440">
        <f>1283+1000</f>
        <v>2283</v>
      </c>
      <c r="K20" s="293" t="s">
        <v>40</v>
      </c>
      <c r="L20" s="81"/>
    </row>
    <row r="21" spans="1:12" s="231" customFormat="1" ht="43.5" customHeight="1">
      <c r="A21" s="63">
        <v>5</v>
      </c>
      <c r="B21" s="294" t="s">
        <v>323</v>
      </c>
      <c r="C21" s="63" t="s">
        <v>195</v>
      </c>
      <c r="D21" s="442">
        <f t="shared" si="0"/>
        <v>500</v>
      </c>
      <c r="E21" s="440">
        <v>150</v>
      </c>
      <c r="F21" s="440">
        <v>170</v>
      </c>
      <c r="G21" s="440"/>
      <c r="H21" s="440"/>
      <c r="I21" s="440"/>
      <c r="J21" s="440">
        <v>180</v>
      </c>
      <c r="K21" s="293" t="s">
        <v>40</v>
      </c>
      <c r="L21" s="81"/>
    </row>
    <row r="22" spans="1:12" s="231" customFormat="1" ht="57" customHeight="1">
      <c r="A22" s="63">
        <v>6</v>
      </c>
      <c r="B22" s="294" t="s">
        <v>242</v>
      </c>
      <c r="C22" s="63" t="s">
        <v>195</v>
      </c>
      <c r="D22" s="442">
        <f t="shared" si="0"/>
        <v>0</v>
      </c>
      <c r="E22" s="440">
        <f>1200-1200</f>
        <v>0</v>
      </c>
      <c r="F22" s="440"/>
      <c r="G22" s="440"/>
      <c r="H22" s="440"/>
      <c r="I22" s="440"/>
      <c r="J22" s="440"/>
      <c r="K22" s="293" t="s">
        <v>40</v>
      </c>
      <c r="L22" s="81"/>
    </row>
    <row r="23" spans="1:12" s="231" customFormat="1" ht="46.5" customHeight="1">
      <c r="A23" s="63">
        <v>7</v>
      </c>
      <c r="B23" s="294" t="s">
        <v>243</v>
      </c>
      <c r="C23" s="63" t="s">
        <v>195</v>
      </c>
      <c r="D23" s="442">
        <f t="shared" si="0"/>
        <v>0</v>
      </c>
      <c r="E23" s="440">
        <f>130-130</f>
        <v>0</v>
      </c>
      <c r="F23" s="440"/>
      <c r="G23" s="440"/>
      <c r="H23" s="440"/>
      <c r="I23" s="440"/>
      <c r="J23" s="440"/>
      <c r="K23" s="293" t="s">
        <v>40</v>
      </c>
      <c r="L23" s="81"/>
    </row>
    <row r="24" spans="1:12" s="290" customFormat="1" ht="27.75" customHeight="1" hidden="1">
      <c r="A24" s="368">
        <v>6</v>
      </c>
      <c r="B24" s="309"/>
      <c r="C24" s="304"/>
      <c r="D24" s="476"/>
      <c r="E24" s="477"/>
      <c r="F24" s="477"/>
      <c r="G24" s="477"/>
      <c r="H24" s="477"/>
      <c r="I24" s="477"/>
      <c r="J24" s="477"/>
      <c r="K24" s="304"/>
      <c r="L24" s="300"/>
    </row>
    <row r="25" spans="1:12" ht="34.5" customHeight="1" hidden="1">
      <c r="A25" s="720">
        <v>10</v>
      </c>
      <c r="B25" s="724" t="s">
        <v>1</v>
      </c>
      <c r="C25" s="63" t="s">
        <v>473</v>
      </c>
      <c r="D25" s="442">
        <f t="shared" si="0"/>
        <v>123</v>
      </c>
      <c r="E25" s="440">
        <v>65</v>
      </c>
      <c r="F25" s="440">
        <v>58</v>
      </c>
      <c r="G25" s="440"/>
      <c r="H25" s="440"/>
      <c r="I25" s="440"/>
      <c r="J25" s="440"/>
      <c r="K25" s="713" t="s">
        <v>489</v>
      </c>
      <c r="L25" s="15"/>
    </row>
    <row r="26" spans="1:12" ht="18.75" hidden="1">
      <c r="A26" s="722"/>
      <c r="B26" s="725"/>
      <c r="C26" s="63" t="s">
        <v>156</v>
      </c>
      <c r="D26" s="442">
        <f t="shared" si="0"/>
        <v>75</v>
      </c>
      <c r="E26" s="440"/>
      <c r="F26" s="440"/>
      <c r="G26" s="440"/>
      <c r="H26" s="440"/>
      <c r="I26" s="440"/>
      <c r="J26" s="440">
        <v>75</v>
      </c>
      <c r="K26" s="714"/>
      <c r="L26" s="15"/>
    </row>
    <row r="27" spans="1:12" ht="36.75" customHeight="1" hidden="1">
      <c r="A27" s="720">
        <v>11</v>
      </c>
      <c r="B27" s="724" t="s">
        <v>95</v>
      </c>
      <c r="C27" s="63" t="s">
        <v>473</v>
      </c>
      <c r="D27" s="442">
        <f t="shared" si="0"/>
        <v>274</v>
      </c>
      <c r="E27" s="440">
        <f>42+80+87</f>
        <v>209</v>
      </c>
      <c r="F27" s="440">
        <f>63+2</f>
        <v>65</v>
      </c>
      <c r="G27" s="440"/>
      <c r="H27" s="440"/>
      <c r="I27" s="440"/>
      <c r="J27" s="440"/>
      <c r="K27" s="713" t="s">
        <v>489</v>
      </c>
      <c r="L27" s="15"/>
    </row>
    <row r="28" spans="1:12" ht="29.25" customHeight="1" hidden="1">
      <c r="A28" s="722"/>
      <c r="B28" s="725"/>
      <c r="C28" s="203" t="s">
        <v>156</v>
      </c>
      <c r="D28" s="442">
        <f t="shared" si="0"/>
        <v>75</v>
      </c>
      <c r="E28" s="440"/>
      <c r="F28" s="440"/>
      <c r="G28" s="440"/>
      <c r="H28" s="440"/>
      <c r="I28" s="440"/>
      <c r="J28" s="440">
        <v>75</v>
      </c>
      <c r="K28" s="714"/>
      <c r="L28" s="15"/>
    </row>
    <row r="29" spans="1:12" ht="37.5" hidden="1">
      <c r="A29" s="78">
        <v>12</v>
      </c>
      <c r="B29" s="62" t="s">
        <v>43</v>
      </c>
      <c r="C29" s="203" t="s">
        <v>473</v>
      </c>
      <c r="D29" s="442">
        <f t="shared" si="0"/>
        <v>150</v>
      </c>
      <c r="E29" s="96">
        <v>150</v>
      </c>
      <c r="F29" s="440">
        <v>0</v>
      </c>
      <c r="G29" s="440">
        <v>0</v>
      </c>
      <c r="H29" s="440">
        <v>0</v>
      </c>
      <c r="I29" s="440">
        <v>0</v>
      </c>
      <c r="J29" s="440">
        <v>0</v>
      </c>
      <c r="K29" s="285" t="s">
        <v>489</v>
      </c>
      <c r="L29" s="15"/>
    </row>
    <row r="30" spans="1:12" ht="37.5" hidden="1">
      <c r="A30" s="78">
        <v>13</v>
      </c>
      <c r="B30" s="62" t="s">
        <v>44</v>
      </c>
      <c r="C30" s="203" t="s">
        <v>473</v>
      </c>
      <c r="D30" s="442">
        <f t="shared" si="0"/>
        <v>1</v>
      </c>
      <c r="E30" s="96">
        <v>1</v>
      </c>
      <c r="F30" s="440">
        <v>0</v>
      </c>
      <c r="G30" s="440"/>
      <c r="H30" s="440"/>
      <c r="I30" s="440"/>
      <c r="J30" s="440">
        <v>0</v>
      </c>
      <c r="K30" s="285" t="s">
        <v>489</v>
      </c>
      <c r="L30" s="15"/>
    </row>
    <row r="31" spans="1:12" s="290" customFormat="1" ht="56.25" customHeight="1" hidden="1">
      <c r="A31" s="305"/>
      <c r="B31" s="306"/>
      <c r="C31" s="299"/>
      <c r="D31" s="476"/>
      <c r="E31" s="477"/>
      <c r="F31" s="477"/>
      <c r="G31" s="477"/>
      <c r="H31" s="477"/>
      <c r="I31" s="477"/>
      <c r="J31" s="477"/>
      <c r="K31" s="303"/>
      <c r="L31" s="300"/>
    </row>
    <row r="32" spans="1:12" ht="75" hidden="1">
      <c r="A32" s="78">
        <v>15</v>
      </c>
      <c r="B32" s="62" t="s">
        <v>91</v>
      </c>
      <c r="C32" s="203" t="s">
        <v>473</v>
      </c>
      <c r="D32" s="442">
        <f t="shared" si="0"/>
        <v>250</v>
      </c>
      <c r="E32" s="96">
        <v>0</v>
      </c>
      <c r="F32" s="440">
        <v>250</v>
      </c>
      <c r="G32" s="440"/>
      <c r="H32" s="440"/>
      <c r="I32" s="440"/>
      <c r="J32" s="440">
        <v>0</v>
      </c>
      <c r="K32" s="285" t="s">
        <v>489</v>
      </c>
      <c r="L32" s="15"/>
    </row>
    <row r="33" spans="1:12" ht="37.5" hidden="1">
      <c r="A33" s="78">
        <v>16</v>
      </c>
      <c r="B33" s="62" t="s">
        <v>94</v>
      </c>
      <c r="C33" s="203" t="s">
        <v>473</v>
      </c>
      <c r="D33" s="442">
        <f t="shared" si="0"/>
        <v>200</v>
      </c>
      <c r="E33" s="96">
        <v>0</v>
      </c>
      <c r="F33" s="440">
        <v>200</v>
      </c>
      <c r="G33" s="440"/>
      <c r="H33" s="440"/>
      <c r="I33" s="440"/>
      <c r="J33" s="440">
        <v>0</v>
      </c>
      <c r="K33" s="285" t="s">
        <v>489</v>
      </c>
      <c r="L33" s="15"/>
    </row>
    <row r="34" spans="1:12" ht="86.25" customHeight="1" hidden="1">
      <c r="A34" s="78">
        <v>17</v>
      </c>
      <c r="B34" s="62" t="s">
        <v>96</v>
      </c>
      <c r="C34" s="203" t="s">
        <v>473</v>
      </c>
      <c r="D34" s="442">
        <f t="shared" si="0"/>
        <v>79.7</v>
      </c>
      <c r="E34" s="96">
        <v>0</v>
      </c>
      <c r="F34" s="440">
        <f>0+20+30+16.2+13.5</f>
        <v>79.7</v>
      </c>
      <c r="G34" s="440"/>
      <c r="H34" s="440"/>
      <c r="I34" s="440"/>
      <c r="J34" s="440">
        <v>0</v>
      </c>
      <c r="K34" s="285" t="s">
        <v>489</v>
      </c>
      <c r="L34" s="15"/>
    </row>
    <row r="35" spans="1:12" ht="32.25" customHeight="1" hidden="1">
      <c r="A35" s="720">
        <v>18</v>
      </c>
      <c r="B35" s="724" t="s">
        <v>126</v>
      </c>
      <c r="C35" s="203" t="s">
        <v>473</v>
      </c>
      <c r="D35" s="442">
        <f t="shared" si="0"/>
        <v>15</v>
      </c>
      <c r="E35" s="96">
        <v>0</v>
      </c>
      <c r="F35" s="440">
        <f>0+12+3</f>
        <v>15</v>
      </c>
      <c r="G35" s="440"/>
      <c r="H35" s="440"/>
      <c r="I35" s="440"/>
      <c r="J35" s="440"/>
      <c r="K35" s="713" t="s">
        <v>489</v>
      </c>
      <c r="L35" s="15"/>
    </row>
    <row r="36" spans="1:12" ht="21" customHeight="1" hidden="1">
      <c r="A36" s="722"/>
      <c r="B36" s="725"/>
      <c r="C36" s="203" t="s">
        <v>156</v>
      </c>
      <c r="D36" s="442">
        <f t="shared" si="0"/>
        <v>30</v>
      </c>
      <c r="E36" s="96"/>
      <c r="F36" s="440"/>
      <c r="G36" s="440"/>
      <c r="H36" s="440"/>
      <c r="I36" s="440"/>
      <c r="J36" s="440">
        <v>30</v>
      </c>
      <c r="K36" s="714"/>
      <c r="L36" s="15"/>
    </row>
    <row r="37" spans="1:12" ht="42" customHeight="1" hidden="1">
      <c r="A37" s="78">
        <v>19</v>
      </c>
      <c r="B37" s="302" t="s">
        <v>154</v>
      </c>
      <c r="C37" s="63" t="s">
        <v>473</v>
      </c>
      <c r="D37" s="442">
        <f t="shared" si="0"/>
        <v>200</v>
      </c>
      <c r="E37" s="96"/>
      <c r="F37" s="440">
        <f>0+200</f>
        <v>200</v>
      </c>
      <c r="G37" s="440"/>
      <c r="H37" s="440"/>
      <c r="I37" s="440"/>
      <c r="J37" s="440"/>
      <c r="K37" s="285" t="s">
        <v>489</v>
      </c>
      <c r="L37" s="15"/>
    </row>
    <row r="38" spans="1:12" ht="42" customHeight="1" hidden="1">
      <c r="A38" s="78">
        <v>20</v>
      </c>
      <c r="B38" s="145" t="s">
        <v>129</v>
      </c>
      <c r="C38" s="63" t="s">
        <v>473</v>
      </c>
      <c r="D38" s="442">
        <f t="shared" si="0"/>
        <v>80</v>
      </c>
      <c r="E38" s="96"/>
      <c r="F38" s="440">
        <f>0+80</f>
        <v>80</v>
      </c>
      <c r="G38" s="440"/>
      <c r="H38" s="440"/>
      <c r="I38" s="440"/>
      <c r="J38" s="440"/>
      <c r="K38" s="285" t="s">
        <v>489</v>
      </c>
      <c r="L38" s="15"/>
    </row>
    <row r="39" spans="1:12" ht="42" customHeight="1" hidden="1">
      <c r="A39" s="78">
        <v>21</v>
      </c>
      <c r="B39" s="145" t="s">
        <v>131</v>
      </c>
      <c r="C39" s="63" t="s">
        <v>473</v>
      </c>
      <c r="D39" s="442">
        <f t="shared" si="0"/>
        <v>84</v>
      </c>
      <c r="E39" s="96"/>
      <c r="F39" s="440">
        <v>84</v>
      </c>
      <c r="G39" s="440"/>
      <c r="H39" s="440"/>
      <c r="I39" s="440"/>
      <c r="J39" s="440"/>
      <c r="K39" s="285" t="s">
        <v>489</v>
      </c>
      <c r="L39" s="15"/>
    </row>
    <row r="40" spans="1:12" ht="69" customHeight="1" hidden="1">
      <c r="A40" s="78">
        <v>22</v>
      </c>
      <c r="B40" s="145" t="s">
        <v>132</v>
      </c>
      <c r="C40" s="63" t="s">
        <v>473</v>
      </c>
      <c r="D40" s="442">
        <f t="shared" si="0"/>
        <v>11.1</v>
      </c>
      <c r="E40" s="96"/>
      <c r="F40" s="440">
        <v>11.1</v>
      </c>
      <c r="G40" s="440"/>
      <c r="H40" s="440"/>
      <c r="I40" s="440"/>
      <c r="J40" s="440"/>
      <c r="K40" s="285" t="s">
        <v>489</v>
      </c>
      <c r="L40" s="15"/>
    </row>
    <row r="41" spans="1:12" ht="34.5" customHeight="1" hidden="1">
      <c r="A41" s="78">
        <v>23</v>
      </c>
      <c r="B41" s="145" t="s">
        <v>153</v>
      </c>
      <c r="C41" s="63" t="s">
        <v>473</v>
      </c>
      <c r="D41" s="442">
        <f t="shared" si="0"/>
        <v>96</v>
      </c>
      <c r="E41" s="96"/>
      <c r="F41" s="440">
        <v>96</v>
      </c>
      <c r="G41" s="440"/>
      <c r="H41" s="440"/>
      <c r="I41" s="440"/>
      <c r="J41" s="440"/>
      <c r="K41" s="285" t="s">
        <v>489</v>
      </c>
      <c r="L41" s="15"/>
    </row>
    <row r="42" spans="1:12" ht="54.75" customHeight="1" hidden="1">
      <c r="A42" s="78">
        <v>24</v>
      </c>
      <c r="B42" s="145" t="s">
        <v>133</v>
      </c>
      <c r="C42" s="63" t="s">
        <v>156</v>
      </c>
      <c r="D42" s="442">
        <f t="shared" si="0"/>
        <v>150</v>
      </c>
      <c r="E42" s="96"/>
      <c r="F42" s="440"/>
      <c r="G42" s="440"/>
      <c r="H42" s="440"/>
      <c r="I42" s="440"/>
      <c r="J42" s="440">
        <v>150</v>
      </c>
      <c r="K42" s="285" t="s">
        <v>489</v>
      </c>
      <c r="L42" s="15"/>
    </row>
    <row r="43" spans="1:12" ht="49.5" customHeight="1" hidden="1">
      <c r="A43" s="78">
        <v>25</v>
      </c>
      <c r="B43" s="145" t="s">
        <v>134</v>
      </c>
      <c r="C43" s="63" t="s">
        <v>156</v>
      </c>
      <c r="D43" s="442">
        <f t="shared" si="0"/>
        <v>50</v>
      </c>
      <c r="E43" s="96"/>
      <c r="F43" s="440"/>
      <c r="G43" s="440"/>
      <c r="H43" s="440"/>
      <c r="I43" s="440"/>
      <c r="J43" s="440">
        <v>50</v>
      </c>
      <c r="K43" s="285" t="s">
        <v>489</v>
      </c>
      <c r="L43" s="15"/>
    </row>
    <row r="44" spans="1:12" ht="39.75" customHeight="1" hidden="1">
      <c r="A44" s="78">
        <v>26</v>
      </c>
      <c r="B44" s="145" t="s">
        <v>135</v>
      </c>
      <c r="C44" s="63" t="s">
        <v>156</v>
      </c>
      <c r="D44" s="442">
        <f t="shared" si="0"/>
        <v>85</v>
      </c>
      <c r="E44" s="96"/>
      <c r="F44" s="440"/>
      <c r="G44" s="440"/>
      <c r="H44" s="440"/>
      <c r="I44" s="440"/>
      <c r="J44" s="440">
        <v>85</v>
      </c>
      <c r="K44" s="285" t="s">
        <v>489</v>
      </c>
      <c r="L44" s="15"/>
    </row>
    <row r="45" spans="1:12" ht="38.25" customHeight="1" hidden="1">
      <c r="A45" s="78">
        <v>27</v>
      </c>
      <c r="B45" s="145" t="s">
        <v>136</v>
      </c>
      <c r="C45" s="63" t="s">
        <v>156</v>
      </c>
      <c r="D45" s="442">
        <f t="shared" si="0"/>
        <v>300</v>
      </c>
      <c r="E45" s="96"/>
      <c r="F45" s="440"/>
      <c r="G45" s="440"/>
      <c r="H45" s="440"/>
      <c r="I45" s="440"/>
      <c r="J45" s="440">
        <v>300</v>
      </c>
      <c r="K45" s="285" t="s">
        <v>489</v>
      </c>
      <c r="L45" s="15"/>
    </row>
    <row r="46" spans="1:12" ht="96" customHeight="1" hidden="1">
      <c r="A46" s="78">
        <v>28</v>
      </c>
      <c r="B46" s="145" t="s">
        <v>155</v>
      </c>
      <c r="C46" s="63" t="s">
        <v>156</v>
      </c>
      <c r="D46" s="442">
        <f t="shared" si="0"/>
        <v>60</v>
      </c>
      <c r="E46" s="96"/>
      <c r="F46" s="440"/>
      <c r="G46" s="440"/>
      <c r="H46" s="440"/>
      <c r="I46" s="440"/>
      <c r="J46" s="440">
        <v>60</v>
      </c>
      <c r="K46" s="285" t="s">
        <v>489</v>
      </c>
      <c r="L46" s="15"/>
    </row>
    <row r="47" spans="1:12" ht="39" customHeight="1" hidden="1">
      <c r="A47" s="78">
        <v>29</v>
      </c>
      <c r="B47" s="145" t="s">
        <v>163</v>
      </c>
      <c r="C47" s="63" t="s">
        <v>156</v>
      </c>
      <c r="D47" s="442">
        <f t="shared" si="0"/>
        <v>190</v>
      </c>
      <c r="E47" s="96"/>
      <c r="F47" s="440"/>
      <c r="G47" s="440"/>
      <c r="H47" s="440"/>
      <c r="I47" s="440"/>
      <c r="J47" s="440">
        <v>190</v>
      </c>
      <c r="K47" s="285" t="s">
        <v>489</v>
      </c>
      <c r="L47" s="15"/>
    </row>
    <row r="48" spans="1:12" ht="109.5" customHeight="1" hidden="1">
      <c r="A48" s="78">
        <v>30</v>
      </c>
      <c r="B48" s="145" t="s">
        <v>177</v>
      </c>
      <c r="C48" s="63" t="s">
        <v>156</v>
      </c>
      <c r="D48" s="442">
        <f t="shared" si="0"/>
        <v>4.3</v>
      </c>
      <c r="E48" s="96"/>
      <c r="F48" s="440"/>
      <c r="G48" s="440"/>
      <c r="H48" s="440"/>
      <c r="I48" s="440"/>
      <c r="J48" s="440">
        <v>4.3</v>
      </c>
      <c r="K48" s="285" t="s">
        <v>489</v>
      </c>
      <c r="L48" s="15"/>
    </row>
    <row r="49" spans="1:12" ht="54.75" customHeight="1" hidden="1">
      <c r="A49" s="78">
        <v>31</v>
      </c>
      <c r="B49" s="135" t="s">
        <v>178</v>
      </c>
      <c r="C49" s="63" t="s">
        <v>156</v>
      </c>
      <c r="D49" s="442">
        <f t="shared" si="0"/>
        <v>79</v>
      </c>
      <c r="E49" s="96"/>
      <c r="F49" s="440"/>
      <c r="G49" s="440"/>
      <c r="H49" s="440"/>
      <c r="I49" s="440"/>
      <c r="J49" s="440">
        <v>79</v>
      </c>
      <c r="K49" s="285" t="s">
        <v>489</v>
      </c>
      <c r="L49" s="15"/>
    </row>
    <row r="50" spans="1:12" ht="83.25" customHeight="1" hidden="1">
      <c r="A50" s="78">
        <v>32</v>
      </c>
      <c r="B50" s="135" t="s">
        <v>179</v>
      </c>
      <c r="C50" s="63" t="s">
        <v>156</v>
      </c>
      <c r="D50" s="442">
        <f t="shared" si="0"/>
        <v>190</v>
      </c>
      <c r="E50" s="96"/>
      <c r="F50" s="440"/>
      <c r="G50" s="440"/>
      <c r="H50" s="440"/>
      <c r="I50" s="440"/>
      <c r="J50" s="440">
        <v>190</v>
      </c>
      <c r="K50" s="285" t="s">
        <v>489</v>
      </c>
      <c r="L50" s="15"/>
    </row>
    <row r="51" spans="1:12" ht="39" customHeight="1" hidden="1">
      <c r="A51" s="78">
        <v>33</v>
      </c>
      <c r="B51" s="135" t="s">
        <v>180</v>
      </c>
      <c r="C51" s="63" t="s">
        <v>156</v>
      </c>
      <c r="D51" s="442">
        <f t="shared" si="0"/>
        <v>40</v>
      </c>
      <c r="E51" s="96"/>
      <c r="F51" s="440"/>
      <c r="G51" s="440"/>
      <c r="H51" s="440"/>
      <c r="I51" s="440"/>
      <c r="J51" s="440">
        <v>40</v>
      </c>
      <c r="K51" s="285" t="s">
        <v>489</v>
      </c>
      <c r="L51" s="15"/>
    </row>
    <row r="52" spans="1:12" ht="60.75" customHeight="1" hidden="1">
      <c r="A52" s="78">
        <v>34</v>
      </c>
      <c r="B52" s="135" t="s">
        <v>190</v>
      </c>
      <c r="C52" s="63" t="s">
        <v>156</v>
      </c>
      <c r="D52" s="442">
        <f t="shared" si="0"/>
        <v>39</v>
      </c>
      <c r="E52" s="96"/>
      <c r="F52" s="440"/>
      <c r="G52" s="440"/>
      <c r="H52" s="440"/>
      <c r="I52" s="440"/>
      <c r="J52" s="440">
        <v>39</v>
      </c>
      <c r="K52" s="285" t="s">
        <v>489</v>
      </c>
      <c r="L52" s="15"/>
    </row>
    <row r="53" spans="1:12" ht="46.5" customHeight="1" hidden="1">
      <c r="A53" s="78">
        <v>35</v>
      </c>
      <c r="B53" s="135" t="s">
        <v>191</v>
      </c>
      <c r="C53" s="63" t="s">
        <v>156</v>
      </c>
      <c r="D53" s="442">
        <f t="shared" si="0"/>
        <v>450</v>
      </c>
      <c r="E53" s="96"/>
      <c r="F53" s="440"/>
      <c r="G53" s="440"/>
      <c r="H53" s="440"/>
      <c r="I53" s="440"/>
      <c r="J53" s="440">
        <v>450</v>
      </c>
      <c r="K53" s="285" t="s">
        <v>489</v>
      </c>
      <c r="L53" s="15"/>
    </row>
    <row r="54" spans="1:12" ht="21.75" customHeight="1">
      <c r="A54" s="71"/>
      <c r="B54" s="57" t="s">
        <v>463</v>
      </c>
      <c r="C54" s="67"/>
      <c r="D54" s="94">
        <f>E54+F54+J54</f>
        <v>13580.800000000001</v>
      </c>
      <c r="E54" s="94">
        <f aca="true" t="shared" si="1" ref="E54:J54">E15+E17+E19+E20+E21+E22+E23</f>
        <v>3036</v>
      </c>
      <c r="F54" s="94">
        <f t="shared" si="1"/>
        <v>5167.7</v>
      </c>
      <c r="G54" s="94">
        <f t="shared" si="1"/>
        <v>0</v>
      </c>
      <c r="H54" s="94">
        <f t="shared" si="1"/>
        <v>0</v>
      </c>
      <c r="I54" s="94">
        <f t="shared" si="1"/>
        <v>0</v>
      </c>
      <c r="J54" s="94">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465</v>
      </c>
      <c r="M57" s="86"/>
    </row>
    <row r="58" spans="1:13" s="83" customFormat="1" ht="18.75" customHeight="1">
      <c r="A58" s="14"/>
      <c r="B58" s="49"/>
      <c r="C58" s="50"/>
      <c r="D58" s="14"/>
      <c r="E58" s="19"/>
      <c r="F58" s="19"/>
      <c r="G58" s="19"/>
      <c r="H58" s="19"/>
      <c r="I58" s="19"/>
      <c r="J58" s="19"/>
      <c r="K58" s="50"/>
      <c r="L58" s="87"/>
      <c r="M58" s="86"/>
    </row>
    <row r="59" spans="2:12" s="83" customFormat="1" ht="33" customHeight="1">
      <c r="B59" s="239" t="s">
        <v>474</v>
      </c>
      <c r="C59" s="239"/>
      <c r="E59" s="239"/>
      <c r="F59" s="715" t="s">
        <v>616</v>
      </c>
      <c r="G59" s="715"/>
      <c r="H59" s="715"/>
      <c r="I59" s="715"/>
      <c r="J59" s="715"/>
      <c r="K59" s="86"/>
      <c r="L59" s="91"/>
    </row>
    <row r="60" spans="2:14" s="83" customFormat="1" ht="13.5" customHeight="1">
      <c r="B60" s="84"/>
      <c r="C60" s="84"/>
      <c r="E60" s="84"/>
      <c r="F60" s="85"/>
      <c r="G60" s="85"/>
      <c r="H60" s="85"/>
      <c r="I60" s="85"/>
      <c r="J60" s="85"/>
      <c r="K60" s="86"/>
      <c r="L60" s="91"/>
      <c r="N60" s="93"/>
    </row>
    <row r="61" spans="1:11" ht="18.75">
      <c r="A61" s="83"/>
      <c r="B61" s="88" t="s">
        <v>159</v>
      </c>
      <c r="C61" s="88"/>
      <c r="D61" s="83"/>
      <c r="E61" s="89"/>
      <c r="F61" s="90"/>
      <c r="G61" s="90"/>
      <c r="H61" s="90"/>
      <c r="I61" s="90"/>
      <c r="J61" s="90"/>
      <c r="K61" s="91"/>
    </row>
    <row r="62" spans="1:11" ht="15.75">
      <c r="A62" s="83"/>
      <c r="B62" s="118"/>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K17:K18"/>
    <mergeCell ref="E17:E18"/>
    <mergeCell ref="K35:K36"/>
    <mergeCell ref="F13:F14"/>
    <mergeCell ref="K27:K28"/>
    <mergeCell ref="K15:K16"/>
    <mergeCell ref="K12:K14"/>
    <mergeCell ref="K25:K26"/>
    <mergeCell ref="E12:J12"/>
    <mergeCell ref="G13:G14"/>
    <mergeCell ref="F59:J59"/>
    <mergeCell ref="C15:C16"/>
    <mergeCell ref="J17:J18"/>
    <mergeCell ref="D17:D18"/>
    <mergeCell ref="C17:C18"/>
    <mergeCell ref="F17:F18"/>
    <mergeCell ref="A35:A36"/>
    <mergeCell ref="A25:A26"/>
    <mergeCell ref="B25:B26"/>
    <mergeCell ref="A27:A28"/>
    <mergeCell ref="B27:B28"/>
    <mergeCell ref="A17:A18"/>
    <mergeCell ref="B35:B36"/>
    <mergeCell ref="B17:B18"/>
    <mergeCell ref="B10:K10"/>
    <mergeCell ref="H13:H14"/>
    <mergeCell ref="I13:I14"/>
    <mergeCell ref="C12:C14"/>
    <mergeCell ref="D15:D16"/>
    <mergeCell ref="E13:E14"/>
    <mergeCell ref="B12:B14"/>
    <mergeCell ref="J15:J16"/>
    <mergeCell ref="D12:D14"/>
    <mergeCell ref="J6:O6"/>
    <mergeCell ref="J7:O7"/>
    <mergeCell ref="A12:A14"/>
    <mergeCell ref="J13:J14"/>
    <mergeCell ref="A15:A16"/>
    <mergeCell ref="B15:B16"/>
    <mergeCell ref="F15:F16"/>
    <mergeCell ref="D11:H11"/>
    <mergeCell ref="E15:E16"/>
    <mergeCell ref="J8:K8"/>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2">
      <selection activeCell="K37" sqref="K37:K4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475</v>
      </c>
      <c r="J1" s="1" t="s">
        <v>619</v>
      </c>
      <c r="K1" s="297"/>
      <c r="L1" s="13" t="s">
        <v>475</v>
      </c>
    </row>
    <row r="2" spans="2:15" ht="15.75">
      <c r="B2" s="15"/>
      <c r="C2" s="15"/>
      <c r="D2" s="15"/>
      <c r="E2" s="15"/>
      <c r="F2" s="15"/>
      <c r="G2" s="15"/>
      <c r="H2" s="15"/>
      <c r="I2" s="12" t="s">
        <v>468</v>
      </c>
      <c r="J2" s="12" t="s">
        <v>615</v>
      </c>
      <c r="K2" s="12"/>
      <c r="L2" s="15"/>
      <c r="M2" s="12"/>
      <c r="N2" s="12"/>
      <c r="O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ustomHeight="1">
      <c r="B6" s="15"/>
      <c r="C6" s="15"/>
      <c r="D6" s="15"/>
      <c r="E6" s="15"/>
      <c r="F6" s="15"/>
      <c r="G6" s="15"/>
      <c r="H6" s="16"/>
      <c r="I6" s="12" t="s">
        <v>478</v>
      </c>
      <c r="J6" s="665" t="s">
        <v>453</v>
      </c>
      <c r="K6" s="665"/>
      <c r="L6" s="665"/>
      <c r="M6" s="665"/>
      <c r="N6" s="665"/>
      <c r="O6" s="665"/>
    </row>
    <row r="7" spans="2:15" ht="15.75" customHeight="1">
      <c r="B7" s="15"/>
      <c r="C7" s="15"/>
      <c r="D7" s="15"/>
      <c r="E7" s="15"/>
      <c r="F7" s="15"/>
      <c r="G7" s="15"/>
      <c r="H7" s="16"/>
      <c r="I7" s="12"/>
      <c r="J7" s="665" t="s">
        <v>454</v>
      </c>
      <c r="K7" s="665"/>
      <c r="L7" s="665"/>
      <c r="M7" s="665"/>
      <c r="N7" s="665"/>
      <c r="O7" s="665"/>
    </row>
    <row r="8" spans="2:15" ht="15.75" customHeight="1">
      <c r="B8" s="15"/>
      <c r="C8" s="15"/>
      <c r="D8" s="15"/>
      <c r="E8" s="15"/>
      <c r="F8" s="15"/>
      <c r="G8" s="15"/>
      <c r="H8" s="15"/>
      <c r="I8" s="15"/>
      <c r="J8" s="665" t="s">
        <v>618</v>
      </c>
      <c r="K8" s="665"/>
      <c r="L8" s="438"/>
      <c r="M8" s="438"/>
      <c r="N8" s="438"/>
      <c r="O8" s="438"/>
    </row>
    <row r="9" spans="2:12" s="231" customFormat="1" ht="36" customHeight="1">
      <c r="B9" s="700" t="s">
        <v>407</v>
      </c>
      <c r="C9" s="700"/>
      <c r="D9" s="700"/>
      <c r="E9" s="700"/>
      <c r="F9" s="700"/>
      <c r="G9" s="700"/>
      <c r="H9" s="700"/>
      <c r="I9" s="700"/>
      <c r="J9" s="700"/>
      <c r="K9" s="700"/>
      <c r="L9" s="81"/>
    </row>
    <row r="10" spans="2:12" ht="18.75">
      <c r="B10" s="15"/>
      <c r="C10" s="15"/>
      <c r="D10" s="676"/>
      <c r="E10" s="676"/>
      <c r="F10" s="676"/>
      <c r="G10" s="676"/>
      <c r="H10" s="676"/>
      <c r="I10" s="15"/>
      <c r="J10" s="15"/>
      <c r="K10" s="273" t="s">
        <v>114</v>
      </c>
      <c r="L10" s="15"/>
    </row>
    <row r="11" spans="1:12" ht="15.75" customHeight="1">
      <c r="A11" s="720" t="s">
        <v>464</v>
      </c>
      <c r="B11" s="667" t="s">
        <v>469</v>
      </c>
      <c r="C11" s="667" t="s">
        <v>470</v>
      </c>
      <c r="D11" s="667" t="s">
        <v>117</v>
      </c>
      <c r="E11" s="677" t="s">
        <v>466</v>
      </c>
      <c r="F11" s="677"/>
      <c r="G11" s="677"/>
      <c r="H11" s="677"/>
      <c r="I11" s="677"/>
      <c r="J11" s="708"/>
      <c r="K11" s="674" t="s">
        <v>472</v>
      </c>
      <c r="L11" s="15"/>
    </row>
    <row r="12" spans="1:12" ht="15.75">
      <c r="A12" s="721"/>
      <c r="B12" s="668"/>
      <c r="C12" s="668"/>
      <c r="D12" s="668"/>
      <c r="E12" s="667">
        <v>2022</v>
      </c>
      <c r="F12" s="667">
        <v>2023</v>
      </c>
      <c r="G12" s="667" t="s">
        <v>481</v>
      </c>
      <c r="H12" s="667" t="s">
        <v>482</v>
      </c>
      <c r="I12" s="667" t="s">
        <v>483</v>
      </c>
      <c r="J12" s="674">
        <v>2024</v>
      </c>
      <c r="K12" s="674"/>
      <c r="L12" s="15"/>
    </row>
    <row r="13" spans="1:12" ht="21.75" customHeight="1">
      <c r="A13" s="722"/>
      <c r="B13" s="669"/>
      <c r="C13" s="669"/>
      <c r="D13" s="669"/>
      <c r="E13" s="669"/>
      <c r="F13" s="669"/>
      <c r="G13" s="669"/>
      <c r="H13" s="669"/>
      <c r="I13" s="669"/>
      <c r="J13" s="674"/>
      <c r="K13" s="674"/>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447</v>
      </c>
      <c r="C15" s="63" t="s">
        <v>195</v>
      </c>
      <c r="D15" s="170">
        <f aca="true" t="shared" si="1" ref="D15:D30">E15+F15+J15</f>
        <v>326.6</v>
      </c>
      <c r="E15" s="108">
        <f>382.2-280-15-47.2</f>
        <v>39.999999999999986</v>
      </c>
      <c r="F15" s="108">
        <f>427.3-290-0.7</f>
        <v>136.60000000000002</v>
      </c>
      <c r="G15" s="108"/>
      <c r="H15" s="108"/>
      <c r="I15" s="108"/>
      <c r="J15" s="108">
        <f>450-300</f>
        <v>150</v>
      </c>
      <c r="K15" s="293" t="s">
        <v>40</v>
      </c>
      <c r="L15" s="410"/>
    </row>
    <row r="16" spans="1:12" s="231" customFormat="1" ht="69" customHeight="1">
      <c r="A16" s="293">
        <v>2</v>
      </c>
      <c r="B16" s="294" t="s">
        <v>452</v>
      </c>
      <c r="C16" s="63" t="s">
        <v>195</v>
      </c>
      <c r="D16" s="170">
        <f t="shared" si="1"/>
        <v>13.4</v>
      </c>
      <c r="E16" s="108">
        <f>4+0.7</f>
        <v>4.7</v>
      </c>
      <c r="F16" s="108">
        <f>4+0.7</f>
        <v>4.7</v>
      </c>
      <c r="G16" s="108"/>
      <c r="H16" s="108"/>
      <c r="I16" s="108"/>
      <c r="J16" s="108">
        <v>4</v>
      </c>
      <c r="K16" s="293" t="s">
        <v>278</v>
      </c>
      <c r="L16" s="81"/>
    </row>
    <row r="17" spans="1:12" s="231" customFormat="1" ht="56.25" customHeight="1">
      <c r="A17" s="293">
        <v>3</v>
      </c>
      <c r="B17" s="294" t="s">
        <v>237</v>
      </c>
      <c r="C17" s="203" t="s">
        <v>195</v>
      </c>
      <c r="D17" s="170">
        <f t="shared" si="1"/>
        <v>226</v>
      </c>
      <c r="E17" s="108">
        <f>101.7-0.7</f>
        <v>101</v>
      </c>
      <c r="F17" s="108">
        <v>60</v>
      </c>
      <c r="G17" s="108"/>
      <c r="H17" s="108"/>
      <c r="I17" s="108"/>
      <c r="J17" s="108">
        <v>65</v>
      </c>
      <c r="K17" s="293" t="s">
        <v>278</v>
      </c>
      <c r="L17" s="81"/>
    </row>
    <row r="18" spans="1:12" s="231" customFormat="1" ht="51.75" customHeight="1">
      <c r="A18" s="293">
        <v>4</v>
      </c>
      <c r="B18" s="294" t="s">
        <v>240</v>
      </c>
      <c r="C18" s="63" t="s">
        <v>195</v>
      </c>
      <c r="D18" s="170">
        <f t="shared" si="1"/>
        <v>175</v>
      </c>
      <c r="E18" s="108">
        <f>45+15</f>
        <v>60</v>
      </c>
      <c r="F18" s="108">
        <f>50+10</f>
        <v>60</v>
      </c>
      <c r="G18" s="108"/>
      <c r="H18" s="108"/>
      <c r="I18" s="108"/>
      <c r="J18" s="108">
        <v>55</v>
      </c>
      <c r="K18" s="293" t="s">
        <v>279</v>
      </c>
      <c r="L18" s="81"/>
    </row>
    <row r="19" spans="1:12" s="231" customFormat="1" ht="39.75" customHeight="1">
      <c r="A19" s="293">
        <v>5</v>
      </c>
      <c r="B19" s="294" t="s">
        <v>356</v>
      </c>
      <c r="C19" s="63" t="s">
        <v>195</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241</v>
      </c>
      <c r="C20" s="63" t="s">
        <v>195</v>
      </c>
      <c r="D20" s="170">
        <f t="shared" si="1"/>
        <v>1635</v>
      </c>
      <c r="E20" s="108">
        <v>525</v>
      </c>
      <c r="F20" s="108">
        <v>550</v>
      </c>
      <c r="G20" s="108"/>
      <c r="H20" s="108"/>
      <c r="I20" s="108"/>
      <c r="J20" s="108">
        <v>560</v>
      </c>
      <c r="K20" s="293" t="s">
        <v>40</v>
      </c>
      <c r="L20" s="81"/>
    </row>
    <row r="21" spans="1:12" s="231" customFormat="1" ht="39.75" customHeight="1">
      <c r="A21" s="293">
        <v>7</v>
      </c>
      <c r="B21" s="294" t="s">
        <v>136</v>
      </c>
      <c r="C21" s="63" t="s">
        <v>195</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357</v>
      </c>
      <c r="C22" s="63" t="s">
        <v>195</v>
      </c>
      <c r="D22" s="170">
        <f t="shared" si="1"/>
        <v>260</v>
      </c>
      <c r="E22" s="108">
        <f>100-100</f>
        <v>0</v>
      </c>
      <c r="F22" s="108">
        <v>120</v>
      </c>
      <c r="G22" s="108"/>
      <c r="H22" s="108"/>
      <c r="I22" s="108"/>
      <c r="J22" s="108">
        <v>140</v>
      </c>
      <c r="K22" s="293" t="s">
        <v>40</v>
      </c>
      <c r="L22" s="81"/>
    </row>
    <row r="23" spans="1:12" s="231" customFormat="1" ht="57" customHeight="1">
      <c r="A23" s="293">
        <v>9</v>
      </c>
      <c r="B23" s="294" t="s">
        <v>324</v>
      </c>
      <c r="C23" s="63" t="s">
        <v>195</v>
      </c>
      <c r="D23" s="170">
        <f t="shared" si="1"/>
        <v>119</v>
      </c>
      <c r="E23" s="108">
        <f>53.1-29.86-23.24</f>
        <v>0</v>
      </c>
      <c r="F23" s="108">
        <v>59</v>
      </c>
      <c r="G23" s="108"/>
      <c r="H23" s="108"/>
      <c r="I23" s="108"/>
      <c r="J23" s="108">
        <v>60</v>
      </c>
      <c r="K23" s="293" t="s">
        <v>40</v>
      </c>
      <c r="L23" s="81"/>
    </row>
    <row r="24" spans="1:12" s="231" customFormat="1" ht="45" customHeight="1">
      <c r="A24" s="293">
        <v>10</v>
      </c>
      <c r="B24" s="294" t="s">
        <v>325</v>
      </c>
      <c r="C24" s="63" t="s">
        <v>195</v>
      </c>
      <c r="D24" s="170">
        <f t="shared" si="1"/>
        <v>30</v>
      </c>
      <c r="E24" s="108">
        <f>300-270</f>
        <v>30</v>
      </c>
      <c r="F24" s="108"/>
      <c r="G24" s="108"/>
      <c r="H24" s="108"/>
      <c r="I24" s="108"/>
      <c r="J24" s="108"/>
      <c r="K24" s="293" t="s">
        <v>40</v>
      </c>
      <c r="L24" s="81"/>
    </row>
    <row r="25" spans="1:12" s="231" customFormat="1" ht="97.5" customHeight="1" hidden="1">
      <c r="A25" s="293">
        <v>20</v>
      </c>
      <c r="B25" s="294" t="s">
        <v>244</v>
      </c>
      <c r="C25" s="63" t="s">
        <v>195</v>
      </c>
      <c r="D25" s="170">
        <f t="shared" si="1"/>
        <v>0</v>
      </c>
      <c r="E25" s="108"/>
      <c r="F25" s="108"/>
      <c r="G25" s="108"/>
      <c r="H25" s="108"/>
      <c r="I25" s="108"/>
      <c r="J25" s="108"/>
      <c r="K25" s="293" t="s">
        <v>40</v>
      </c>
      <c r="L25" s="81"/>
    </row>
    <row r="26" spans="1:12" s="231" customFormat="1" ht="75.75" customHeight="1" hidden="1">
      <c r="A26" s="293">
        <v>21</v>
      </c>
      <c r="B26" s="186" t="s">
        <v>245</v>
      </c>
      <c r="C26" s="63" t="s">
        <v>195</v>
      </c>
      <c r="D26" s="170">
        <f t="shared" si="1"/>
        <v>0</v>
      </c>
      <c r="E26" s="108"/>
      <c r="F26" s="108"/>
      <c r="G26" s="108"/>
      <c r="H26" s="108"/>
      <c r="I26" s="108"/>
      <c r="J26" s="108"/>
      <c r="K26" s="293" t="s">
        <v>40</v>
      </c>
      <c r="L26" s="81"/>
    </row>
    <row r="27" spans="1:12" s="231" customFormat="1" ht="39.75" customHeight="1">
      <c r="A27" s="293">
        <v>11</v>
      </c>
      <c r="B27" s="294" t="s">
        <v>413</v>
      </c>
      <c r="C27" s="63" t="s">
        <v>195</v>
      </c>
      <c r="D27" s="170">
        <f t="shared" si="1"/>
        <v>417.1</v>
      </c>
      <c r="E27" s="108">
        <f>150+40+40-179.9</f>
        <v>50.099999999999994</v>
      </c>
      <c r="F27" s="108">
        <f>159+20</f>
        <v>179</v>
      </c>
      <c r="G27" s="108"/>
      <c r="H27" s="108"/>
      <c r="I27" s="108"/>
      <c r="J27" s="108">
        <f>168+20</f>
        <v>188</v>
      </c>
      <c r="K27" s="293" t="s">
        <v>40</v>
      </c>
      <c r="L27" s="81"/>
    </row>
    <row r="28" spans="1:12" s="231" customFormat="1" ht="39" customHeight="1">
      <c r="A28" s="713">
        <v>12</v>
      </c>
      <c r="B28" s="713" t="s">
        <v>178</v>
      </c>
      <c r="C28" s="63" t="s">
        <v>35</v>
      </c>
      <c r="D28" s="170">
        <f t="shared" si="1"/>
        <v>4703.2</v>
      </c>
      <c r="E28" s="108">
        <v>1780</v>
      </c>
      <c r="F28" s="108">
        <v>2923.2</v>
      </c>
      <c r="G28" s="108"/>
      <c r="H28" s="108"/>
      <c r="I28" s="108"/>
      <c r="J28" s="108"/>
      <c r="K28" s="713" t="s">
        <v>40</v>
      </c>
      <c r="L28" s="81"/>
    </row>
    <row r="29" spans="1:12" s="52" customFormat="1" ht="41.25" customHeight="1">
      <c r="A29" s="714"/>
      <c r="B29" s="714"/>
      <c r="C29" s="63" t="s">
        <v>195</v>
      </c>
      <c r="D29" s="170">
        <f t="shared" si="1"/>
        <v>703</v>
      </c>
      <c r="E29" s="108">
        <f>350-27</f>
        <v>323</v>
      </c>
      <c r="F29" s="108">
        <v>380</v>
      </c>
      <c r="G29" s="108"/>
      <c r="H29" s="108"/>
      <c r="I29" s="108"/>
      <c r="J29" s="108"/>
      <c r="K29" s="714"/>
      <c r="L29" s="410"/>
    </row>
    <row r="30" spans="1:12" s="231" customFormat="1" ht="146.25" customHeight="1">
      <c r="A30" s="293">
        <v>13</v>
      </c>
      <c r="B30" s="294" t="s">
        <v>444</v>
      </c>
      <c r="C30" s="63" t="s">
        <v>195</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377</v>
      </c>
      <c r="C31" s="63" t="s">
        <v>195</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320</v>
      </c>
      <c r="C32" s="63" t="s">
        <v>195</v>
      </c>
      <c r="D32" s="170">
        <f t="shared" si="2"/>
        <v>173</v>
      </c>
      <c r="E32" s="108">
        <f>55-7</f>
        <v>48</v>
      </c>
      <c r="F32" s="108">
        <v>60</v>
      </c>
      <c r="G32" s="108"/>
      <c r="H32" s="108"/>
      <c r="I32" s="108"/>
      <c r="J32" s="108">
        <v>65</v>
      </c>
      <c r="K32" s="293" t="s">
        <v>40</v>
      </c>
      <c r="L32" s="81"/>
    </row>
    <row r="33" spans="1:12" s="231" customFormat="1" ht="75">
      <c r="A33" s="293">
        <v>16</v>
      </c>
      <c r="B33" s="523" t="s">
        <v>594</v>
      </c>
      <c r="C33" s="63" t="s">
        <v>195</v>
      </c>
      <c r="D33" s="170">
        <f t="shared" si="2"/>
        <v>50</v>
      </c>
      <c r="E33" s="108">
        <f>0+50</f>
        <v>50</v>
      </c>
      <c r="F33" s="108"/>
      <c r="G33" s="108"/>
      <c r="H33" s="108"/>
      <c r="I33" s="108"/>
      <c r="J33" s="108"/>
      <c r="K33" s="293" t="s">
        <v>40</v>
      </c>
      <c r="L33" s="81"/>
    </row>
    <row r="34" spans="1:12" s="231" customFormat="1" ht="37.5">
      <c r="A34" s="293">
        <v>17</v>
      </c>
      <c r="B34" s="526" t="s">
        <v>597</v>
      </c>
      <c r="C34" s="63" t="s">
        <v>195</v>
      </c>
      <c r="D34" s="170">
        <f t="shared" si="2"/>
        <v>29.86</v>
      </c>
      <c r="E34" s="108">
        <f>0+29.86</f>
        <v>29.86</v>
      </c>
      <c r="F34" s="108"/>
      <c r="G34" s="108"/>
      <c r="H34" s="108"/>
      <c r="I34" s="108"/>
      <c r="J34" s="108"/>
      <c r="K34" s="293" t="s">
        <v>40</v>
      </c>
      <c r="L34" s="81"/>
    </row>
    <row r="35" spans="1:12" s="231" customFormat="1" ht="37.5">
      <c r="A35" s="293">
        <v>18</v>
      </c>
      <c r="B35" s="526" t="s">
        <v>613</v>
      </c>
      <c r="C35" s="63" t="s">
        <v>195</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195</v>
      </c>
      <c r="D37" s="170">
        <f aca="true" t="shared" si="4" ref="D37:D71">E37+F37+J37</f>
        <v>551.25</v>
      </c>
      <c r="E37" s="107">
        <v>182.5</v>
      </c>
      <c r="F37" s="107">
        <v>183.75</v>
      </c>
      <c r="G37" s="107">
        <v>177.5</v>
      </c>
      <c r="H37" s="107">
        <v>177.5</v>
      </c>
      <c r="I37" s="107">
        <v>177.5</v>
      </c>
      <c r="J37" s="107">
        <v>185</v>
      </c>
      <c r="K37" s="713" t="s">
        <v>280</v>
      </c>
      <c r="L37" s="15"/>
    </row>
    <row r="38" spans="1:12" ht="84" customHeight="1">
      <c r="A38" s="293">
        <v>19</v>
      </c>
      <c r="B38" s="294" t="s">
        <v>246</v>
      </c>
      <c r="C38" s="63" t="s">
        <v>195</v>
      </c>
      <c r="D38" s="170">
        <f t="shared" si="4"/>
        <v>440.28999999999996</v>
      </c>
      <c r="E38" s="107">
        <v>136.23</v>
      </c>
      <c r="F38" s="107">
        <v>144.7</v>
      </c>
      <c r="G38" s="107"/>
      <c r="H38" s="107"/>
      <c r="I38" s="107"/>
      <c r="J38" s="107">
        <v>159.36</v>
      </c>
      <c r="K38" s="730"/>
      <c r="L38" s="15"/>
    </row>
    <row r="39" spans="1:12" ht="125.25" customHeight="1">
      <c r="A39" s="370">
        <v>20</v>
      </c>
      <c r="B39" s="294" t="s">
        <v>247</v>
      </c>
      <c r="C39" s="63" t="s">
        <v>195</v>
      </c>
      <c r="D39" s="170">
        <f t="shared" si="4"/>
        <v>1810.79</v>
      </c>
      <c r="E39" s="107">
        <v>563.17</v>
      </c>
      <c r="F39" s="107">
        <v>597.18</v>
      </c>
      <c r="G39" s="107"/>
      <c r="H39" s="107"/>
      <c r="I39" s="107"/>
      <c r="J39" s="107">
        <v>650.44</v>
      </c>
      <c r="K39" s="730"/>
      <c r="L39" s="15"/>
    </row>
    <row r="40" spans="1:12" ht="65.25" customHeight="1">
      <c r="A40" s="370">
        <v>21</v>
      </c>
      <c r="B40" s="294" t="s">
        <v>248</v>
      </c>
      <c r="C40" s="63" t="s">
        <v>195</v>
      </c>
      <c r="D40" s="170">
        <f t="shared" si="4"/>
        <v>235.2</v>
      </c>
      <c r="E40" s="107">
        <v>73.2</v>
      </c>
      <c r="F40" s="107">
        <v>79.2</v>
      </c>
      <c r="G40" s="107">
        <v>67.2</v>
      </c>
      <c r="H40" s="107">
        <v>67.2</v>
      </c>
      <c r="I40" s="107">
        <v>67.2</v>
      </c>
      <c r="J40" s="107">
        <v>82.8</v>
      </c>
      <c r="K40" s="730"/>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720">
        <v>10</v>
      </c>
      <c r="B43" s="724" t="s">
        <v>1</v>
      </c>
      <c r="C43" s="63" t="s">
        <v>473</v>
      </c>
      <c r="D43" s="170">
        <f t="shared" si="4"/>
        <v>123</v>
      </c>
      <c r="E43" s="108">
        <v>65</v>
      </c>
      <c r="F43" s="108">
        <v>58</v>
      </c>
      <c r="G43" s="108"/>
      <c r="H43" s="108"/>
      <c r="I43" s="108"/>
      <c r="J43" s="108"/>
      <c r="K43" s="713" t="s">
        <v>489</v>
      </c>
      <c r="L43" s="15"/>
    </row>
    <row r="44" spans="1:12" ht="18.75" hidden="1">
      <c r="A44" s="722"/>
      <c r="B44" s="725"/>
      <c r="C44" s="63" t="s">
        <v>156</v>
      </c>
      <c r="D44" s="170">
        <f t="shared" si="4"/>
        <v>75</v>
      </c>
      <c r="E44" s="108"/>
      <c r="F44" s="108"/>
      <c r="G44" s="108"/>
      <c r="H44" s="108"/>
      <c r="I44" s="108"/>
      <c r="J44" s="108">
        <v>75</v>
      </c>
      <c r="K44" s="714"/>
      <c r="L44" s="15"/>
    </row>
    <row r="45" spans="1:12" ht="36.75" customHeight="1" hidden="1">
      <c r="A45" s="720">
        <v>11</v>
      </c>
      <c r="B45" s="724" t="s">
        <v>95</v>
      </c>
      <c r="C45" s="63" t="s">
        <v>473</v>
      </c>
      <c r="D45" s="170">
        <f t="shared" si="4"/>
        <v>274</v>
      </c>
      <c r="E45" s="108">
        <f>42+80+87</f>
        <v>209</v>
      </c>
      <c r="F45" s="108">
        <f>63+2</f>
        <v>65</v>
      </c>
      <c r="G45" s="108"/>
      <c r="H45" s="108"/>
      <c r="I45" s="108"/>
      <c r="J45" s="108"/>
      <c r="K45" s="713" t="s">
        <v>489</v>
      </c>
      <c r="L45" s="15"/>
    </row>
    <row r="46" spans="1:12" ht="29.25" customHeight="1" hidden="1">
      <c r="A46" s="722"/>
      <c r="B46" s="725"/>
      <c r="C46" s="203" t="s">
        <v>156</v>
      </c>
      <c r="D46" s="170">
        <f t="shared" si="4"/>
        <v>75</v>
      </c>
      <c r="E46" s="108"/>
      <c r="F46" s="108"/>
      <c r="G46" s="108"/>
      <c r="H46" s="108"/>
      <c r="I46" s="108"/>
      <c r="J46" s="108">
        <v>75</v>
      </c>
      <c r="K46" s="714"/>
      <c r="L46" s="15"/>
    </row>
    <row r="47" spans="1:12" ht="37.5" hidden="1">
      <c r="A47" s="78">
        <v>12</v>
      </c>
      <c r="B47" s="62" t="s">
        <v>43</v>
      </c>
      <c r="C47" s="203" t="s">
        <v>473</v>
      </c>
      <c r="D47" s="170">
        <f t="shared" si="4"/>
        <v>150</v>
      </c>
      <c r="E47" s="61">
        <v>150</v>
      </c>
      <c r="F47" s="108">
        <v>0</v>
      </c>
      <c r="G47" s="108">
        <v>0</v>
      </c>
      <c r="H47" s="108">
        <v>0</v>
      </c>
      <c r="I47" s="108">
        <v>0</v>
      </c>
      <c r="J47" s="108">
        <v>0</v>
      </c>
      <c r="K47" s="285" t="s">
        <v>489</v>
      </c>
      <c r="L47" s="15"/>
    </row>
    <row r="48" spans="1:12" ht="37.5" hidden="1">
      <c r="A48" s="78">
        <v>13</v>
      </c>
      <c r="B48" s="62" t="s">
        <v>44</v>
      </c>
      <c r="C48" s="203" t="s">
        <v>473</v>
      </c>
      <c r="D48" s="170">
        <f t="shared" si="4"/>
        <v>1</v>
      </c>
      <c r="E48" s="61">
        <v>1</v>
      </c>
      <c r="F48" s="108">
        <v>0</v>
      </c>
      <c r="G48" s="108"/>
      <c r="H48" s="108"/>
      <c r="I48" s="108"/>
      <c r="J48" s="108">
        <v>0</v>
      </c>
      <c r="K48" s="285" t="s">
        <v>489</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473</v>
      </c>
      <c r="D50" s="170">
        <f t="shared" si="4"/>
        <v>250</v>
      </c>
      <c r="E50" s="61">
        <v>0</v>
      </c>
      <c r="F50" s="108">
        <v>250</v>
      </c>
      <c r="G50" s="108"/>
      <c r="H50" s="108"/>
      <c r="I50" s="108"/>
      <c r="J50" s="108">
        <v>0</v>
      </c>
      <c r="K50" s="285" t="s">
        <v>489</v>
      </c>
      <c r="L50" s="15"/>
    </row>
    <row r="51" spans="1:12" ht="37.5" hidden="1">
      <c r="A51" s="78">
        <v>16</v>
      </c>
      <c r="B51" s="62" t="s">
        <v>94</v>
      </c>
      <c r="C51" s="203" t="s">
        <v>473</v>
      </c>
      <c r="D51" s="170">
        <f t="shared" si="4"/>
        <v>200</v>
      </c>
      <c r="E51" s="61">
        <v>0</v>
      </c>
      <c r="F51" s="108">
        <v>200</v>
      </c>
      <c r="G51" s="108"/>
      <c r="H51" s="108"/>
      <c r="I51" s="108"/>
      <c r="J51" s="108">
        <v>0</v>
      </c>
      <c r="K51" s="285" t="s">
        <v>489</v>
      </c>
      <c r="L51" s="15"/>
    </row>
    <row r="52" spans="1:12" ht="86.25" customHeight="1" hidden="1">
      <c r="A52" s="78">
        <v>17</v>
      </c>
      <c r="B52" s="62" t="s">
        <v>96</v>
      </c>
      <c r="C52" s="203" t="s">
        <v>473</v>
      </c>
      <c r="D52" s="170">
        <f t="shared" si="4"/>
        <v>79.7</v>
      </c>
      <c r="E52" s="61">
        <v>0</v>
      </c>
      <c r="F52" s="108">
        <f>0+20+30+16.2+13.5</f>
        <v>79.7</v>
      </c>
      <c r="G52" s="108"/>
      <c r="H52" s="108"/>
      <c r="I52" s="108"/>
      <c r="J52" s="108">
        <v>0</v>
      </c>
      <c r="K52" s="285" t="s">
        <v>489</v>
      </c>
      <c r="L52" s="15"/>
    </row>
    <row r="53" spans="1:12" ht="32.25" customHeight="1" hidden="1">
      <c r="A53" s="720">
        <v>18</v>
      </c>
      <c r="B53" s="724" t="s">
        <v>126</v>
      </c>
      <c r="C53" s="203" t="s">
        <v>473</v>
      </c>
      <c r="D53" s="170">
        <f t="shared" si="4"/>
        <v>15</v>
      </c>
      <c r="E53" s="61">
        <v>0</v>
      </c>
      <c r="F53" s="108">
        <f>0+12+3</f>
        <v>15</v>
      </c>
      <c r="G53" s="108"/>
      <c r="H53" s="108"/>
      <c r="I53" s="108"/>
      <c r="J53" s="108"/>
      <c r="K53" s="713" t="s">
        <v>489</v>
      </c>
      <c r="L53" s="15"/>
    </row>
    <row r="54" spans="1:12" ht="21" customHeight="1" hidden="1">
      <c r="A54" s="722"/>
      <c r="B54" s="725"/>
      <c r="C54" s="203" t="s">
        <v>156</v>
      </c>
      <c r="D54" s="170">
        <f t="shared" si="4"/>
        <v>30</v>
      </c>
      <c r="E54" s="61"/>
      <c r="F54" s="108"/>
      <c r="G54" s="108"/>
      <c r="H54" s="108"/>
      <c r="I54" s="108"/>
      <c r="J54" s="108">
        <v>30</v>
      </c>
      <c r="K54" s="714"/>
      <c r="L54" s="15"/>
    </row>
    <row r="55" spans="1:12" ht="42" customHeight="1" hidden="1">
      <c r="A55" s="78">
        <v>19</v>
      </c>
      <c r="B55" s="302" t="s">
        <v>154</v>
      </c>
      <c r="C55" s="63" t="s">
        <v>473</v>
      </c>
      <c r="D55" s="170">
        <f t="shared" si="4"/>
        <v>200</v>
      </c>
      <c r="E55" s="61"/>
      <c r="F55" s="108">
        <f>0+200</f>
        <v>200</v>
      </c>
      <c r="G55" s="108"/>
      <c r="H55" s="108"/>
      <c r="I55" s="108"/>
      <c r="J55" s="108"/>
      <c r="K55" s="285" t="s">
        <v>489</v>
      </c>
      <c r="L55" s="15"/>
    </row>
    <row r="56" spans="1:12" ht="42" customHeight="1" hidden="1">
      <c r="A56" s="78">
        <v>20</v>
      </c>
      <c r="B56" s="145" t="s">
        <v>129</v>
      </c>
      <c r="C56" s="63" t="s">
        <v>473</v>
      </c>
      <c r="D56" s="170">
        <f t="shared" si="4"/>
        <v>80</v>
      </c>
      <c r="E56" s="61"/>
      <c r="F56" s="108">
        <f>0+80</f>
        <v>80</v>
      </c>
      <c r="G56" s="108"/>
      <c r="H56" s="108"/>
      <c r="I56" s="108"/>
      <c r="J56" s="108"/>
      <c r="K56" s="285" t="s">
        <v>489</v>
      </c>
      <c r="L56" s="15"/>
    </row>
    <row r="57" spans="1:12" ht="42" customHeight="1" hidden="1">
      <c r="A57" s="78">
        <v>21</v>
      </c>
      <c r="B57" s="145" t="s">
        <v>131</v>
      </c>
      <c r="C57" s="63" t="s">
        <v>473</v>
      </c>
      <c r="D57" s="170">
        <f t="shared" si="4"/>
        <v>84</v>
      </c>
      <c r="E57" s="61"/>
      <c r="F57" s="108">
        <v>84</v>
      </c>
      <c r="G57" s="108"/>
      <c r="H57" s="108"/>
      <c r="I57" s="108"/>
      <c r="J57" s="108"/>
      <c r="K57" s="285" t="s">
        <v>489</v>
      </c>
      <c r="L57" s="15"/>
    </row>
    <row r="58" spans="1:12" ht="69" customHeight="1" hidden="1">
      <c r="A58" s="78">
        <v>22</v>
      </c>
      <c r="B58" s="145" t="s">
        <v>132</v>
      </c>
      <c r="C58" s="63" t="s">
        <v>473</v>
      </c>
      <c r="D58" s="170">
        <f t="shared" si="4"/>
        <v>11.1</v>
      </c>
      <c r="E58" s="61"/>
      <c r="F58" s="108">
        <v>11.1</v>
      </c>
      <c r="G58" s="108"/>
      <c r="H58" s="108"/>
      <c r="I58" s="108"/>
      <c r="J58" s="108"/>
      <c r="K58" s="285" t="s">
        <v>489</v>
      </c>
      <c r="L58" s="15"/>
    </row>
    <row r="59" spans="1:12" ht="34.5" customHeight="1" hidden="1">
      <c r="A59" s="78">
        <v>23</v>
      </c>
      <c r="B59" s="145" t="s">
        <v>153</v>
      </c>
      <c r="C59" s="63" t="s">
        <v>473</v>
      </c>
      <c r="D59" s="170">
        <f t="shared" si="4"/>
        <v>96</v>
      </c>
      <c r="E59" s="61"/>
      <c r="F59" s="108">
        <v>96</v>
      </c>
      <c r="G59" s="108"/>
      <c r="H59" s="108"/>
      <c r="I59" s="108"/>
      <c r="J59" s="108"/>
      <c r="K59" s="285" t="s">
        <v>489</v>
      </c>
      <c r="L59" s="15"/>
    </row>
    <row r="60" spans="1:12" ht="54.75" customHeight="1" hidden="1">
      <c r="A60" s="78">
        <v>24</v>
      </c>
      <c r="B60" s="145" t="s">
        <v>133</v>
      </c>
      <c r="C60" s="63" t="s">
        <v>156</v>
      </c>
      <c r="D60" s="170">
        <f t="shared" si="4"/>
        <v>150</v>
      </c>
      <c r="E60" s="61"/>
      <c r="F60" s="108"/>
      <c r="G60" s="108"/>
      <c r="H60" s="108"/>
      <c r="I60" s="108"/>
      <c r="J60" s="108">
        <v>150</v>
      </c>
      <c r="K60" s="285" t="s">
        <v>489</v>
      </c>
      <c r="L60" s="15"/>
    </row>
    <row r="61" spans="1:12" ht="49.5" customHeight="1" hidden="1">
      <c r="A61" s="78">
        <v>25</v>
      </c>
      <c r="B61" s="145" t="s">
        <v>134</v>
      </c>
      <c r="C61" s="63" t="s">
        <v>156</v>
      </c>
      <c r="D61" s="170">
        <f t="shared" si="4"/>
        <v>50</v>
      </c>
      <c r="E61" s="61"/>
      <c r="F61" s="108"/>
      <c r="G61" s="108"/>
      <c r="H61" s="108"/>
      <c r="I61" s="108"/>
      <c r="J61" s="108">
        <v>50</v>
      </c>
      <c r="K61" s="285" t="s">
        <v>489</v>
      </c>
      <c r="L61" s="15"/>
    </row>
    <row r="62" spans="1:12" ht="39.75" customHeight="1" hidden="1">
      <c r="A62" s="78">
        <v>26</v>
      </c>
      <c r="B62" s="145" t="s">
        <v>135</v>
      </c>
      <c r="C62" s="63" t="s">
        <v>156</v>
      </c>
      <c r="D62" s="170">
        <f t="shared" si="4"/>
        <v>85</v>
      </c>
      <c r="E62" s="61"/>
      <c r="F62" s="108"/>
      <c r="G62" s="108"/>
      <c r="H62" s="108"/>
      <c r="I62" s="108"/>
      <c r="J62" s="108">
        <v>85</v>
      </c>
      <c r="K62" s="285" t="s">
        <v>489</v>
      </c>
      <c r="L62" s="15"/>
    </row>
    <row r="63" spans="1:12" ht="38.25" customHeight="1" hidden="1">
      <c r="A63" s="78">
        <v>27</v>
      </c>
      <c r="B63" s="145" t="s">
        <v>136</v>
      </c>
      <c r="C63" s="63" t="s">
        <v>156</v>
      </c>
      <c r="D63" s="170">
        <f t="shared" si="4"/>
        <v>300</v>
      </c>
      <c r="E63" s="61"/>
      <c r="F63" s="108"/>
      <c r="G63" s="108"/>
      <c r="H63" s="108"/>
      <c r="I63" s="108"/>
      <c r="J63" s="108">
        <v>300</v>
      </c>
      <c r="K63" s="285" t="s">
        <v>489</v>
      </c>
      <c r="L63" s="15"/>
    </row>
    <row r="64" spans="1:12" ht="96" customHeight="1" hidden="1">
      <c r="A64" s="78">
        <v>28</v>
      </c>
      <c r="B64" s="145" t="s">
        <v>155</v>
      </c>
      <c r="C64" s="63" t="s">
        <v>156</v>
      </c>
      <c r="D64" s="170">
        <f t="shared" si="4"/>
        <v>60</v>
      </c>
      <c r="E64" s="61"/>
      <c r="F64" s="108"/>
      <c r="G64" s="108"/>
      <c r="H64" s="108"/>
      <c r="I64" s="108"/>
      <c r="J64" s="108">
        <v>60</v>
      </c>
      <c r="K64" s="285" t="s">
        <v>489</v>
      </c>
      <c r="L64" s="15"/>
    </row>
    <row r="65" spans="1:12" ht="39" customHeight="1" hidden="1">
      <c r="A65" s="78">
        <v>29</v>
      </c>
      <c r="B65" s="145" t="s">
        <v>163</v>
      </c>
      <c r="C65" s="63" t="s">
        <v>156</v>
      </c>
      <c r="D65" s="170">
        <f t="shared" si="4"/>
        <v>190</v>
      </c>
      <c r="E65" s="61"/>
      <c r="F65" s="108"/>
      <c r="G65" s="108"/>
      <c r="H65" s="108"/>
      <c r="I65" s="108"/>
      <c r="J65" s="108">
        <v>190</v>
      </c>
      <c r="K65" s="285" t="s">
        <v>489</v>
      </c>
      <c r="L65" s="15"/>
    </row>
    <row r="66" spans="1:12" ht="109.5" customHeight="1" hidden="1">
      <c r="A66" s="78">
        <v>30</v>
      </c>
      <c r="B66" s="145" t="s">
        <v>177</v>
      </c>
      <c r="C66" s="63" t="s">
        <v>156</v>
      </c>
      <c r="D66" s="170">
        <f t="shared" si="4"/>
        <v>4.3</v>
      </c>
      <c r="E66" s="61"/>
      <c r="F66" s="108"/>
      <c r="G66" s="108"/>
      <c r="H66" s="108"/>
      <c r="I66" s="108"/>
      <c r="J66" s="108">
        <v>4.3</v>
      </c>
      <c r="K66" s="285" t="s">
        <v>489</v>
      </c>
      <c r="L66" s="15"/>
    </row>
    <row r="67" spans="1:12" ht="54.75" customHeight="1" hidden="1">
      <c r="A67" s="78">
        <v>31</v>
      </c>
      <c r="B67" s="135" t="s">
        <v>178</v>
      </c>
      <c r="C67" s="63" t="s">
        <v>156</v>
      </c>
      <c r="D67" s="170">
        <f t="shared" si="4"/>
        <v>79</v>
      </c>
      <c r="E67" s="61"/>
      <c r="F67" s="108"/>
      <c r="G67" s="108"/>
      <c r="H67" s="108"/>
      <c r="I67" s="108"/>
      <c r="J67" s="108">
        <v>79</v>
      </c>
      <c r="K67" s="285" t="s">
        <v>489</v>
      </c>
      <c r="L67" s="15"/>
    </row>
    <row r="68" spans="1:12" ht="83.25" customHeight="1" hidden="1">
      <c r="A68" s="78">
        <v>32</v>
      </c>
      <c r="B68" s="135" t="s">
        <v>179</v>
      </c>
      <c r="C68" s="63" t="s">
        <v>156</v>
      </c>
      <c r="D68" s="170">
        <f t="shared" si="4"/>
        <v>190</v>
      </c>
      <c r="E68" s="61"/>
      <c r="F68" s="108"/>
      <c r="G68" s="108"/>
      <c r="H68" s="108"/>
      <c r="I68" s="108"/>
      <c r="J68" s="108">
        <v>190</v>
      </c>
      <c r="K68" s="285" t="s">
        <v>489</v>
      </c>
      <c r="L68" s="15"/>
    </row>
    <row r="69" spans="1:12" ht="39" customHeight="1" hidden="1">
      <c r="A69" s="78">
        <v>33</v>
      </c>
      <c r="B69" s="135" t="s">
        <v>180</v>
      </c>
      <c r="C69" s="63" t="s">
        <v>156</v>
      </c>
      <c r="D69" s="170">
        <f t="shared" si="4"/>
        <v>40</v>
      </c>
      <c r="E69" s="61"/>
      <c r="F69" s="108"/>
      <c r="G69" s="108"/>
      <c r="H69" s="108"/>
      <c r="I69" s="108"/>
      <c r="J69" s="108">
        <v>40</v>
      </c>
      <c r="K69" s="285" t="s">
        <v>489</v>
      </c>
      <c r="L69" s="15"/>
    </row>
    <row r="70" spans="1:12" ht="60.75" customHeight="1" hidden="1">
      <c r="A70" s="78">
        <v>34</v>
      </c>
      <c r="B70" s="135" t="s">
        <v>190</v>
      </c>
      <c r="C70" s="63" t="s">
        <v>156</v>
      </c>
      <c r="D70" s="170">
        <f t="shared" si="4"/>
        <v>39</v>
      </c>
      <c r="E70" s="61"/>
      <c r="F70" s="108"/>
      <c r="G70" s="108"/>
      <c r="H70" s="108"/>
      <c r="I70" s="108"/>
      <c r="J70" s="108">
        <v>39</v>
      </c>
      <c r="K70" s="285" t="s">
        <v>489</v>
      </c>
      <c r="L70" s="15"/>
    </row>
    <row r="71" spans="1:12" ht="46.5" customHeight="1" hidden="1">
      <c r="A71" s="78">
        <v>35</v>
      </c>
      <c r="B71" s="135" t="s">
        <v>191</v>
      </c>
      <c r="C71" s="63" t="s">
        <v>156</v>
      </c>
      <c r="D71" s="170">
        <f t="shared" si="4"/>
        <v>450</v>
      </c>
      <c r="E71" s="61"/>
      <c r="F71" s="108"/>
      <c r="G71" s="108"/>
      <c r="H71" s="108"/>
      <c r="I71" s="108"/>
      <c r="J71" s="108">
        <v>450</v>
      </c>
      <c r="K71" s="285" t="s">
        <v>489</v>
      </c>
      <c r="L71" s="15"/>
    </row>
    <row r="72" spans="1:12" ht="21.75" customHeight="1">
      <c r="A72" s="71"/>
      <c r="B72" s="57" t="s">
        <v>463</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465</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474</v>
      </c>
      <c r="C77" s="239"/>
      <c r="E77" s="239"/>
      <c r="F77" s="715" t="s">
        <v>616</v>
      </c>
      <c r="G77" s="715"/>
      <c r="H77" s="715"/>
      <c r="I77" s="715"/>
      <c r="J77" s="715"/>
      <c r="K77" s="86"/>
      <c r="L77" s="91"/>
    </row>
    <row r="78" spans="2:14" s="83" customFormat="1" ht="13.5" customHeight="1">
      <c r="B78" s="84"/>
      <c r="C78" s="84"/>
      <c r="E78" s="84"/>
      <c r="F78" s="85"/>
      <c r="G78" s="85"/>
      <c r="H78" s="85"/>
      <c r="I78" s="85"/>
      <c r="J78" s="85"/>
      <c r="K78" s="86"/>
      <c r="L78" s="91"/>
      <c r="N78" s="93"/>
    </row>
    <row r="79" spans="1:11" ht="18.75">
      <c r="A79" s="83"/>
      <c r="B79" s="88" t="s">
        <v>159</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F77:J77"/>
    <mergeCell ref="K37:K40"/>
    <mergeCell ref="B9:K9"/>
    <mergeCell ref="D10:H10"/>
    <mergeCell ref="G12:G13"/>
    <mergeCell ref="D11:D13"/>
    <mergeCell ref="J6:O6"/>
    <mergeCell ref="K28:K29"/>
    <mergeCell ref="F12:F13"/>
    <mergeCell ref="H12:H13"/>
    <mergeCell ref="I12:I13"/>
    <mergeCell ref="B28:B29"/>
    <mergeCell ref="K11:K13"/>
    <mergeCell ref="J8:K8"/>
    <mergeCell ref="A11:A13"/>
    <mergeCell ref="B11:B13"/>
    <mergeCell ref="C11:C13"/>
    <mergeCell ref="J12:J13"/>
    <mergeCell ref="J7:O7"/>
    <mergeCell ref="E11:J11"/>
    <mergeCell ref="E12:E13"/>
    <mergeCell ref="A53:A54"/>
    <mergeCell ref="B53:B54"/>
    <mergeCell ref="K53:K54"/>
    <mergeCell ref="A45:A46"/>
    <mergeCell ref="K45:K46"/>
    <mergeCell ref="A28:A29"/>
    <mergeCell ref="B43:B44"/>
    <mergeCell ref="K43:K44"/>
    <mergeCell ref="A43:A44"/>
    <mergeCell ref="B45:B46"/>
  </mergeCells>
  <printOptions horizontalCentered="1"/>
  <pageMargins left="0" right="0" top="1.1811023622047245" bottom="0.1968503937007874" header="0" footer="0"/>
  <pageSetup fitToHeight="1" fitToWidth="1" horizontalDpi="600" verticalDpi="600" orientation="landscape" paperSize="9" scale="27"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32">
      <selection activeCell="H38" sqref="H38"/>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584</v>
      </c>
      <c r="H1" s="297"/>
      <c r="I1" s="149" t="s">
        <v>475</v>
      </c>
    </row>
    <row r="2" spans="2:12" ht="15.75">
      <c r="B2" s="133"/>
      <c r="C2" s="133"/>
      <c r="D2" s="133"/>
      <c r="E2" s="133"/>
      <c r="F2" s="133"/>
      <c r="G2" s="12" t="s">
        <v>615</v>
      </c>
      <c r="H2" s="12"/>
      <c r="I2" s="15"/>
      <c r="J2" s="12"/>
      <c r="K2" s="12"/>
      <c r="L2" s="12"/>
    </row>
    <row r="3" spans="2:12" ht="15.75">
      <c r="B3" s="133"/>
      <c r="C3" s="133"/>
      <c r="D3" s="133"/>
      <c r="E3" s="133"/>
      <c r="F3" s="133"/>
      <c r="G3" s="12" t="s">
        <v>456</v>
      </c>
      <c r="H3" s="12"/>
      <c r="I3" s="15"/>
      <c r="J3" s="12"/>
      <c r="K3" s="12"/>
      <c r="L3" s="12"/>
    </row>
    <row r="4" spans="2:12" ht="15.75">
      <c r="B4" s="133"/>
      <c r="C4" s="133"/>
      <c r="D4" s="133"/>
      <c r="E4" s="133"/>
      <c r="F4" s="133"/>
      <c r="G4" s="17" t="s">
        <v>161</v>
      </c>
      <c r="H4" s="17"/>
      <c r="I4" s="15"/>
      <c r="J4" s="12"/>
      <c r="K4" s="12"/>
      <c r="L4" s="12"/>
    </row>
    <row r="5" spans="2:12" ht="15.75">
      <c r="B5" s="133"/>
      <c r="C5" s="133"/>
      <c r="D5" s="133"/>
      <c r="E5" s="133"/>
      <c r="F5" s="133"/>
      <c r="G5" s="17" t="s">
        <v>369</v>
      </c>
      <c r="H5" s="17"/>
      <c r="I5" s="15"/>
      <c r="J5" s="12"/>
      <c r="K5" s="12"/>
      <c r="L5" s="12"/>
    </row>
    <row r="6" spans="2:12" ht="15.75">
      <c r="B6" s="133"/>
      <c r="C6" s="133"/>
      <c r="D6" s="133"/>
      <c r="E6" s="133"/>
      <c r="F6" s="133"/>
      <c r="G6" s="17" t="s">
        <v>453</v>
      </c>
      <c r="H6" s="17"/>
      <c r="I6" s="217"/>
      <c r="J6" s="12"/>
      <c r="K6" s="12"/>
      <c r="L6" s="12"/>
    </row>
    <row r="7" spans="2:12" ht="15.75" customHeight="1">
      <c r="B7" s="133"/>
      <c r="C7" s="133"/>
      <c r="D7" s="133"/>
      <c r="E7" s="133"/>
      <c r="F7" s="133"/>
      <c r="G7" s="665" t="s">
        <v>454</v>
      </c>
      <c r="H7" s="665"/>
      <c r="I7" s="665"/>
      <c r="J7" s="665"/>
      <c r="K7" s="665"/>
      <c r="L7" s="665"/>
    </row>
    <row r="8" spans="2:12" ht="15.75" customHeight="1">
      <c r="B8" s="133"/>
      <c r="C8" s="133"/>
      <c r="D8" s="133"/>
      <c r="E8" s="133"/>
      <c r="F8" s="133"/>
      <c r="G8" s="665" t="s">
        <v>400</v>
      </c>
      <c r="H8" s="665"/>
      <c r="I8" s="438"/>
      <c r="J8" s="438"/>
      <c r="K8" s="438"/>
      <c r="L8" s="438"/>
    </row>
    <row r="9" spans="2:9" ht="15.75">
      <c r="B9" s="133"/>
      <c r="C9" s="133"/>
      <c r="D9" s="133"/>
      <c r="E9" s="133"/>
      <c r="F9" s="133"/>
      <c r="G9" s="133"/>
      <c r="H9" s="133"/>
      <c r="I9" s="133"/>
    </row>
    <row r="10" spans="1:9" ht="36.75" customHeight="1">
      <c r="A10" s="746" t="s">
        <v>398</v>
      </c>
      <c r="B10" s="746"/>
      <c r="C10" s="746"/>
      <c r="D10" s="746"/>
      <c r="E10" s="746"/>
      <c r="F10" s="746"/>
      <c r="G10" s="746"/>
      <c r="H10" s="746"/>
      <c r="I10" s="133"/>
    </row>
    <row r="11" spans="2:9" ht="15.75">
      <c r="B11" s="133"/>
      <c r="C11" s="133"/>
      <c r="D11" s="747"/>
      <c r="E11" s="747"/>
      <c r="F11" s="747"/>
      <c r="G11" s="133"/>
      <c r="H11" s="272" t="s">
        <v>114</v>
      </c>
      <c r="I11" s="133"/>
    </row>
    <row r="12" spans="1:9" ht="18.75">
      <c r="A12" s="731" t="s">
        <v>486</v>
      </c>
      <c r="B12" s="731" t="s">
        <v>469</v>
      </c>
      <c r="C12" s="731" t="s">
        <v>470</v>
      </c>
      <c r="D12" s="731" t="s">
        <v>104</v>
      </c>
      <c r="E12" s="734" t="s">
        <v>466</v>
      </c>
      <c r="F12" s="734"/>
      <c r="G12" s="735"/>
      <c r="H12" s="736" t="s">
        <v>472</v>
      </c>
      <c r="I12" s="133"/>
    </row>
    <row r="13" spans="1:9" ht="15.75" customHeight="1">
      <c r="A13" s="732"/>
      <c r="B13" s="732"/>
      <c r="C13" s="732"/>
      <c r="D13" s="732"/>
      <c r="E13" s="731">
        <v>2022</v>
      </c>
      <c r="F13" s="731">
        <v>2023</v>
      </c>
      <c r="G13" s="736">
        <v>2024</v>
      </c>
      <c r="H13" s="736"/>
      <c r="I13" s="133"/>
    </row>
    <row r="14" spans="1:9" ht="26.25" customHeight="1">
      <c r="A14" s="733"/>
      <c r="B14" s="733"/>
      <c r="C14" s="733"/>
      <c r="D14" s="733"/>
      <c r="E14" s="733"/>
      <c r="F14" s="733"/>
      <c r="G14" s="736"/>
      <c r="H14" s="736"/>
      <c r="I14" s="133"/>
    </row>
    <row r="15" spans="1:9" ht="43.5" customHeight="1">
      <c r="A15" s="419">
        <v>1</v>
      </c>
      <c r="B15" s="320" t="s">
        <v>442</v>
      </c>
      <c r="C15" s="312" t="s">
        <v>252</v>
      </c>
      <c r="D15" s="310">
        <f aca="true" t="shared" si="0" ref="D15:D33">E15+F15+G15</f>
        <v>46431</v>
      </c>
      <c r="E15" s="552">
        <f>16448.1-5759.1</f>
        <v>10688.999999999998</v>
      </c>
      <c r="F15" s="503">
        <v>17435</v>
      </c>
      <c r="G15" s="503">
        <v>18307</v>
      </c>
      <c r="H15" s="737" t="s">
        <v>40</v>
      </c>
      <c r="I15" s="133"/>
    </row>
    <row r="16" spans="1:9" ht="27.75" customHeight="1" hidden="1">
      <c r="A16" s="425" t="s">
        <v>41</v>
      </c>
      <c r="B16" s="324" t="s">
        <v>348</v>
      </c>
      <c r="C16" s="740" t="s">
        <v>252</v>
      </c>
      <c r="D16" s="426">
        <f t="shared" si="0"/>
        <v>2637.6000000000004</v>
      </c>
      <c r="E16" s="553">
        <v>1280.4</v>
      </c>
      <c r="F16" s="427">
        <v>1357.2</v>
      </c>
      <c r="G16" s="427"/>
      <c r="H16" s="738"/>
      <c r="I16" s="133"/>
    </row>
    <row r="17" spans="1:9" ht="30.75" customHeight="1" hidden="1">
      <c r="A17" s="425" t="s">
        <v>45</v>
      </c>
      <c r="B17" s="324" t="s">
        <v>349</v>
      </c>
      <c r="C17" s="741"/>
      <c r="D17" s="426">
        <f t="shared" si="0"/>
        <v>2198</v>
      </c>
      <c r="E17" s="553">
        <v>1067</v>
      </c>
      <c r="F17" s="427">
        <v>1131</v>
      </c>
      <c r="G17" s="427"/>
      <c r="H17" s="738"/>
      <c r="I17" s="133"/>
    </row>
    <row r="18" spans="1:9" ht="29.25" customHeight="1" hidden="1">
      <c r="A18" s="425" t="s">
        <v>46</v>
      </c>
      <c r="B18" s="324" t="s">
        <v>350</v>
      </c>
      <c r="C18" s="741"/>
      <c r="D18" s="426">
        <f t="shared" si="0"/>
        <v>2637.6000000000004</v>
      </c>
      <c r="E18" s="553">
        <v>1280.4</v>
      </c>
      <c r="F18" s="427">
        <v>1357.2</v>
      </c>
      <c r="G18" s="427"/>
      <c r="H18" s="738"/>
      <c r="I18" s="133"/>
    </row>
    <row r="19" spans="1:9" ht="30" customHeight="1" hidden="1">
      <c r="A19" s="425" t="s">
        <v>47</v>
      </c>
      <c r="B19" s="324" t="s">
        <v>351</v>
      </c>
      <c r="C19" s="742"/>
      <c r="D19" s="426">
        <f t="shared" si="0"/>
        <v>2637.6000000000004</v>
      </c>
      <c r="E19" s="553">
        <v>1280.4</v>
      </c>
      <c r="F19" s="427">
        <v>1357.2</v>
      </c>
      <c r="G19" s="427"/>
      <c r="H19" s="739"/>
      <c r="I19" s="133"/>
    </row>
    <row r="20" spans="1:12" ht="52.5" customHeight="1">
      <c r="A20" s="311">
        <v>2</v>
      </c>
      <c r="B20" s="294" t="s">
        <v>4</v>
      </c>
      <c r="C20" s="312" t="s">
        <v>252</v>
      </c>
      <c r="D20" s="310">
        <f t="shared" si="0"/>
        <v>12945.999999999998</v>
      </c>
      <c r="E20" s="554">
        <f>452.5+265.4+74.7+117.5+1792+162.6+83.8+621.6+58.5+53.7+252.1+198.4+529+84.7+80-2921.2</f>
        <v>1905.2999999999993</v>
      </c>
      <c r="F20" s="177">
        <f>505.9+296.7+83.5+131.4+2003.5+181.8+93.7+695+63.4+60+281.9+221.8+591.4+94.7+81</f>
        <v>5385.699999999999</v>
      </c>
      <c r="G20" s="177">
        <v>5655</v>
      </c>
      <c r="H20" s="737" t="s">
        <v>40</v>
      </c>
      <c r="I20" s="133"/>
      <c r="L20" s="127" t="s">
        <v>352</v>
      </c>
    </row>
    <row r="21" spans="1:9" ht="27.75" customHeight="1" hidden="1">
      <c r="A21" s="425" t="s">
        <v>81</v>
      </c>
      <c r="B21" s="324" t="s">
        <v>348</v>
      </c>
      <c r="C21" s="740" t="s">
        <v>252</v>
      </c>
      <c r="D21" s="426">
        <f t="shared" si="0"/>
        <v>110</v>
      </c>
      <c r="E21" s="555">
        <v>53.4</v>
      </c>
      <c r="F21" s="428">
        <v>56.6</v>
      </c>
      <c r="G21" s="428"/>
      <c r="H21" s="738"/>
      <c r="I21" s="133"/>
    </row>
    <row r="22" spans="1:9" ht="29.25" customHeight="1" hidden="1">
      <c r="A22" s="425" t="s">
        <v>101</v>
      </c>
      <c r="B22" s="324" t="s">
        <v>349</v>
      </c>
      <c r="C22" s="741"/>
      <c r="D22" s="426">
        <f t="shared" si="0"/>
        <v>1099</v>
      </c>
      <c r="E22" s="555">
        <v>533.5</v>
      </c>
      <c r="F22" s="428">
        <v>565.5</v>
      </c>
      <c r="G22" s="428"/>
      <c r="H22" s="738"/>
      <c r="I22" s="133"/>
    </row>
    <row r="23" spans="1:9" ht="24.75" customHeight="1" hidden="1">
      <c r="A23" s="425" t="s">
        <v>109</v>
      </c>
      <c r="B23" s="324" t="s">
        <v>350</v>
      </c>
      <c r="C23" s="741"/>
      <c r="D23" s="426">
        <f t="shared" si="0"/>
        <v>330</v>
      </c>
      <c r="E23" s="555">
        <v>160</v>
      </c>
      <c r="F23" s="428">
        <v>170</v>
      </c>
      <c r="G23" s="428"/>
      <c r="H23" s="738"/>
      <c r="I23" s="133"/>
    </row>
    <row r="24" spans="1:9" ht="27" customHeight="1" hidden="1">
      <c r="A24" s="425" t="s">
        <v>110</v>
      </c>
      <c r="B24" s="324" t="s">
        <v>351</v>
      </c>
      <c r="C24" s="742"/>
      <c r="D24" s="426">
        <f t="shared" si="0"/>
        <v>330</v>
      </c>
      <c r="E24" s="555">
        <v>160</v>
      </c>
      <c r="F24" s="428">
        <v>170</v>
      </c>
      <c r="G24" s="428"/>
      <c r="H24" s="739"/>
      <c r="I24" s="133"/>
    </row>
    <row r="25" spans="1:9" ht="60.75" customHeight="1">
      <c r="A25" s="311">
        <v>3</v>
      </c>
      <c r="B25" s="313" t="s">
        <v>525</v>
      </c>
      <c r="C25" s="312" t="s">
        <v>252</v>
      </c>
      <c r="D25" s="310">
        <f t="shared" si="0"/>
        <v>18188.3</v>
      </c>
      <c r="E25" s="554">
        <f>5928.7-150-1178.7</f>
        <v>4600</v>
      </c>
      <c r="F25" s="177">
        <v>6628.3</v>
      </c>
      <c r="G25" s="177">
        <v>6960</v>
      </c>
      <c r="H25" s="311" t="s">
        <v>40</v>
      </c>
      <c r="I25" s="133"/>
    </row>
    <row r="26" spans="1:9" ht="45.75" customHeight="1">
      <c r="A26" s="311">
        <v>4</v>
      </c>
      <c r="B26" s="313" t="s">
        <v>526</v>
      </c>
      <c r="C26" s="312" t="s">
        <v>252</v>
      </c>
      <c r="D26" s="310">
        <f t="shared" si="0"/>
        <v>1123.9</v>
      </c>
      <c r="E26" s="554">
        <f>406.1-212.9</f>
        <v>193.20000000000002</v>
      </c>
      <c r="F26" s="177">
        <v>454</v>
      </c>
      <c r="G26" s="177">
        <v>476.7</v>
      </c>
      <c r="H26" s="311" t="s">
        <v>40</v>
      </c>
      <c r="I26" s="133"/>
    </row>
    <row r="27" spans="1:9" ht="56.25" customHeight="1">
      <c r="A27" s="311">
        <v>5</v>
      </c>
      <c r="B27" s="313" t="s">
        <v>258</v>
      </c>
      <c r="C27" s="312" t="s">
        <v>252</v>
      </c>
      <c r="D27" s="310">
        <f t="shared" si="0"/>
        <v>194</v>
      </c>
      <c r="E27" s="554">
        <f>24+9+8.8+22.2-9</f>
        <v>55</v>
      </c>
      <c r="F27" s="177">
        <f>25.4+9.6+9.3+23.5</f>
        <v>67.8</v>
      </c>
      <c r="G27" s="177">
        <v>71.2</v>
      </c>
      <c r="H27" s="311" t="s">
        <v>40</v>
      </c>
      <c r="I27" s="133"/>
    </row>
    <row r="28" spans="1:9" ht="42.75" customHeight="1">
      <c r="A28" s="737">
        <v>6</v>
      </c>
      <c r="B28" s="743" t="s">
        <v>192</v>
      </c>
      <c r="C28" s="168" t="s">
        <v>35</v>
      </c>
      <c r="D28" s="310">
        <f t="shared" si="0"/>
        <v>107.9</v>
      </c>
      <c r="E28" s="177">
        <f>50-50</f>
        <v>0</v>
      </c>
      <c r="F28" s="177">
        <v>52.6</v>
      </c>
      <c r="G28" s="177">
        <v>55.3</v>
      </c>
      <c r="H28" s="737" t="s">
        <v>40</v>
      </c>
      <c r="I28" s="133"/>
    </row>
    <row r="29" spans="1:9" ht="41.25" customHeight="1">
      <c r="A29" s="738"/>
      <c r="B29" s="744"/>
      <c r="C29" s="312" t="s">
        <v>252</v>
      </c>
      <c r="D29" s="323">
        <f t="shared" si="0"/>
        <v>107.9</v>
      </c>
      <c r="E29" s="177">
        <f>50-50</f>
        <v>0</v>
      </c>
      <c r="F29" s="177">
        <v>52.6</v>
      </c>
      <c r="G29" s="177">
        <v>55.3</v>
      </c>
      <c r="H29" s="738"/>
      <c r="I29" s="133"/>
    </row>
    <row r="30" spans="1:9" ht="56.25" customHeight="1" hidden="1">
      <c r="A30" s="445">
        <v>7</v>
      </c>
      <c r="B30" s="395" t="s">
        <v>259</v>
      </c>
      <c r="C30" s="446" t="s">
        <v>252</v>
      </c>
      <c r="D30" s="447">
        <f t="shared" si="0"/>
        <v>0</v>
      </c>
      <c r="E30" s="448"/>
      <c r="F30" s="448"/>
      <c r="G30" s="448"/>
      <c r="H30" s="449" t="s">
        <v>40</v>
      </c>
      <c r="I30" s="133"/>
    </row>
    <row r="31" spans="1:9" ht="56.25" customHeight="1" hidden="1">
      <c r="A31" s="450">
        <v>8</v>
      </c>
      <c r="B31" s="451" t="s">
        <v>381</v>
      </c>
      <c r="C31" s="452" t="s">
        <v>252</v>
      </c>
      <c r="D31" s="453">
        <f t="shared" si="0"/>
        <v>0</v>
      </c>
      <c r="E31" s="454"/>
      <c r="F31" s="454"/>
      <c r="G31" s="454"/>
      <c r="H31" s="455" t="s">
        <v>40</v>
      </c>
      <c r="I31" s="133"/>
    </row>
    <row r="32" spans="1:9" ht="112.5">
      <c r="A32" s="507">
        <v>7</v>
      </c>
      <c r="B32" s="313" t="s">
        <v>457</v>
      </c>
      <c r="C32" s="312" t="s">
        <v>252</v>
      </c>
      <c r="D32" s="310">
        <f t="shared" si="0"/>
        <v>150</v>
      </c>
      <c r="E32" s="508">
        <v>150</v>
      </c>
      <c r="F32" s="508"/>
      <c r="G32" s="508"/>
      <c r="H32" s="311" t="s">
        <v>40</v>
      </c>
      <c r="I32" s="133"/>
    </row>
    <row r="33" spans="1:9" ht="24" customHeight="1">
      <c r="A33" s="151"/>
      <c r="B33" s="178" t="s">
        <v>463</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48" t="s">
        <v>474</v>
      </c>
      <c r="C38" s="748"/>
      <c r="D38" s="250"/>
      <c r="E38" s="434"/>
      <c r="F38" s="434"/>
      <c r="G38" s="434"/>
      <c r="H38" s="362" t="s">
        <v>616</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745" t="s">
        <v>159</v>
      </c>
      <c r="C41" s="745"/>
      <c r="D41" s="131"/>
      <c r="E41" s="132"/>
      <c r="F41" s="132"/>
      <c r="G41" s="133"/>
      <c r="H41" s="133"/>
    </row>
    <row r="42" spans="2:10" ht="15.75">
      <c r="B42" s="134" t="s">
        <v>467</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B41:C41"/>
    <mergeCell ref="C16:C19"/>
    <mergeCell ref="G8:H8"/>
    <mergeCell ref="G7:L7"/>
    <mergeCell ref="A10:H10"/>
    <mergeCell ref="D11:F11"/>
    <mergeCell ref="A12:A14"/>
    <mergeCell ref="B12:B14"/>
    <mergeCell ref="B38:C38"/>
    <mergeCell ref="C12:C14"/>
    <mergeCell ref="H15:H19"/>
    <mergeCell ref="H20:H24"/>
    <mergeCell ref="C21:C24"/>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P40"/>
  <sheetViews>
    <sheetView view="pageBreakPreview" zoomScaleSheetLayoutView="100" zoomScalePageLayoutView="0" workbookViewId="0" topLeftCell="A1">
      <selection activeCell="K11" sqref="K11"/>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 width="6.421875" style="14" customWidth="1"/>
    <col min="17" max="16384" width="9.140625" style="14" customWidth="1"/>
  </cols>
  <sheetData>
    <row r="1" spans="2:12" ht="15.75">
      <c r="B1" s="15"/>
      <c r="C1" s="15"/>
      <c r="D1" s="15"/>
      <c r="E1" s="15"/>
      <c r="F1" s="15"/>
      <c r="G1" s="15"/>
      <c r="H1" s="15"/>
      <c r="I1" s="13" t="s">
        <v>475</v>
      </c>
      <c r="J1" s="1" t="s">
        <v>625</v>
      </c>
      <c r="K1" s="297"/>
      <c r="L1" s="13" t="s">
        <v>475</v>
      </c>
    </row>
    <row r="2" spans="2:15" ht="15.75">
      <c r="B2" s="15"/>
      <c r="C2" s="15"/>
      <c r="D2" s="15"/>
      <c r="E2" s="15"/>
      <c r="F2" s="15"/>
      <c r="G2" s="15"/>
      <c r="H2" s="15"/>
      <c r="I2" s="12" t="s">
        <v>468</v>
      </c>
      <c r="J2" s="12" t="s">
        <v>468</v>
      </c>
      <c r="K2" s="12"/>
      <c r="L2" s="15"/>
      <c r="M2" s="12"/>
      <c r="N2" s="12"/>
      <c r="O2" s="12"/>
    </row>
    <row r="3" spans="2:15" ht="15.75">
      <c r="B3" s="15"/>
      <c r="C3" s="15"/>
      <c r="D3" s="15"/>
      <c r="E3" s="15"/>
      <c r="F3" s="15"/>
      <c r="G3" s="15"/>
      <c r="H3" s="15"/>
      <c r="I3" s="12"/>
      <c r="J3" s="12" t="s">
        <v>639</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ustomHeight="1">
      <c r="B6" s="15"/>
      <c r="C6" s="15"/>
      <c r="D6" s="15"/>
      <c r="E6" s="15"/>
      <c r="F6" s="15"/>
      <c r="G6" s="15"/>
      <c r="H6" s="15"/>
      <c r="I6" s="12"/>
      <c r="J6" s="17" t="s">
        <v>643</v>
      </c>
      <c r="K6" s="17"/>
      <c r="L6" s="217"/>
      <c r="M6" s="12"/>
      <c r="N6" s="12"/>
      <c r="O6" s="12"/>
    </row>
    <row r="7" spans="2:15" ht="15.75" customHeight="1">
      <c r="B7" s="15"/>
      <c r="C7" s="15"/>
      <c r="D7" s="15"/>
      <c r="E7" s="15"/>
      <c r="F7" s="15"/>
      <c r="G7" s="15"/>
      <c r="H7" s="15"/>
      <c r="I7" s="12"/>
      <c r="J7" s="17" t="s">
        <v>642</v>
      </c>
      <c r="K7" s="17"/>
      <c r="L7" s="217"/>
      <c r="M7" s="12"/>
      <c r="N7" s="12"/>
      <c r="O7" s="12"/>
    </row>
    <row r="8" spans="2:15" ht="15.75" customHeight="1">
      <c r="B8" s="15"/>
      <c r="C8" s="15"/>
      <c r="D8" s="15"/>
      <c r="E8" s="15"/>
      <c r="F8" s="15"/>
      <c r="G8" s="15"/>
      <c r="H8" s="15"/>
      <c r="I8" s="12"/>
      <c r="J8" s="665" t="s">
        <v>641</v>
      </c>
      <c r="K8" s="665"/>
      <c r="L8" s="665"/>
      <c r="M8" s="665"/>
      <c r="N8" s="665"/>
      <c r="O8" s="665"/>
    </row>
    <row r="9" spans="2:12" ht="15.75">
      <c r="B9" s="15"/>
      <c r="C9" s="15"/>
      <c r="D9" s="15"/>
      <c r="E9" s="15"/>
      <c r="F9" s="15"/>
      <c r="G9" s="15"/>
      <c r="H9" s="15"/>
      <c r="I9" s="15"/>
      <c r="J9" s="15"/>
      <c r="K9" s="15"/>
      <c r="L9" s="15"/>
    </row>
    <row r="10" spans="2:12" ht="36.75" customHeight="1">
      <c r="B10" s="666" t="s">
        <v>399</v>
      </c>
      <c r="C10" s="666"/>
      <c r="D10" s="666"/>
      <c r="E10" s="666"/>
      <c r="F10" s="666"/>
      <c r="G10" s="666"/>
      <c r="H10" s="666"/>
      <c r="I10" s="666"/>
      <c r="J10" s="666"/>
      <c r="K10" s="666"/>
      <c r="L10" s="15"/>
    </row>
    <row r="11" spans="2:12" ht="15.75">
      <c r="B11" s="15"/>
      <c r="C11" s="15"/>
      <c r="D11" s="676"/>
      <c r="E11" s="676"/>
      <c r="F11" s="676"/>
      <c r="G11" s="676"/>
      <c r="H11" s="676"/>
      <c r="I11" s="15"/>
      <c r="J11" s="15"/>
      <c r="K11" s="34" t="s">
        <v>114</v>
      </c>
      <c r="L11" s="15"/>
    </row>
    <row r="12" spans="1:12" ht="15.75" customHeight="1">
      <c r="A12" s="750" t="s">
        <v>486</v>
      </c>
      <c r="B12" s="667" t="s">
        <v>469</v>
      </c>
      <c r="C12" s="667" t="s">
        <v>470</v>
      </c>
      <c r="D12" s="667" t="s">
        <v>104</v>
      </c>
      <c r="E12" s="677" t="s">
        <v>466</v>
      </c>
      <c r="F12" s="677"/>
      <c r="G12" s="677"/>
      <c r="H12" s="677"/>
      <c r="I12" s="677"/>
      <c r="J12" s="708"/>
      <c r="K12" s="674" t="s">
        <v>472</v>
      </c>
      <c r="L12" s="15"/>
    </row>
    <row r="13" spans="1:12" ht="15.75">
      <c r="A13" s="751"/>
      <c r="B13" s="668"/>
      <c r="C13" s="668"/>
      <c r="D13" s="668"/>
      <c r="E13" s="667">
        <v>2022</v>
      </c>
      <c r="F13" s="667">
        <v>2023</v>
      </c>
      <c r="G13" s="667" t="s">
        <v>481</v>
      </c>
      <c r="H13" s="667" t="s">
        <v>482</v>
      </c>
      <c r="I13" s="667" t="s">
        <v>483</v>
      </c>
      <c r="J13" s="674">
        <v>2024</v>
      </c>
      <c r="K13" s="674"/>
      <c r="L13" s="15"/>
    </row>
    <row r="14" spans="1:12" ht="21" customHeight="1">
      <c r="A14" s="752"/>
      <c r="B14" s="669"/>
      <c r="C14" s="669"/>
      <c r="D14" s="669"/>
      <c r="E14" s="669"/>
      <c r="F14" s="669"/>
      <c r="G14" s="669"/>
      <c r="H14" s="669"/>
      <c r="I14" s="669"/>
      <c r="J14" s="674"/>
      <c r="K14" s="674"/>
      <c r="L14" s="15"/>
    </row>
    <row r="15" spans="1:16" s="52" customFormat="1" ht="121.5" customHeight="1">
      <c r="A15" s="293">
        <v>1</v>
      </c>
      <c r="B15" s="294" t="s">
        <v>272</v>
      </c>
      <c r="C15" s="63" t="s">
        <v>195</v>
      </c>
      <c r="D15" s="471">
        <f aca="true" t="shared" si="0" ref="D15:D26">E15+F15+J15</f>
        <v>3869.1000000000004</v>
      </c>
      <c r="E15" s="563">
        <f>1651.7-200-300-471.7</f>
        <v>680</v>
      </c>
      <c r="F15" s="440">
        <f>1750.8-200</f>
        <v>1550.8</v>
      </c>
      <c r="G15" s="440"/>
      <c r="H15" s="440"/>
      <c r="I15" s="440"/>
      <c r="J15" s="440">
        <f>1838.3-200</f>
        <v>1638.3</v>
      </c>
      <c r="K15" s="293" t="s">
        <v>40</v>
      </c>
      <c r="L15" s="410"/>
      <c r="P15" s="510"/>
    </row>
    <row r="16" spans="1:16" s="52" customFormat="1" ht="77.25" customHeight="1">
      <c r="A16" s="293">
        <v>2</v>
      </c>
      <c r="B16" s="294" t="s">
        <v>93</v>
      </c>
      <c r="C16" s="63" t="s">
        <v>195</v>
      </c>
      <c r="D16" s="471">
        <f t="shared" si="0"/>
        <v>13986.5</v>
      </c>
      <c r="E16" s="440">
        <f>6519.4-2000-1160+460.6</f>
        <v>3819.9999999999995</v>
      </c>
      <c r="F16" s="440">
        <f>6910.5-2000</f>
        <v>4910.5</v>
      </c>
      <c r="G16" s="440"/>
      <c r="H16" s="440"/>
      <c r="I16" s="440"/>
      <c r="J16" s="440">
        <f>7256-2000</f>
        <v>5256</v>
      </c>
      <c r="K16" s="293" t="s">
        <v>40</v>
      </c>
      <c r="L16" s="410"/>
      <c r="P16" s="510"/>
    </row>
    <row r="17" spans="1:14" ht="56.25">
      <c r="A17" s="166">
        <v>3</v>
      </c>
      <c r="B17" s="294" t="s">
        <v>374</v>
      </c>
      <c r="C17" s="35" t="s">
        <v>195</v>
      </c>
      <c r="D17" s="94">
        <f t="shared" si="0"/>
        <v>747.7</v>
      </c>
      <c r="E17" s="563">
        <f>300-200</f>
        <v>100</v>
      </c>
      <c r="F17" s="563">
        <v>316</v>
      </c>
      <c r="G17" s="440">
        <v>100</v>
      </c>
      <c r="H17" s="440">
        <v>100</v>
      </c>
      <c r="I17" s="440">
        <v>100</v>
      </c>
      <c r="J17" s="440">
        <v>331.7</v>
      </c>
      <c r="K17" s="166" t="s">
        <v>40</v>
      </c>
      <c r="L17" s="15"/>
      <c r="N17" s="52"/>
    </row>
    <row r="18" spans="1:14" ht="75.75" customHeight="1">
      <c r="A18" s="166">
        <v>4</v>
      </c>
      <c r="B18" s="294" t="s">
        <v>317</v>
      </c>
      <c r="C18" s="35" t="s">
        <v>195</v>
      </c>
      <c r="D18" s="94">
        <f t="shared" si="0"/>
        <v>1514</v>
      </c>
      <c r="E18" s="563">
        <f>450+50</f>
        <v>500</v>
      </c>
      <c r="F18" s="563">
        <f>475+41</f>
        <v>516</v>
      </c>
      <c r="G18" s="440"/>
      <c r="H18" s="440"/>
      <c r="I18" s="440"/>
      <c r="J18" s="440">
        <v>498</v>
      </c>
      <c r="K18" s="166" t="s">
        <v>40</v>
      </c>
      <c r="L18" s="15"/>
      <c r="N18" s="52"/>
    </row>
    <row r="19" spans="1:14" ht="73.5" customHeight="1">
      <c r="A19" s="166">
        <v>5</v>
      </c>
      <c r="B19" s="294" t="s">
        <v>440</v>
      </c>
      <c r="C19" s="35" t="s">
        <v>195</v>
      </c>
      <c r="D19" s="94">
        <f t="shared" si="0"/>
        <v>4530</v>
      </c>
      <c r="E19" s="563">
        <v>1290</v>
      </c>
      <c r="F19" s="563">
        <v>1580</v>
      </c>
      <c r="G19" s="440"/>
      <c r="H19" s="440"/>
      <c r="I19" s="440"/>
      <c r="J19" s="440">
        <v>1660</v>
      </c>
      <c r="K19" s="670" t="s">
        <v>40</v>
      </c>
      <c r="L19" s="15"/>
      <c r="N19" s="52"/>
    </row>
    <row r="20" spans="1:14" ht="29.25" customHeight="1" hidden="1">
      <c r="A20" s="422" t="s">
        <v>122</v>
      </c>
      <c r="B20" s="324" t="s">
        <v>348</v>
      </c>
      <c r="C20" s="678" t="s">
        <v>195</v>
      </c>
      <c r="D20" s="433">
        <f t="shared" si="0"/>
        <v>155</v>
      </c>
      <c r="E20" s="567">
        <v>75</v>
      </c>
      <c r="F20" s="567">
        <v>80</v>
      </c>
      <c r="G20" s="472"/>
      <c r="H20" s="472"/>
      <c r="I20" s="472"/>
      <c r="J20" s="472"/>
      <c r="K20" s="671"/>
      <c r="L20" s="15"/>
      <c r="N20" s="52"/>
    </row>
    <row r="21" spans="1:14" ht="25.5" customHeight="1" hidden="1">
      <c r="A21" s="422" t="s">
        <v>138</v>
      </c>
      <c r="B21" s="324" t="s">
        <v>349</v>
      </c>
      <c r="C21" s="679"/>
      <c r="D21" s="433">
        <f t="shared" si="0"/>
        <v>111</v>
      </c>
      <c r="E21" s="567">
        <v>54</v>
      </c>
      <c r="F21" s="567">
        <v>57</v>
      </c>
      <c r="G21" s="472"/>
      <c r="H21" s="472"/>
      <c r="I21" s="472"/>
      <c r="J21" s="472"/>
      <c r="K21" s="671"/>
      <c r="L21" s="15"/>
      <c r="N21" s="52"/>
    </row>
    <row r="22" spans="1:14" ht="24.75" customHeight="1" hidden="1">
      <c r="A22" s="422" t="s">
        <v>146</v>
      </c>
      <c r="B22" s="324" t="s">
        <v>350</v>
      </c>
      <c r="C22" s="679"/>
      <c r="D22" s="433">
        <f t="shared" si="0"/>
        <v>132</v>
      </c>
      <c r="E22" s="567">
        <v>64</v>
      </c>
      <c r="F22" s="567">
        <v>68</v>
      </c>
      <c r="G22" s="472"/>
      <c r="H22" s="472"/>
      <c r="I22" s="472"/>
      <c r="J22" s="472"/>
      <c r="K22" s="671"/>
      <c r="L22" s="15"/>
      <c r="N22" s="52"/>
    </row>
    <row r="23" spans="1:14" ht="24" customHeight="1" hidden="1">
      <c r="A23" s="422" t="s">
        <v>294</v>
      </c>
      <c r="B23" s="324" t="s">
        <v>351</v>
      </c>
      <c r="C23" s="680"/>
      <c r="D23" s="433">
        <f t="shared" si="0"/>
        <v>89</v>
      </c>
      <c r="E23" s="567">
        <v>43</v>
      </c>
      <c r="F23" s="567">
        <v>46</v>
      </c>
      <c r="G23" s="472"/>
      <c r="H23" s="472"/>
      <c r="I23" s="472"/>
      <c r="J23" s="472"/>
      <c r="K23" s="672"/>
      <c r="L23" s="15"/>
      <c r="N23" s="52"/>
    </row>
    <row r="24" spans="1:14" ht="54.75" customHeight="1">
      <c r="A24" s="166">
        <v>6</v>
      </c>
      <c r="B24" s="294" t="s">
        <v>318</v>
      </c>
      <c r="C24" s="35" t="s">
        <v>195</v>
      </c>
      <c r="D24" s="94">
        <f t="shared" si="0"/>
        <v>2283</v>
      </c>
      <c r="E24" s="563">
        <f>750-210</f>
        <v>540</v>
      </c>
      <c r="F24" s="563">
        <v>850</v>
      </c>
      <c r="G24" s="440"/>
      <c r="H24" s="440"/>
      <c r="I24" s="440"/>
      <c r="J24" s="440">
        <v>893</v>
      </c>
      <c r="K24" s="166" t="s">
        <v>40</v>
      </c>
      <c r="L24" s="15"/>
      <c r="N24" s="52"/>
    </row>
    <row r="25" spans="1:14" ht="54.75" customHeight="1">
      <c r="A25" s="166">
        <v>7</v>
      </c>
      <c r="B25" s="294" t="s">
        <v>458</v>
      </c>
      <c r="C25" s="35" t="s">
        <v>195</v>
      </c>
      <c r="D25" s="94">
        <f t="shared" si="0"/>
        <v>500</v>
      </c>
      <c r="E25" s="440">
        <v>500</v>
      </c>
      <c r="F25" s="440"/>
      <c r="G25" s="440"/>
      <c r="H25" s="440"/>
      <c r="I25" s="440"/>
      <c r="J25" s="440"/>
      <c r="K25" s="166" t="s">
        <v>40</v>
      </c>
      <c r="L25" s="15"/>
      <c r="N25" s="52"/>
    </row>
    <row r="26" spans="1:12" ht="32.25" customHeight="1">
      <c r="A26" s="77"/>
      <c r="B26" s="57" t="s">
        <v>463</v>
      </c>
      <c r="C26" s="63"/>
      <c r="D26" s="94">
        <f t="shared" si="0"/>
        <v>27430.3</v>
      </c>
      <c r="E26" s="94">
        <f>E15+E16+E17+E18+E19+E24+E25</f>
        <v>7430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49" t="s">
        <v>162</v>
      </c>
      <c r="C32" s="749"/>
      <c r="D32" s="234"/>
      <c r="E32" s="22"/>
      <c r="F32" s="22"/>
      <c r="G32" s="16"/>
      <c r="H32" s="16"/>
      <c r="I32" s="16"/>
      <c r="J32" s="23"/>
      <c r="K32" s="362" t="s">
        <v>616</v>
      </c>
      <c r="L32" s="23"/>
    </row>
    <row r="33" spans="2:12" ht="6.75" customHeight="1">
      <c r="B33" s="234"/>
      <c r="C33" s="234"/>
      <c r="D33" s="234"/>
      <c r="E33" s="22"/>
      <c r="F33" s="22"/>
      <c r="G33" s="16"/>
      <c r="H33" s="16"/>
      <c r="I33" s="16"/>
      <c r="J33" s="23"/>
      <c r="K33" s="23"/>
      <c r="L33" s="23"/>
    </row>
    <row r="34" spans="2:11" ht="18.75">
      <c r="B34" s="675" t="s">
        <v>159</v>
      </c>
      <c r="C34" s="675"/>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B10:K10"/>
    <mergeCell ref="D11:H11"/>
    <mergeCell ref="C20:C23"/>
    <mergeCell ref="E12:J12"/>
    <mergeCell ref="J8:O8"/>
    <mergeCell ref="A12:A14"/>
    <mergeCell ref="B12:B14"/>
    <mergeCell ref="I13:I14"/>
    <mergeCell ref="J13:J14"/>
    <mergeCell ref="D12:D14"/>
    <mergeCell ref="H13:H14"/>
    <mergeCell ref="C12:C14"/>
    <mergeCell ref="B34:C34"/>
    <mergeCell ref="E13:E14"/>
    <mergeCell ref="F13:F14"/>
    <mergeCell ref="G13:G14"/>
    <mergeCell ref="B32:C32"/>
    <mergeCell ref="K19:K23"/>
    <mergeCell ref="K12:K14"/>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
      <selection activeCell="J19" sqref="J19:J20"/>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475</v>
      </c>
      <c r="J1" s="15" t="s">
        <v>411</v>
      </c>
      <c r="K1" s="217"/>
    </row>
    <row r="2" spans="2:15" ht="17.25" customHeight="1">
      <c r="B2" s="15"/>
      <c r="C2" s="15"/>
      <c r="D2" s="15"/>
      <c r="E2" s="15"/>
      <c r="F2" s="15"/>
      <c r="G2" s="15"/>
      <c r="H2" s="15"/>
      <c r="I2" s="12" t="s">
        <v>468</v>
      </c>
      <c r="J2" s="12" t="s">
        <v>468</v>
      </c>
      <c r="K2" s="12"/>
      <c r="L2" s="15"/>
      <c r="M2" s="12"/>
      <c r="N2" s="12"/>
      <c r="O2" s="12"/>
    </row>
    <row r="3" spans="2:15" ht="15.75" customHeight="1">
      <c r="B3" s="15"/>
      <c r="C3" s="15"/>
      <c r="D3" s="15"/>
      <c r="E3" s="15"/>
      <c r="F3" s="15"/>
      <c r="G3" s="15"/>
      <c r="H3" s="15"/>
      <c r="I3" s="12"/>
      <c r="J3" s="12" t="s">
        <v>639</v>
      </c>
      <c r="K3" s="12"/>
      <c r="L3" s="15"/>
      <c r="M3" s="12"/>
      <c r="N3" s="12"/>
      <c r="O3" s="12"/>
    </row>
    <row r="4" spans="2:15" ht="15" customHeight="1">
      <c r="B4" s="15"/>
      <c r="C4" s="15"/>
      <c r="D4" s="15"/>
      <c r="E4" s="15"/>
      <c r="F4" s="15"/>
      <c r="G4" s="15"/>
      <c r="H4" s="15"/>
      <c r="I4" s="12" t="s">
        <v>476</v>
      </c>
      <c r="J4" s="17" t="s">
        <v>161</v>
      </c>
      <c r="K4" s="17"/>
      <c r="L4" s="15"/>
      <c r="M4" s="12"/>
      <c r="N4" s="12"/>
      <c r="O4" s="12"/>
    </row>
    <row r="5" spans="2:15" ht="17.25" customHeight="1">
      <c r="B5" s="15"/>
      <c r="C5" s="15"/>
      <c r="D5" s="15"/>
      <c r="E5" s="15"/>
      <c r="F5" s="15"/>
      <c r="G5" s="15"/>
      <c r="H5" s="15"/>
      <c r="I5" s="12" t="s">
        <v>477</v>
      </c>
      <c r="J5" s="17" t="s">
        <v>369</v>
      </c>
      <c r="K5" s="17"/>
      <c r="L5" s="15"/>
      <c r="M5" s="12"/>
      <c r="N5" s="12"/>
      <c r="O5" s="12"/>
    </row>
    <row r="6" spans="2:15" ht="15" customHeight="1">
      <c r="B6" s="15"/>
      <c r="C6" s="15"/>
      <c r="D6" s="15"/>
      <c r="E6" s="15"/>
      <c r="F6" s="15"/>
      <c r="G6" s="15"/>
      <c r="H6" s="15"/>
      <c r="I6" s="12"/>
      <c r="J6" s="665" t="s">
        <v>453</v>
      </c>
      <c r="K6" s="665"/>
      <c r="L6" s="665"/>
      <c r="M6" s="665"/>
      <c r="N6" s="665"/>
      <c r="O6" s="665"/>
    </row>
    <row r="7" spans="2:15" ht="15" customHeight="1">
      <c r="B7" s="15"/>
      <c r="C7" s="15"/>
      <c r="D7" s="15"/>
      <c r="E7" s="15"/>
      <c r="F7" s="15"/>
      <c r="G7" s="15"/>
      <c r="H7" s="15"/>
      <c r="I7" s="12"/>
      <c r="J7" s="665" t="s">
        <v>644</v>
      </c>
      <c r="K7" s="665"/>
      <c r="L7" s="665"/>
      <c r="M7" s="665"/>
      <c r="N7" s="665"/>
      <c r="O7" s="665"/>
    </row>
    <row r="8" spans="2:15" ht="15" customHeight="1">
      <c r="B8" s="15"/>
      <c r="C8" s="15"/>
      <c r="D8" s="15"/>
      <c r="E8" s="15"/>
      <c r="F8" s="15"/>
      <c r="G8" s="15"/>
      <c r="H8" s="15"/>
      <c r="I8" s="12"/>
      <c r="J8" s="665" t="s">
        <v>645</v>
      </c>
      <c r="K8" s="665"/>
      <c r="L8" s="438"/>
      <c r="M8" s="438"/>
      <c r="N8" s="438"/>
      <c r="O8" s="438"/>
    </row>
    <row r="9" spans="9:11" s="226" customFormat="1" ht="15" customHeight="1">
      <c r="I9" s="56" t="s">
        <v>478</v>
      </c>
      <c r="J9" s="753"/>
      <c r="K9" s="753"/>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66" t="s">
        <v>570</v>
      </c>
      <c r="C12" s="666"/>
      <c r="D12" s="666"/>
      <c r="E12" s="666"/>
      <c r="F12" s="666"/>
      <c r="G12" s="666"/>
      <c r="H12" s="666"/>
      <c r="I12" s="666"/>
      <c r="J12" s="666"/>
      <c r="K12" s="666"/>
    </row>
    <row r="13" spans="2:11" ht="15.75">
      <c r="B13" s="15"/>
      <c r="C13" s="15"/>
      <c r="D13" s="676"/>
      <c r="E13" s="676"/>
      <c r="F13" s="676"/>
      <c r="G13" s="676"/>
      <c r="H13" s="676"/>
      <c r="I13" s="15"/>
      <c r="J13" s="15"/>
      <c r="K13" s="34" t="s">
        <v>102</v>
      </c>
    </row>
    <row r="14" spans="1:11" ht="15" customHeight="1">
      <c r="A14" s="667" t="s">
        <v>464</v>
      </c>
      <c r="B14" s="667" t="s">
        <v>469</v>
      </c>
      <c r="C14" s="667" t="s">
        <v>571</v>
      </c>
      <c r="D14" s="667" t="s">
        <v>104</v>
      </c>
      <c r="E14" s="677" t="s">
        <v>466</v>
      </c>
      <c r="F14" s="677"/>
      <c r="G14" s="677"/>
      <c r="H14" s="677"/>
      <c r="I14" s="677"/>
      <c r="J14" s="708"/>
      <c r="K14" s="674" t="s">
        <v>472</v>
      </c>
    </row>
    <row r="15" spans="1:11" ht="12.75">
      <c r="A15" s="668"/>
      <c r="B15" s="668"/>
      <c r="C15" s="668"/>
      <c r="D15" s="668"/>
      <c r="E15" s="667">
        <v>2022</v>
      </c>
      <c r="F15" s="667">
        <v>2023</v>
      </c>
      <c r="G15" s="667" t="s">
        <v>481</v>
      </c>
      <c r="H15" s="667" t="s">
        <v>482</v>
      </c>
      <c r="I15" s="667" t="s">
        <v>483</v>
      </c>
      <c r="J15" s="674">
        <v>2024</v>
      </c>
      <c r="K15" s="674"/>
    </row>
    <row r="16" spans="1:11" ht="24.75" customHeight="1">
      <c r="A16" s="669"/>
      <c r="B16" s="669"/>
      <c r="C16" s="669"/>
      <c r="D16" s="669"/>
      <c r="E16" s="669"/>
      <c r="F16" s="669"/>
      <c r="G16" s="669"/>
      <c r="H16" s="669"/>
      <c r="I16" s="669"/>
      <c r="J16" s="674"/>
      <c r="K16" s="674"/>
    </row>
    <row r="17" spans="1:11" s="510" customFormat="1" ht="36" customHeight="1">
      <c r="A17" s="713">
        <v>1</v>
      </c>
      <c r="B17" s="724" t="s">
        <v>572</v>
      </c>
      <c r="C17" s="713" t="s">
        <v>195</v>
      </c>
      <c r="D17" s="726">
        <f>E17+F17+J17</f>
        <v>126</v>
      </c>
      <c r="E17" s="726">
        <f>500-55.4-444.6</f>
        <v>0</v>
      </c>
      <c r="F17" s="726">
        <f>500-276-98</f>
        <v>126</v>
      </c>
      <c r="G17" s="509"/>
      <c r="H17" s="509"/>
      <c r="I17" s="509"/>
      <c r="J17" s="726"/>
      <c r="K17" s="713" t="s">
        <v>281</v>
      </c>
    </row>
    <row r="18" spans="1:11" s="510" customFormat="1" ht="27" customHeight="1">
      <c r="A18" s="714"/>
      <c r="B18" s="754"/>
      <c r="C18" s="714"/>
      <c r="D18" s="727"/>
      <c r="E18" s="727"/>
      <c r="F18" s="727"/>
      <c r="G18" s="509"/>
      <c r="H18" s="509"/>
      <c r="I18" s="509"/>
      <c r="J18" s="727"/>
      <c r="K18" s="714"/>
    </row>
    <row r="19" spans="1:11" s="510" customFormat="1" ht="31.5" customHeight="1">
      <c r="A19" s="713">
        <v>2</v>
      </c>
      <c r="B19" s="724" t="s">
        <v>573</v>
      </c>
      <c r="C19" s="713" t="s">
        <v>195</v>
      </c>
      <c r="D19" s="726">
        <f aca="true" t="shared" si="0" ref="D19:D27">SUM(E19:J19)</f>
        <v>1434.2</v>
      </c>
      <c r="E19" s="726">
        <f>600-389-11</f>
        <v>200</v>
      </c>
      <c r="F19" s="726">
        <f>600</f>
        <v>600</v>
      </c>
      <c r="G19" s="509"/>
      <c r="H19" s="509"/>
      <c r="I19" s="509"/>
      <c r="J19" s="726">
        <v>634.2</v>
      </c>
      <c r="K19" s="713" t="s">
        <v>281</v>
      </c>
    </row>
    <row r="20" spans="1:11" s="510" customFormat="1" ht="26.25" customHeight="1">
      <c r="A20" s="714"/>
      <c r="B20" s="754"/>
      <c r="C20" s="714"/>
      <c r="D20" s="727"/>
      <c r="E20" s="727"/>
      <c r="F20" s="727"/>
      <c r="G20" s="509"/>
      <c r="H20" s="509"/>
      <c r="I20" s="509"/>
      <c r="J20" s="727"/>
      <c r="K20" s="714"/>
    </row>
    <row r="21" spans="1:11" s="510" customFormat="1" ht="35.25" customHeight="1">
      <c r="A21" s="713">
        <v>3</v>
      </c>
      <c r="B21" s="724" t="s">
        <v>574</v>
      </c>
      <c r="C21" s="713" t="s">
        <v>195</v>
      </c>
      <c r="D21" s="726">
        <f t="shared" si="0"/>
        <v>843.6</v>
      </c>
      <c r="E21" s="726">
        <f>350-271-0.1</f>
        <v>78.9</v>
      </c>
      <c r="F21" s="726">
        <v>371.7</v>
      </c>
      <c r="G21" s="509"/>
      <c r="H21" s="509"/>
      <c r="I21" s="509"/>
      <c r="J21" s="726">
        <v>393</v>
      </c>
      <c r="K21" s="713" t="s">
        <v>40</v>
      </c>
    </row>
    <row r="22" spans="1:11" s="510" customFormat="1" ht="14.25" customHeight="1">
      <c r="A22" s="714"/>
      <c r="B22" s="754"/>
      <c r="C22" s="714"/>
      <c r="D22" s="727"/>
      <c r="E22" s="727"/>
      <c r="F22" s="727"/>
      <c r="G22" s="509"/>
      <c r="H22" s="509"/>
      <c r="I22" s="509"/>
      <c r="J22" s="727"/>
      <c r="K22" s="714"/>
    </row>
    <row r="23" spans="1:11" s="513" customFormat="1" ht="56.25">
      <c r="A23" s="511">
        <v>4</v>
      </c>
      <c r="B23" s="512" t="s">
        <v>575</v>
      </c>
      <c r="C23" s="511" t="s">
        <v>195</v>
      </c>
      <c r="D23" s="509">
        <f t="shared" si="0"/>
        <v>864.4</v>
      </c>
      <c r="E23" s="509">
        <f>264+269+55.4</f>
        <v>588.4</v>
      </c>
      <c r="F23" s="509">
        <f>0+276</f>
        <v>276</v>
      </c>
      <c r="G23" s="509"/>
      <c r="H23" s="509"/>
      <c r="I23" s="509"/>
      <c r="J23" s="509"/>
      <c r="K23" s="511" t="s">
        <v>40</v>
      </c>
    </row>
    <row r="24" spans="1:11" s="510" customFormat="1" ht="47.25" customHeight="1">
      <c r="A24" s="511">
        <v>5</v>
      </c>
      <c r="B24" s="512" t="s">
        <v>576</v>
      </c>
      <c r="C24" s="511" t="s">
        <v>195</v>
      </c>
      <c r="D24" s="509">
        <f>SUM(E24:J24)</f>
        <v>553</v>
      </c>
      <c r="E24" s="509">
        <f>100+120-25</f>
        <v>195</v>
      </c>
      <c r="F24" s="509">
        <f>120+98</f>
        <v>218</v>
      </c>
      <c r="G24" s="509"/>
      <c r="H24" s="509"/>
      <c r="I24" s="509"/>
      <c r="J24" s="509">
        <v>140</v>
      </c>
      <c r="K24" s="514" t="s">
        <v>40</v>
      </c>
    </row>
    <row r="25" spans="1:11" s="510" customFormat="1" ht="50.25" customHeight="1">
      <c r="A25" s="511">
        <v>6</v>
      </c>
      <c r="B25" s="512" t="s">
        <v>577</v>
      </c>
      <c r="C25" s="511" t="s">
        <v>195</v>
      </c>
      <c r="D25" s="509">
        <f t="shared" si="0"/>
        <v>32</v>
      </c>
      <c r="E25" s="509">
        <f>13-13</f>
        <v>0</v>
      </c>
      <c r="F25" s="509">
        <v>15</v>
      </c>
      <c r="G25" s="509"/>
      <c r="H25" s="509"/>
      <c r="I25" s="509"/>
      <c r="J25" s="509">
        <v>17</v>
      </c>
      <c r="K25" s="514" t="s">
        <v>40</v>
      </c>
    </row>
    <row r="26" spans="1:11" s="510" customFormat="1" ht="50.25" customHeight="1">
      <c r="A26" s="514">
        <v>7</v>
      </c>
      <c r="B26" s="515" t="s">
        <v>578</v>
      </c>
      <c r="C26" s="511" t="s">
        <v>195</v>
      </c>
      <c r="D26" s="509">
        <f t="shared" si="0"/>
        <v>104.1</v>
      </c>
      <c r="E26" s="516">
        <f>40-30.9</f>
        <v>9.100000000000001</v>
      </c>
      <c r="F26" s="516">
        <v>45</v>
      </c>
      <c r="G26" s="517"/>
      <c r="H26" s="517"/>
      <c r="I26" s="517"/>
      <c r="J26" s="516">
        <v>50</v>
      </c>
      <c r="K26" s="514" t="s">
        <v>40</v>
      </c>
    </row>
    <row r="27" spans="1:11" s="510" customFormat="1" ht="112.5">
      <c r="A27" s="514">
        <v>8</v>
      </c>
      <c r="B27" s="512" t="s">
        <v>624</v>
      </c>
      <c r="C27" s="511" t="s">
        <v>195</v>
      </c>
      <c r="D27" s="509">
        <f t="shared" si="0"/>
        <v>5000</v>
      </c>
      <c r="E27" s="516">
        <v>5000</v>
      </c>
      <c r="F27" s="516"/>
      <c r="G27" s="517"/>
      <c r="H27" s="517"/>
      <c r="I27" s="517"/>
      <c r="J27" s="516"/>
      <c r="K27" s="514" t="s">
        <v>40</v>
      </c>
    </row>
    <row r="28" spans="1:11" ht="29.25" customHeight="1">
      <c r="A28" s="66"/>
      <c r="B28" s="57" t="s">
        <v>463</v>
      </c>
      <c r="C28" s="518"/>
      <c r="D28" s="94">
        <f>E28+F28+J28</f>
        <v>8957.3</v>
      </c>
      <c r="E28" s="94">
        <f aca="true" t="shared" si="1" ref="E28:J28">E17+E19+E21+E23+E24+E25+E26+E27</f>
        <v>6071.4</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48" t="s">
        <v>474</v>
      </c>
      <c r="C31" s="648"/>
      <c r="D31" s="234"/>
      <c r="E31" s="22"/>
      <c r="F31" s="22"/>
      <c r="G31" s="16"/>
      <c r="H31" s="16"/>
      <c r="I31" s="16"/>
      <c r="J31" s="23"/>
      <c r="K31" s="86" t="s">
        <v>616</v>
      </c>
      <c r="L31" s="86"/>
      <c r="M31" s="86"/>
      <c r="N31" s="86"/>
      <c r="O31" s="86"/>
    </row>
    <row r="32" spans="2:11" ht="6.75" customHeight="1">
      <c r="B32" s="234"/>
      <c r="C32" s="234"/>
      <c r="D32" s="234"/>
      <c r="E32" s="22"/>
      <c r="F32" s="22"/>
      <c r="G32" s="16"/>
      <c r="H32" s="16"/>
      <c r="I32" s="16"/>
      <c r="J32" s="23"/>
      <c r="K32" s="23"/>
    </row>
    <row r="33" spans="2:11" ht="15.75" customHeight="1">
      <c r="B33" s="675" t="s">
        <v>623</v>
      </c>
      <c r="C33" s="675"/>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A21:A22"/>
    <mergeCell ref="B21:B22"/>
    <mergeCell ref="C21:C22"/>
    <mergeCell ref="D21:D22"/>
    <mergeCell ref="E21:E22"/>
    <mergeCell ref="F21:F22"/>
    <mergeCell ref="J19:J20"/>
    <mergeCell ref="K19:K20"/>
    <mergeCell ref="J21:J22"/>
    <mergeCell ref="K21:K22"/>
    <mergeCell ref="B31:C31"/>
    <mergeCell ref="B33:C33"/>
    <mergeCell ref="J17:J18"/>
    <mergeCell ref="A14:A16"/>
    <mergeCell ref="B14:B16"/>
    <mergeCell ref="K17:K18"/>
    <mergeCell ref="A19:A20"/>
    <mergeCell ref="B19:B20"/>
    <mergeCell ref="C19:C20"/>
    <mergeCell ref="D19:D20"/>
    <mergeCell ref="E19:E20"/>
    <mergeCell ref="F19:F20"/>
    <mergeCell ref="A17:A18"/>
    <mergeCell ref="B17:B18"/>
    <mergeCell ref="C17:C18"/>
    <mergeCell ref="D17:D18"/>
    <mergeCell ref="E17:E18"/>
    <mergeCell ref="F17:F18"/>
    <mergeCell ref="C14:C16"/>
    <mergeCell ref="D14:D16"/>
    <mergeCell ref="E14:J14"/>
    <mergeCell ref="K14:K16"/>
    <mergeCell ref="E15:E16"/>
    <mergeCell ref="F15:F16"/>
    <mergeCell ref="G15:G16"/>
    <mergeCell ref="H15:H16"/>
    <mergeCell ref="I15:I16"/>
    <mergeCell ref="J15:J16"/>
    <mergeCell ref="J6:O6"/>
    <mergeCell ref="J7:O7"/>
    <mergeCell ref="J8:K8"/>
    <mergeCell ref="J9:K9"/>
    <mergeCell ref="B12:K12"/>
    <mergeCell ref="D13:H13"/>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K52" sqref="K52"/>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475</v>
      </c>
      <c r="J1" s="252" t="s">
        <v>603</v>
      </c>
      <c r="K1"/>
    </row>
    <row r="2" spans="2:15" ht="15.75">
      <c r="B2" s="15"/>
      <c r="C2" s="15"/>
      <c r="D2" s="15"/>
      <c r="E2" s="15"/>
      <c r="F2" s="15"/>
      <c r="G2" s="15"/>
      <c r="H2" s="15"/>
      <c r="I2" s="12" t="s">
        <v>468</v>
      </c>
      <c r="J2" s="12" t="s">
        <v>455</v>
      </c>
      <c r="K2" s="12"/>
      <c r="L2" s="15"/>
      <c r="M2" s="12"/>
      <c r="N2" s="12"/>
      <c r="O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c r="J6" s="665" t="s">
        <v>453</v>
      </c>
      <c r="K6" s="665"/>
      <c r="L6" s="665"/>
      <c r="M6" s="665"/>
      <c r="N6" s="665"/>
      <c r="O6" s="665"/>
    </row>
    <row r="7" spans="2:15" ht="15.75" customHeight="1">
      <c r="B7" s="15"/>
      <c r="C7" s="15"/>
      <c r="D7" s="15"/>
      <c r="E7" s="15"/>
      <c r="F7" s="15"/>
      <c r="G7" s="15"/>
      <c r="H7" s="15"/>
      <c r="I7" s="12"/>
      <c r="J7" s="665" t="s">
        <v>454</v>
      </c>
      <c r="K7" s="665"/>
      <c r="L7" s="665"/>
      <c r="M7" s="665"/>
      <c r="N7" s="665"/>
      <c r="O7" s="665"/>
    </row>
    <row r="8" spans="2:15" ht="15.75">
      <c r="B8" s="15"/>
      <c r="C8" s="15"/>
      <c r="D8" s="15"/>
      <c r="E8" s="15"/>
      <c r="F8" s="15"/>
      <c r="G8" s="15"/>
      <c r="H8" s="16"/>
      <c r="I8" s="12" t="s">
        <v>478</v>
      </c>
      <c r="J8" s="665" t="s">
        <v>604</v>
      </c>
      <c r="K8" s="665"/>
      <c r="L8" s="438"/>
      <c r="M8" s="438"/>
      <c r="N8" s="438"/>
      <c r="O8" s="438"/>
    </row>
    <row r="9" spans="2:11" ht="21" customHeight="1">
      <c r="B9" s="15"/>
      <c r="C9" s="15"/>
      <c r="D9" s="15"/>
      <c r="E9" s="15"/>
      <c r="F9" s="15"/>
      <c r="G9" s="15"/>
      <c r="H9" s="16"/>
      <c r="I9" s="12" t="s">
        <v>479</v>
      </c>
      <c r="J9" s="226"/>
      <c r="K9" s="226"/>
    </row>
    <row r="10" spans="2:11" ht="15.75">
      <c r="B10" s="15"/>
      <c r="C10" s="15"/>
      <c r="D10" s="15"/>
      <c r="E10" s="15"/>
      <c r="F10" s="15"/>
      <c r="G10" s="15"/>
      <c r="H10" s="15"/>
      <c r="I10" s="15"/>
      <c r="J10" s="15"/>
      <c r="K10" s="15"/>
    </row>
    <row r="11" spans="1:11" ht="18.75">
      <c r="A11" s="666" t="s">
        <v>408</v>
      </c>
      <c r="B11" s="666"/>
      <c r="C11" s="666"/>
      <c r="D11" s="666"/>
      <c r="E11" s="666"/>
      <c r="F11" s="666"/>
      <c r="G11" s="666"/>
      <c r="H11" s="666"/>
      <c r="I11" s="666"/>
      <c r="J11" s="666"/>
      <c r="K11" s="666"/>
    </row>
    <row r="12" spans="2:11" ht="15.75">
      <c r="B12" s="15"/>
      <c r="C12" s="15"/>
      <c r="D12" s="676"/>
      <c r="E12" s="676"/>
      <c r="F12" s="676"/>
      <c r="G12" s="676"/>
      <c r="H12" s="676"/>
      <c r="I12" s="15"/>
      <c r="J12" s="15"/>
      <c r="K12" s="34" t="s">
        <v>102</v>
      </c>
    </row>
    <row r="13" spans="1:11" ht="18.75">
      <c r="A13" s="667" t="s">
        <v>486</v>
      </c>
      <c r="B13" s="667" t="s">
        <v>469</v>
      </c>
      <c r="C13" s="667" t="s">
        <v>470</v>
      </c>
      <c r="D13" s="667" t="s">
        <v>104</v>
      </c>
      <c r="E13" s="677" t="s">
        <v>466</v>
      </c>
      <c r="F13" s="677"/>
      <c r="G13" s="677"/>
      <c r="H13" s="677"/>
      <c r="I13" s="677"/>
      <c r="J13" s="708"/>
      <c r="K13" s="674" t="s">
        <v>472</v>
      </c>
    </row>
    <row r="14" spans="1:11" ht="12.75">
      <c r="A14" s="668"/>
      <c r="B14" s="668"/>
      <c r="C14" s="668"/>
      <c r="D14" s="668"/>
      <c r="E14" s="667">
        <v>2022</v>
      </c>
      <c r="F14" s="667">
        <v>2023</v>
      </c>
      <c r="G14" s="667" t="s">
        <v>481</v>
      </c>
      <c r="H14" s="667" t="s">
        <v>482</v>
      </c>
      <c r="I14" s="667" t="s">
        <v>483</v>
      </c>
      <c r="J14" s="674">
        <v>2024</v>
      </c>
      <c r="K14" s="674"/>
    </row>
    <row r="15" spans="1:11" ht="24.75" customHeight="1">
      <c r="A15" s="669"/>
      <c r="B15" s="669"/>
      <c r="C15" s="669"/>
      <c r="D15" s="669"/>
      <c r="E15" s="669"/>
      <c r="F15" s="669"/>
      <c r="G15" s="669"/>
      <c r="H15" s="669"/>
      <c r="I15" s="669"/>
      <c r="J15" s="674"/>
      <c r="K15" s="674"/>
    </row>
    <row r="16" spans="1:11" ht="25.5" customHeight="1">
      <c r="A16" s="667">
        <v>1</v>
      </c>
      <c r="B16" s="757" t="s">
        <v>236</v>
      </c>
      <c r="C16" s="645" t="s">
        <v>195</v>
      </c>
      <c r="D16" s="755">
        <f>E16+F16+J16</f>
        <v>1200</v>
      </c>
      <c r="E16" s="755">
        <v>350</v>
      </c>
      <c r="F16" s="759">
        <v>400</v>
      </c>
      <c r="G16" s="138"/>
      <c r="H16" s="138"/>
      <c r="I16" s="138"/>
      <c r="J16" s="759">
        <v>450</v>
      </c>
      <c r="K16" s="670" t="s">
        <v>282</v>
      </c>
    </row>
    <row r="17" spans="1:11" ht="38.25" customHeight="1">
      <c r="A17" s="669"/>
      <c r="B17" s="758"/>
      <c r="C17" s="645"/>
      <c r="D17" s="756"/>
      <c r="E17" s="756"/>
      <c r="F17" s="760"/>
      <c r="G17" s="138"/>
      <c r="H17" s="138"/>
      <c r="I17" s="138"/>
      <c r="J17" s="760"/>
      <c r="K17" s="672"/>
    </row>
    <row r="18" spans="1:11" s="52" customFormat="1" ht="51" customHeight="1" hidden="1">
      <c r="A18" s="409" t="s">
        <v>109</v>
      </c>
      <c r="B18" s="757" t="s">
        <v>236</v>
      </c>
      <c r="C18" s="645" t="s">
        <v>195</v>
      </c>
      <c r="D18" s="266">
        <f aca="true" t="shared" si="0" ref="D18:D27">E18+F18+J18</f>
        <v>1542</v>
      </c>
      <c r="E18" s="429">
        <v>1542</v>
      </c>
      <c r="F18" s="429"/>
      <c r="G18" s="429"/>
      <c r="H18" s="429"/>
      <c r="I18" s="429"/>
      <c r="J18" s="429"/>
      <c r="K18" s="670" t="s">
        <v>282</v>
      </c>
    </row>
    <row r="19" spans="1:11" ht="48.75" customHeight="1" hidden="1">
      <c r="A19" s="270" t="s">
        <v>110</v>
      </c>
      <c r="B19" s="758"/>
      <c r="C19" s="645"/>
      <c r="D19" s="266">
        <f t="shared" si="0"/>
        <v>233.1</v>
      </c>
      <c r="E19" s="266"/>
      <c r="F19" s="267">
        <v>233.1</v>
      </c>
      <c r="G19" s="267"/>
      <c r="H19" s="267"/>
      <c r="I19" s="267"/>
      <c r="J19" s="267"/>
      <c r="K19" s="672"/>
    </row>
    <row r="20" spans="1:11" ht="45" customHeight="1" hidden="1">
      <c r="A20" s="270" t="s">
        <v>111</v>
      </c>
      <c r="B20" s="757" t="s">
        <v>236</v>
      </c>
      <c r="C20" s="645" t="s">
        <v>195</v>
      </c>
      <c r="D20" s="266">
        <f t="shared" si="0"/>
        <v>1195</v>
      </c>
      <c r="E20" s="266"/>
      <c r="F20" s="267">
        <v>1195</v>
      </c>
      <c r="G20" s="267"/>
      <c r="H20" s="267"/>
      <c r="I20" s="267"/>
      <c r="J20" s="267"/>
      <c r="K20" s="670" t="s">
        <v>282</v>
      </c>
    </row>
    <row r="21" spans="1:11" s="290" customFormat="1" ht="31.5" customHeight="1" hidden="1">
      <c r="A21" s="288" t="s">
        <v>112</v>
      </c>
      <c r="B21" s="758"/>
      <c r="C21" s="645"/>
      <c r="D21" s="266">
        <f t="shared" si="0"/>
        <v>800</v>
      </c>
      <c r="E21" s="289">
        <v>800</v>
      </c>
      <c r="F21" s="289"/>
      <c r="G21" s="289"/>
      <c r="H21" s="289"/>
      <c r="I21" s="289"/>
      <c r="J21" s="289"/>
      <c r="K21" s="672"/>
    </row>
    <row r="22" spans="1:11" s="290" customFormat="1" ht="33" customHeight="1" hidden="1">
      <c r="A22" s="288" t="s">
        <v>113</v>
      </c>
      <c r="B22" s="757" t="s">
        <v>236</v>
      </c>
      <c r="C22" s="645" t="s">
        <v>195</v>
      </c>
      <c r="D22" s="266">
        <f t="shared" si="0"/>
        <v>1700</v>
      </c>
      <c r="E22" s="289">
        <v>1700</v>
      </c>
      <c r="F22" s="289"/>
      <c r="G22" s="289"/>
      <c r="H22" s="289"/>
      <c r="I22" s="289"/>
      <c r="J22" s="289"/>
      <c r="K22" s="670" t="s">
        <v>282</v>
      </c>
    </row>
    <row r="23" spans="1:11" s="290" customFormat="1" ht="33" customHeight="1" hidden="1">
      <c r="A23" s="288" t="s">
        <v>123</v>
      </c>
      <c r="B23" s="758"/>
      <c r="C23" s="645"/>
      <c r="D23" s="266">
        <f t="shared" si="0"/>
        <v>1542</v>
      </c>
      <c r="E23" s="289">
        <v>1542</v>
      </c>
      <c r="F23" s="289"/>
      <c r="G23" s="289"/>
      <c r="H23" s="289"/>
      <c r="I23" s="289"/>
      <c r="J23" s="289"/>
      <c r="K23" s="672"/>
    </row>
    <row r="24" spans="1:11" ht="33.75" customHeight="1" hidden="1">
      <c r="A24" s="270" t="s">
        <v>137</v>
      </c>
      <c r="B24" s="757" t="s">
        <v>236</v>
      </c>
      <c r="C24" s="645" t="s">
        <v>195</v>
      </c>
      <c r="D24" s="266">
        <f t="shared" si="0"/>
        <v>753.27</v>
      </c>
      <c r="E24" s="266"/>
      <c r="F24" s="267"/>
      <c r="G24" s="267"/>
      <c r="H24" s="267"/>
      <c r="I24" s="267"/>
      <c r="J24" s="267">
        <v>753.27</v>
      </c>
      <c r="K24" s="670" t="s">
        <v>282</v>
      </c>
    </row>
    <row r="25" spans="1:11" ht="33.75" customHeight="1" hidden="1">
      <c r="A25" s="270" t="s">
        <v>158</v>
      </c>
      <c r="B25" s="758"/>
      <c r="C25" s="645"/>
      <c r="D25" s="266">
        <f t="shared" si="0"/>
        <v>2000</v>
      </c>
      <c r="E25" s="266"/>
      <c r="F25" s="267"/>
      <c r="G25" s="267"/>
      <c r="H25" s="267"/>
      <c r="I25" s="267"/>
      <c r="J25" s="267">
        <v>2000</v>
      </c>
      <c r="K25" s="672"/>
    </row>
    <row r="26" spans="1:11" ht="46.5" customHeight="1" hidden="1">
      <c r="A26" s="270" t="s">
        <v>121</v>
      </c>
      <c r="B26" s="757" t="s">
        <v>236</v>
      </c>
      <c r="C26" s="645" t="s">
        <v>195</v>
      </c>
      <c r="D26" s="266">
        <f t="shared" si="0"/>
        <v>700</v>
      </c>
      <c r="E26" s="266"/>
      <c r="F26" s="267"/>
      <c r="G26" s="267"/>
      <c r="H26" s="267"/>
      <c r="I26" s="267"/>
      <c r="J26" s="267">
        <v>700</v>
      </c>
      <c r="K26" s="670" t="s">
        <v>282</v>
      </c>
    </row>
    <row r="27" spans="1:11" ht="41.25" customHeight="1" hidden="1">
      <c r="A27" s="270" t="s">
        <v>145</v>
      </c>
      <c r="B27" s="758"/>
      <c r="C27" s="645"/>
      <c r="D27" s="266">
        <f t="shared" si="0"/>
        <v>1300</v>
      </c>
      <c r="E27" s="266"/>
      <c r="F27" s="267"/>
      <c r="G27" s="267"/>
      <c r="H27" s="267"/>
      <c r="I27" s="267"/>
      <c r="J27" s="267">
        <v>1300</v>
      </c>
      <c r="K27" s="672"/>
    </row>
    <row r="28" spans="1:11" ht="2.25" customHeight="1" hidden="1">
      <c r="A28" s="35">
        <v>4</v>
      </c>
      <c r="B28" s="757" t="s">
        <v>236</v>
      </c>
      <c r="C28" s="645" t="s">
        <v>195</v>
      </c>
      <c r="D28" s="266">
        <v>13705</v>
      </c>
      <c r="E28" s="268">
        <v>13705</v>
      </c>
      <c r="F28" s="267"/>
      <c r="G28" s="267"/>
      <c r="H28" s="267"/>
      <c r="I28" s="267"/>
      <c r="J28" s="267"/>
      <c r="K28" s="670" t="s">
        <v>282</v>
      </c>
    </row>
    <row r="29" spans="1:11" s="292" customFormat="1" ht="42.75" customHeight="1" hidden="1">
      <c r="A29" s="57">
        <v>2</v>
      </c>
      <c r="B29" s="758"/>
      <c r="C29" s="645"/>
      <c r="D29" s="291" t="e">
        <f>D30+D31+#REF!</f>
        <v>#REF!</v>
      </c>
      <c r="E29" s="291" t="e">
        <f>E30+E31+#REF!</f>
        <v>#REF!</v>
      </c>
      <c r="F29" s="291">
        <f>F30</f>
        <v>0</v>
      </c>
      <c r="G29" s="291">
        <f>G30</f>
        <v>0</v>
      </c>
      <c r="H29" s="291">
        <f>H30</f>
        <v>0</v>
      </c>
      <c r="I29" s="291">
        <f>I30</f>
        <v>0</v>
      </c>
      <c r="J29" s="291">
        <f>J30</f>
        <v>0</v>
      </c>
      <c r="K29" s="672"/>
    </row>
    <row r="30" spans="1:11" ht="28.5" customHeight="1" hidden="1">
      <c r="A30" s="270" t="s">
        <v>109</v>
      </c>
      <c r="B30" s="757" t="s">
        <v>236</v>
      </c>
      <c r="C30" s="645" t="s">
        <v>195</v>
      </c>
      <c r="D30" s="266">
        <f>E30+F30+J30</f>
        <v>0</v>
      </c>
      <c r="E30" s="268">
        <f>3000-3000</f>
        <v>0</v>
      </c>
      <c r="F30" s="267"/>
      <c r="G30" s="267"/>
      <c r="H30" s="267"/>
      <c r="I30" s="267"/>
      <c r="J30" s="267"/>
      <c r="K30" s="670" t="s">
        <v>282</v>
      </c>
    </row>
    <row r="31" spans="1:11" ht="21" customHeight="1" hidden="1">
      <c r="A31" s="270" t="s">
        <v>110</v>
      </c>
      <c r="B31" s="758"/>
      <c r="C31" s="645"/>
      <c r="D31" s="266">
        <f>E31+F31+J31</f>
        <v>0</v>
      </c>
      <c r="E31" s="268">
        <f>2000-2000</f>
        <v>0</v>
      </c>
      <c r="F31" s="267"/>
      <c r="G31" s="267"/>
      <c r="H31" s="267"/>
      <c r="I31" s="267"/>
      <c r="J31" s="267"/>
      <c r="K31" s="672"/>
    </row>
    <row r="32" spans="1:11" ht="21" customHeight="1">
      <c r="A32" s="761" t="s">
        <v>172</v>
      </c>
      <c r="B32" s="757" t="s">
        <v>445</v>
      </c>
      <c r="C32" s="646" t="s">
        <v>195</v>
      </c>
      <c r="D32" s="755">
        <f>E32+F32+J32</f>
        <v>0</v>
      </c>
      <c r="E32" s="763">
        <f>1160-1160</f>
        <v>0</v>
      </c>
      <c r="F32" s="765"/>
      <c r="G32" s="267"/>
      <c r="H32" s="267"/>
      <c r="I32" s="267"/>
      <c r="J32" s="765"/>
      <c r="K32" s="670" t="s">
        <v>446</v>
      </c>
    </row>
    <row r="33" spans="1:11" ht="21" customHeight="1">
      <c r="A33" s="762"/>
      <c r="B33" s="758"/>
      <c r="C33" s="647"/>
      <c r="D33" s="756"/>
      <c r="E33" s="764"/>
      <c r="F33" s="766"/>
      <c r="G33" s="267"/>
      <c r="H33" s="267"/>
      <c r="I33" s="267"/>
      <c r="J33" s="766"/>
      <c r="K33" s="672"/>
    </row>
    <row r="34" spans="1:11" ht="24" customHeight="1">
      <c r="A34" s="66"/>
      <c r="B34" s="261"/>
      <c r="C34" s="620"/>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1" customFormat="1" ht="20.25">
      <c r="B38" s="657" t="s">
        <v>150</v>
      </c>
      <c r="C38" s="657"/>
      <c r="D38" s="348"/>
      <c r="E38" s="350"/>
      <c r="F38" s="350"/>
      <c r="J38" s="363"/>
      <c r="K38" s="363" t="s">
        <v>484</v>
      </c>
    </row>
    <row r="39" spans="1:11" ht="15" customHeight="1">
      <c r="A39" s="65"/>
      <c r="B39" s="234"/>
      <c r="C39" s="234"/>
      <c r="D39" s="234"/>
      <c r="E39" s="22"/>
      <c r="F39" s="22"/>
      <c r="G39" s="65"/>
      <c r="H39" s="65"/>
      <c r="I39" s="65"/>
      <c r="J39" s="23"/>
      <c r="K39" s="23"/>
    </row>
    <row r="40" spans="1:11" ht="18.75">
      <c r="A40" s="65"/>
      <c r="B40" s="648" t="s">
        <v>159</v>
      </c>
      <c r="C40" s="648"/>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J6:O6"/>
    <mergeCell ref="J32:J33"/>
    <mergeCell ref="K18:K19"/>
    <mergeCell ref="K20:K21"/>
    <mergeCell ref="K22:K23"/>
    <mergeCell ref="K24:K25"/>
    <mergeCell ref="K26:K27"/>
    <mergeCell ref="K28:K29"/>
    <mergeCell ref="K30:K31"/>
    <mergeCell ref="K32:K33"/>
    <mergeCell ref="C28:C29"/>
    <mergeCell ref="C30:C31"/>
    <mergeCell ref="C32:C33"/>
    <mergeCell ref="D32:D33"/>
    <mergeCell ref="E32:E33"/>
    <mergeCell ref="F32:F33"/>
    <mergeCell ref="B26:B27"/>
    <mergeCell ref="B28:B29"/>
    <mergeCell ref="B30:B31"/>
    <mergeCell ref="B32:B33"/>
    <mergeCell ref="A32:A33"/>
    <mergeCell ref="C18:C19"/>
    <mergeCell ref="C20:C21"/>
    <mergeCell ref="C22:C23"/>
    <mergeCell ref="C24:C25"/>
    <mergeCell ref="C26:C27"/>
    <mergeCell ref="I14:I15"/>
    <mergeCell ref="J14:J15"/>
    <mergeCell ref="A11:K11"/>
    <mergeCell ref="D12:H12"/>
    <mergeCell ref="A13:A15"/>
    <mergeCell ref="B13:B15"/>
    <mergeCell ref="C13:C15"/>
    <mergeCell ref="D13:D15"/>
    <mergeCell ref="E13:J13"/>
    <mergeCell ref="K13:K15"/>
    <mergeCell ref="A16:A17"/>
    <mergeCell ref="B16:B17"/>
    <mergeCell ref="J8:K8"/>
    <mergeCell ref="J7:O7"/>
    <mergeCell ref="E16:E17"/>
    <mergeCell ref="F16:F17"/>
    <mergeCell ref="K16:K17"/>
    <mergeCell ref="J16:J17"/>
    <mergeCell ref="G14:G15"/>
    <mergeCell ref="H14:H15"/>
    <mergeCell ref="B38:C38"/>
    <mergeCell ref="B40:C40"/>
    <mergeCell ref="C16:C17"/>
    <mergeCell ref="D16:D17"/>
    <mergeCell ref="E14:E15"/>
    <mergeCell ref="F14:F15"/>
    <mergeCell ref="B18:B19"/>
    <mergeCell ref="B20:B21"/>
    <mergeCell ref="B22:B23"/>
    <mergeCell ref="B24:B25"/>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620</v>
      </c>
      <c r="L1" s="297"/>
      <c r="M1" s="2"/>
    </row>
    <row r="2" spans="11:16" ht="15.75">
      <c r="K2" s="12" t="s">
        <v>615</v>
      </c>
      <c r="L2" s="12"/>
      <c r="M2" s="15"/>
      <c r="N2" s="12"/>
      <c r="O2" s="12"/>
      <c r="P2" s="12"/>
    </row>
    <row r="3" spans="11:16" ht="15.75">
      <c r="K3" s="12" t="s">
        <v>456</v>
      </c>
      <c r="L3" s="12"/>
      <c r="M3" s="15"/>
      <c r="N3" s="12"/>
      <c r="O3" s="12"/>
      <c r="P3" s="12"/>
    </row>
    <row r="4" spans="11:16" ht="15.75">
      <c r="K4" s="17" t="s">
        <v>161</v>
      </c>
      <c r="L4" s="17"/>
      <c r="M4" s="15"/>
      <c r="N4" s="12"/>
      <c r="O4" s="12"/>
      <c r="P4" s="12"/>
    </row>
    <row r="5" spans="2:16" ht="15.75">
      <c r="B5" s="1"/>
      <c r="C5" s="1"/>
      <c r="D5" s="1"/>
      <c r="E5" s="189"/>
      <c r="F5" s="1"/>
      <c r="G5" s="1"/>
      <c r="H5" s="1"/>
      <c r="I5" s="1"/>
      <c r="J5" s="2" t="s">
        <v>500</v>
      </c>
      <c r="K5" s="17" t="s">
        <v>369</v>
      </c>
      <c r="L5" s="17"/>
      <c r="M5" s="15"/>
      <c r="N5" s="12"/>
      <c r="O5" s="12"/>
      <c r="P5" s="12"/>
    </row>
    <row r="6" spans="2:16" ht="15.75">
      <c r="B6" s="1"/>
      <c r="C6" s="1"/>
      <c r="D6" s="1"/>
      <c r="E6" s="189"/>
      <c r="F6" s="1"/>
      <c r="G6" s="1"/>
      <c r="H6" s="1"/>
      <c r="I6" s="1"/>
      <c r="J6" s="2"/>
      <c r="K6" s="665" t="s">
        <v>453</v>
      </c>
      <c r="L6" s="665"/>
      <c r="M6" s="665"/>
      <c r="N6" s="665"/>
      <c r="O6" s="665"/>
      <c r="P6" s="665"/>
    </row>
    <row r="7" spans="2:16" ht="15.75">
      <c r="B7" s="1"/>
      <c r="C7" s="1"/>
      <c r="D7" s="1"/>
      <c r="E7" s="189"/>
      <c r="F7" s="1"/>
      <c r="G7" s="1"/>
      <c r="H7" s="1"/>
      <c r="I7" s="9"/>
      <c r="J7" s="3" t="s">
        <v>503</v>
      </c>
      <c r="K7" s="665" t="s">
        <v>454</v>
      </c>
      <c r="L7" s="665"/>
      <c r="M7" s="665"/>
      <c r="N7" s="665"/>
      <c r="O7" s="665"/>
      <c r="P7" s="665"/>
    </row>
    <row r="8" spans="2:16" ht="15.75">
      <c r="B8" s="1"/>
      <c r="C8" s="1"/>
      <c r="D8" s="1"/>
      <c r="E8" s="189"/>
      <c r="F8" s="1"/>
      <c r="G8" s="1"/>
      <c r="H8" s="1"/>
      <c r="I8" s="9"/>
      <c r="J8" s="3"/>
      <c r="K8" s="665" t="s">
        <v>618</v>
      </c>
      <c r="L8" s="665"/>
      <c r="M8" s="438"/>
      <c r="N8" s="438"/>
      <c r="O8" s="438"/>
      <c r="P8" s="438"/>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51" customHeight="1">
      <c r="A11" s="327"/>
      <c r="B11" s="767" t="s">
        <v>409</v>
      </c>
      <c r="C11" s="767"/>
      <c r="D11" s="767"/>
      <c r="E11" s="767"/>
      <c r="F11" s="767"/>
      <c r="G11" s="767"/>
      <c r="H11" s="767"/>
      <c r="I11" s="767"/>
      <c r="J11" s="767"/>
      <c r="K11" s="767"/>
    </row>
    <row r="12" spans="1:11" ht="15.75">
      <c r="A12" s="327"/>
      <c r="B12" s="1"/>
      <c r="C12" s="1"/>
      <c r="D12" s="1"/>
      <c r="E12" s="189"/>
      <c r="F12" s="1"/>
      <c r="G12" s="1"/>
      <c r="H12" s="1"/>
      <c r="I12" s="1"/>
      <c r="J12" s="1"/>
      <c r="K12" s="44" t="s">
        <v>114</v>
      </c>
    </row>
    <row r="13" spans="1:11" ht="18.75">
      <c r="A13" s="689" t="s">
        <v>504</v>
      </c>
      <c r="B13" s="691" t="s">
        <v>469</v>
      </c>
      <c r="C13" s="691" t="s">
        <v>470</v>
      </c>
      <c r="D13" s="691" t="s">
        <v>104</v>
      </c>
      <c r="E13" s="692" t="s">
        <v>466</v>
      </c>
      <c r="F13" s="692"/>
      <c r="G13" s="692"/>
      <c r="H13" s="692"/>
      <c r="I13" s="692"/>
      <c r="J13" s="692"/>
      <c r="K13" s="691" t="s">
        <v>472</v>
      </c>
    </row>
    <row r="14" spans="1:11" ht="40.5" customHeight="1">
      <c r="A14" s="690"/>
      <c r="B14" s="691"/>
      <c r="C14" s="691"/>
      <c r="D14" s="691"/>
      <c r="E14" s="178">
        <v>2022</v>
      </c>
      <c r="F14" s="54">
        <v>2023</v>
      </c>
      <c r="G14" s="54">
        <v>2024</v>
      </c>
      <c r="H14" s="144" t="s">
        <v>481</v>
      </c>
      <c r="I14" s="144" t="s">
        <v>482</v>
      </c>
      <c r="J14" s="144" t="s">
        <v>483</v>
      </c>
      <c r="K14" s="691"/>
    </row>
    <row r="15" spans="1:11" ht="37.5" hidden="1">
      <c r="A15" s="681">
        <v>14</v>
      </c>
      <c r="B15" s="694" t="s">
        <v>26</v>
      </c>
      <c r="C15" s="168" t="s">
        <v>473</v>
      </c>
      <c r="D15" s="180">
        <f>E15+F15+G15</f>
        <v>0</v>
      </c>
      <c r="E15" s="180"/>
      <c r="F15" s="180"/>
      <c r="G15" s="180"/>
      <c r="H15" s="396"/>
      <c r="I15" s="396"/>
      <c r="J15" s="396"/>
      <c r="K15" s="685" t="s">
        <v>7</v>
      </c>
    </row>
    <row r="16" spans="1:11" ht="18.75" hidden="1">
      <c r="A16" s="681"/>
      <c r="B16" s="694"/>
      <c r="C16" s="168" t="s">
        <v>156</v>
      </c>
      <c r="D16" s="180">
        <f>E16+F16+G16</f>
        <v>0</v>
      </c>
      <c r="E16" s="180"/>
      <c r="F16" s="180"/>
      <c r="G16" s="180"/>
      <c r="H16" s="396"/>
      <c r="I16" s="396"/>
      <c r="J16" s="396"/>
      <c r="K16" s="687"/>
    </row>
    <row r="17" spans="1:11" ht="37.5" hidden="1">
      <c r="A17" s="168">
        <v>15</v>
      </c>
      <c r="B17" s="62" t="s">
        <v>39</v>
      </c>
      <c r="C17" s="63" t="s">
        <v>473</v>
      </c>
      <c r="D17" s="180">
        <f>E17+F17+G17</f>
        <v>0</v>
      </c>
      <c r="E17" s="199"/>
      <c r="F17" s="199"/>
      <c r="G17" s="199"/>
      <c r="H17" s="402"/>
      <c r="I17" s="402"/>
      <c r="J17" s="402"/>
      <c r="K17" s="63" t="s">
        <v>40</v>
      </c>
    </row>
    <row r="18" spans="1:11" s="391" customFormat="1" ht="46.5" customHeight="1">
      <c r="A18" s="398">
        <v>1</v>
      </c>
      <c r="B18" s="62" t="s">
        <v>364</v>
      </c>
      <c r="C18" s="63" t="s">
        <v>35</v>
      </c>
      <c r="D18" s="180">
        <f>E18+F18+G18</f>
        <v>1056.2</v>
      </c>
      <c r="E18" s="565">
        <f>350-49.3</f>
        <v>300.7</v>
      </c>
      <c r="F18" s="199">
        <v>368.5</v>
      </c>
      <c r="G18" s="199">
        <v>387</v>
      </c>
      <c r="H18" s="389"/>
      <c r="I18" s="389"/>
      <c r="J18" s="389"/>
      <c r="K18" s="63" t="s">
        <v>40</v>
      </c>
    </row>
    <row r="19" spans="1:11" s="391" customFormat="1" ht="46.5" customHeight="1">
      <c r="A19" s="398">
        <v>2</v>
      </c>
      <c r="B19" s="62" t="s">
        <v>370</v>
      </c>
      <c r="C19" s="63" t="s">
        <v>35</v>
      </c>
      <c r="D19" s="180">
        <f>E19+F19+G19</f>
        <v>4655</v>
      </c>
      <c r="E19" s="565">
        <f>1950-1395</f>
        <v>555</v>
      </c>
      <c r="F19" s="199">
        <v>2000</v>
      </c>
      <c r="G19" s="199">
        <v>2100</v>
      </c>
      <c r="H19" s="403">
        <v>1500</v>
      </c>
      <c r="I19" s="403">
        <v>1500</v>
      </c>
      <c r="J19" s="403">
        <v>1500</v>
      </c>
      <c r="K19" s="63" t="s">
        <v>40</v>
      </c>
    </row>
    <row r="20" spans="1:11" ht="35.25" customHeight="1">
      <c r="A20" s="329"/>
      <c r="B20" s="435" t="s">
        <v>463</v>
      </c>
      <c r="C20" s="435"/>
      <c r="D20" s="478">
        <f>D18+D19</f>
        <v>5711.2</v>
      </c>
      <c r="E20" s="478">
        <f>E18+E19</f>
        <v>855.7</v>
      </c>
      <c r="F20" s="478">
        <f>F18+F19</f>
        <v>2368.5</v>
      </c>
      <c r="G20" s="478">
        <f>G18+G19</f>
        <v>2487</v>
      </c>
      <c r="H20" s="205" t="e">
        <f>#REF!+#REF!+#REF!+#REF!+#REF!+#REF!+#REF!+#REF!+#REF!+#REF!+#REF!+#REF!+#REF!+#REF!+#REF!</f>
        <v>#REF!</v>
      </c>
      <c r="I20" s="205" t="e">
        <f>#REF!+#REF!+#REF!+#REF!+#REF!+#REF!+#REF!+#REF!+#REF!+#REF!+#REF!+#REF!+#REF!+#REF!+#REF!</f>
        <v>#REF!</v>
      </c>
      <c r="J20" s="205" t="e">
        <f>#REF!+#REF!+#REF!+#REF!+#REF!+#REF!+#REF!+#REF!+#REF!+#REF!+#REF!+#REF!+#REF!+#REF!+#REF!</f>
        <v>#REF!</v>
      </c>
      <c r="K20" s="206"/>
    </row>
    <row r="21" spans="1:11" ht="15.75" customHeight="1">
      <c r="A21" s="327"/>
      <c r="B21" s="4"/>
      <c r="C21" s="4"/>
      <c r="D21" s="146"/>
      <c r="E21" s="190"/>
      <c r="F21" s="146"/>
      <c r="G21" s="146"/>
      <c r="H21" s="146"/>
      <c r="I21" s="146"/>
      <c r="J21" s="146"/>
      <c r="K21" s="147"/>
    </row>
    <row r="22" spans="1:11" ht="22.5" customHeight="1">
      <c r="A22" s="327"/>
      <c r="B22" s="4"/>
      <c r="C22" s="4"/>
      <c r="D22" s="146"/>
      <c r="E22" s="190"/>
      <c r="F22" s="146"/>
      <c r="G22" s="146"/>
      <c r="H22" s="146"/>
      <c r="I22" s="146"/>
      <c r="J22" s="146"/>
      <c r="K22" s="147"/>
    </row>
    <row r="23" spans="1:11" ht="27.75" customHeight="1">
      <c r="A23" s="327"/>
      <c r="B23" s="4"/>
      <c r="C23" s="4"/>
      <c r="D23" s="146"/>
      <c r="E23" s="190"/>
      <c r="F23" s="146"/>
      <c r="G23" s="146"/>
      <c r="H23" s="146"/>
      <c r="I23" s="146"/>
      <c r="J23" s="146"/>
      <c r="K23" s="147"/>
    </row>
    <row r="24" spans="1:13" ht="33" customHeight="1">
      <c r="A24" s="327"/>
      <c r="B24" s="698" t="s">
        <v>474</v>
      </c>
      <c r="C24" s="698"/>
      <c r="D24" s="365"/>
      <c r="E24" s="366"/>
      <c r="F24" s="367"/>
      <c r="G24" s="367"/>
      <c r="H24" s="367"/>
      <c r="I24" s="367"/>
      <c r="J24" s="367"/>
      <c r="K24" s="86" t="s">
        <v>616</v>
      </c>
      <c r="L24" s="148"/>
      <c r="M24" s="148"/>
    </row>
    <row r="25" spans="1:12" ht="18.75">
      <c r="A25" s="327"/>
      <c r="B25" s="244"/>
      <c r="C25" s="47"/>
      <c r="D25" s="330"/>
      <c r="E25" s="245"/>
      <c r="F25" s="246"/>
      <c r="G25" s="246"/>
      <c r="H25" s="246"/>
      <c r="I25" s="246"/>
      <c r="J25" s="246"/>
      <c r="K25" s="47"/>
      <c r="L25" s="1"/>
    </row>
    <row r="26" spans="1:12" ht="18.75">
      <c r="A26" s="327"/>
      <c r="B26" s="271" t="s">
        <v>160</v>
      </c>
      <c r="C26" s="47"/>
      <c r="D26" s="47"/>
      <c r="E26" s="191"/>
      <c r="F26" s="8"/>
      <c r="G26" s="8"/>
      <c r="H26" s="330"/>
      <c r="I26" s="330"/>
      <c r="J26" s="330"/>
      <c r="K26" s="247"/>
      <c r="L26" s="1"/>
    </row>
    <row r="27" spans="2:11" ht="15.75">
      <c r="B27" s="1"/>
      <c r="C27" s="42"/>
      <c r="D27" s="7"/>
      <c r="E27" s="192"/>
      <c r="F27" s="7"/>
      <c r="G27" s="7"/>
      <c r="H27" s="7"/>
      <c r="I27" s="7"/>
      <c r="J27" s="7"/>
      <c r="K27" s="1"/>
    </row>
    <row r="28" spans="2:11" ht="15.75">
      <c r="B28" s="1"/>
      <c r="C28" s="43"/>
      <c r="D28" s="7"/>
      <c r="E28" s="192"/>
      <c r="F28" s="7"/>
      <c r="G28" s="7"/>
      <c r="H28" s="7"/>
      <c r="I28" s="7"/>
      <c r="J28" s="7"/>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row r="82" spans="2:11" ht="15.75">
      <c r="B82" s="1"/>
      <c r="C82" s="1"/>
      <c r="D82" s="1"/>
      <c r="E82" s="189"/>
      <c r="F82" s="1"/>
      <c r="G82" s="1"/>
      <c r="H82" s="1"/>
      <c r="I82" s="1"/>
      <c r="J82" s="1"/>
      <c r="K82" s="1"/>
    </row>
  </sheetData>
  <sheetProtection/>
  <mergeCells count="14">
    <mergeCell ref="A15:A16"/>
    <mergeCell ref="B15:B16"/>
    <mergeCell ref="K15:K16"/>
    <mergeCell ref="A13:A14"/>
    <mergeCell ref="B24:C24"/>
    <mergeCell ref="K8:L8"/>
    <mergeCell ref="K6:P6"/>
    <mergeCell ref="K7:P7"/>
    <mergeCell ref="B11:K11"/>
    <mergeCell ref="B13:B14"/>
    <mergeCell ref="C13:C14"/>
    <mergeCell ref="D13:D14"/>
    <mergeCell ref="E13:J13"/>
    <mergeCell ref="K13:K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13">
      <selection activeCell="K25" sqref="K25"/>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90" t="s">
        <v>414</v>
      </c>
      <c r="J1" s="790"/>
      <c r="K1" s="569"/>
      <c r="L1" s="12" t="s">
        <v>475</v>
      </c>
      <c r="M1" s="570"/>
      <c r="N1" s="570"/>
    </row>
    <row r="2" spans="2:14" ht="15.75">
      <c r="B2" s="15"/>
      <c r="C2" s="15"/>
      <c r="D2" s="15"/>
      <c r="E2" s="15"/>
      <c r="F2" s="15"/>
      <c r="G2" s="15"/>
      <c r="H2" s="15"/>
      <c r="I2" s="664" t="s">
        <v>615</v>
      </c>
      <c r="J2" s="664"/>
      <c r="K2" s="664"/>
      <c r="L2" s="12"/>
      <c r="M2" s="12"/>
      <c r="N2" s="12"/>
    </row>
    <row r="3" spans="2:14" ht="15.75">
      <c r="B3" s="15"/>
      <c r="C3" s="15"/>
      <c r="D3" s="15"/>
      <c r="E3" s="15"/>
      <c r="F3" s="15"/>
      <c r="G3" s="15"/>
      <c r="H3" s="15"/>
      <c r="I3" s="12" t="s">
        <v>456</v>
      </c>
      <c r="J3" s="12"/>
      <c r="K3" s="12"/>
      <c r="L3" s="12"/>
      <c r="M3" s="12"/>
      <c r="N3" s="12"/>
    </row>
    <row r="4" spans="2:14" ht="15.75">
      <c r="B4" s="15"/>
      <c r="C4" s="15"/>
      <c r="D4" s="15"/>
      <c r="E4" s="15"/>
      <c r="F4" s="15"/>
      <c r="G4" s="15"/>
      <c r="H4" s="15"/>
      <c r="I4" s="12" t="s">
        <v>161</v>
      </c>
      <c r="J4" s="12"/>
      <c r="K4" s="12"/>
      <c r="L4" s="12"/>
      <c r="M4" s="12"/>
      <c r="N4" s="12"/>
    </row>
    <row r="5" spans="2:14" ht="15.75">
      <c r="B5" s="15"/>
      <c r="C5" s="15"/>
      <c r="D5" s="15"/>
      <c r="E5" s="15"/>
      <c r="F5" s="15"/>
      <c r="G5" s="15"/>
      <c r="H5" s="15"/>
      <c r="I5" s="12" t="s">
        <v>369</v>
      </c>
      <c r="J5" s="12"/>
      <c r="K5" s="12"/>
      <c r="L5" s="12"/>
      <c r="M5" s="12"/>
      <c r="N5" s="12"/>
    </row>
    <row r="6" spans="2:14" ht="15.75" customHeight="1">
      <c r="B6" s="15"/>
      <c r="C6" s="15"/>
      <c r="D6" s="15"/>
      <c r="E6" s="15"/>
      <c r="F6" s="15"/>
      <c r="G6" s="15"/>
      <c r="H6" s="15"/>
      <c r="I6" s="665" t="s">
        <v>453</v>
      </c>
      <c r="J6" s="665"/>
      <c r="K6" s="665"/>
      <c r="L6" s="665"/>
      <c r="M6" s="665"/>
      <c r="N6" s="665"/>
    </row>
    <row r="7" spans="2:14" ht="15.75" customHeight="1">
      <c r="B7" s="15"/>
      <c r="C7" s="15"/>
      <c r="D7" s="15"/>
      <c r="E7" s="15"/>
      <c r="F7" s="15"/>
      <c r="G7" s="15"/>
      <c r="H7" s="15"/>
      <c r="I7" s="665" t="s">
        <v>454</v>
      </c>
      <c r="J7" s="665"/>
      <c r="K7" s="665"/>
      <c r="L7" s="665"/>
      <c r="M7" s="665"/>
      <c r="N7" s="665"/>
    </row>
    <row r="8" spans="2:14" ht="15.75" customHeight="1">
      <c r="B8" s="15"/>
      <c r="C8" s="15"/>
      <c r="D8" s="15"/>
      <c r="E8" s="15"/>
      <c r="F8" s="15"/>
      <c r="G8" s="15"/>
      <c r="H8" s="16"/>
      <c r="I8" s="665" t="s">
        <v>618</v>
      </c>
      <c r="J8" s="665"/>
      <c r="K8" s="665"/>
      <c r="L8" s="438"/>
      <c r="M8" s="438"/>
      <c r="N8" s="438"/>
    </row>
    <row r="9" spans="2:12" ht="15.75">
      <c r="B9" s="15"/>
      <c r="C9" s="15"/>
      <c r="D9" s="15"/>
      <c r="E9" s="15"/>
      <c r="F9" s="15"/>
      <c r="G9" s="15"/>
      <c r="H9" s="15"/>
      <c r="I9" s="15"/>
      <c r="J9" s="15"/>
      <c r="K9" s="15"/>
      <c r="L9" s="15"/>
    </row>
    <row r="10" spans="2:12" ht="21.75" customHeight="1">
      <c r="B10" s="666" t="s">
        <v>410</v>
      </c>
      <c r="C10" s="666"/>
      <c r="D10" s="666"/>
      <c r="E10" s="666"/>
      <c r="F10" s="666"/>
      <c r="G10" s="666"/>
      <c r="H10" s="666"/>
      <c r="I10" s="666"/>
      <c r="J10" s="666"/>
      <c r="K10" s="666"/>
      <c r="L10" s="15"/>
    </row>
    <row r="11" spans="2:12" ht="15.75">
      <c r="B11" s="15"/>
      <c r="C11" s="15"/>
      <c r="D11" s="676"/>
      <c r="E11" s="676"/>
      <c r="F11" s="676"/>
      <c r="G11" s="676"/>
      <c r="H11" s="676"/>
      <c r="I11" s="15"/>
      <c r="J11" s="15"/>
      <c r="K11" s="34" t="s">
        <v>114</v>
      </c>
      <c r="L11" s="15"/>
    </row>
    <row r="12" spans="1:12" ht="21" customHeight="1">
      <c r="A12" s="667" t="s">
        <v>486</v>
      </c>
      <c r="B12" s="667" t="s">
        <v>469</v>
      </c>
      <c r="C12" s="667" t="s">
        <v>470</v>
      </c>
      <c r="D12" s="667" t="s">
        <v>107</v>
      </c>
      <c r="E12" s="677" t="s">
        <v>466</v>
      </c>
      <c r="F12" s="677"/>
      <c r="G12" s="677"/>
      <c r="H12" s="677"/>
      <c r="I12" s="677"/>
      <c r="J12" s="708"/>
      <c r="K12" s="674" t="s">
        <v>472</v>
      </c>
      <c r="L12" s="15"/>
    </row>
    <row r="13" spans="1:12" ht="15.75" customHeight="1">
      <c r="A13" s="668"/>
      <c r="B13" s="668"/>
      <c r="C13" s="668"/>
      <c r="D13" s="668"/>
      <c r="E13" s="667">
        <v>2022</v>
      </c>
      <c r="F13" s="771">
        <v>2023</v>
      </c>
      <c r="G13" s="677"/>
      <c r="H13" s="677"/>
      <c r="I13" s="708"/>
      <c r="J13" s="674">
        <v>2024</v>
      </c>
      <c r="K13" s="674"/>
      <c r="L13" s="15"/>
    </row>
    <row r="14" spans="1:12" ht="15.75" customHeight="1">
      <c r="A14" s="669"/>
      <c r="B14" s="669"/>
      <c r="C14" s="669"/>
      <c r="D14" s="669"/>
      <c r="E14" s="669"/>
      <c r="F14" s="772"/>
      <c r="G14" s="773"/>
      <c r="H14" s="773"/>
      <c r="I14" s="774"/>
      <c r="J14" s="674"/>
      <c r="K14" s="674"/>
      <c r="L14" s="15"/>
    </row>
    <row r="15" spans="1:12" ht="26.25" customHeight="1">
      <c r="A15" s="673">
        <v>1</v>
      </c>
      <c r="B15" s="791" t="s">
        <v>380</v>
      </c>
      <c r="C15" s="670" t="s">
        <v>195</v>
      </c>
      <c r="D15" s="795">
        <f>E15+F15+J15</f>
        <v>3977.8</v>
      </c>
      <c r="E15" s="797">
        <f>1600.5-1100.5</f>
        <v>500</v>
      </c>
      <c r="F15" s="775">
        <v>1696.5</v>
      </c>
      <c r="G15" s="776"/>
      <c r="H15" s="776"/>
      <c r="I15" s="777"/>
      <c r="J15" s="793">
        <v>1781.3</v>
      </c>
      <c r="K15" s="670" t="s">
        <v>279</v>
      </c>
      <c r="L15" s="15"/>
    </row>
    <row r="16" spans="1:12" ht="55.5" customHeight="1">
      <c r="A16" s="673"/>
      <c r="B16" s="792"/>
      <c r="C16" s="672"/>
      <c r="D16" s="796"/>
      <c r="E16" s="798"/>
      <c r="F16" s="778"/>
      <c r="G16" s="779"/>
      <c r="H16" s="779"/>
      <c r="I16" s="780"/>
      <c r="J16" s="794"/>
      <c r="K16" s="671"/>
      <c r="L16" s="15"/>
    </row>
    <row r="17" spans="1:12" ht="56.25" customHeight="1">
      <c r="A17" s="670">
        <v>2</v>
      </c>
      <c r="B17" s="791" t="s">
        <v>448</v>
      </c>
      <c r="C17" s="670" t="s">
        <v>195</v>
      </c>
      <c r="D17" s="795">
        <f>E17+F17+J17</f>
        <v>6000</v>
      </c>
      <c r="E17" s="726">
        <f>2000-600</f>
        <v>1400</v>
      </c>
      <c r="F17" s="781">
        <v>2200</v>
      </c>
      <c r="G17" s="782"/>
      <c r="H17" s="782"/>
      <c r="I17" s="783"/>
      <c r="J17" s="726">
        <v>2400</v>
      </c>
      <c r="K17" s="671"/>
      <c r="L17" s="15"/>
    </row>
    <row r="18" spans="1:12" ht="54.75" customHeight="1">
      <c r="A18" s="672"/>
      <c r="B18" s="792"/>
      <c r="C18" s="672"/>
      <c r="D18" s="796"/>
      <c r="E18" s="727"/>
      <c r="F18" s="784"/>
      <c r="G18" s="785"/>
      <c r="H18" s="785"/>
      <c r="I18" s="786"/>
      <c r="J18" s="727"/>
      <c r="K18" s="671"/>
      <c r="L18" s="15"/>
    </row>
    <row r="19" spans="1:12" ht="93.75">
      <c r="A19" s="195">
        <v>3</v>
      </c>
      <c r="B19" s="372" t="s">
        <v>388</v>
      </c>
      <c r="C19" s="443" t="s">
        <v>195</v>
      </c>
      <c r="D19" s="405">
        <f>E19+F19+J19</f>
        <v>3000</v>
      </c>
      <c r="E19" s="440">
        <v>1000</v>
      </c>
      <c r="F19" s="787">
        <v>1000</v>
      </c>
      <c r="G19" s="788"/>
      <c r="H19" s="788"/>
      <c r="I19" s="789"/>
      <c r="J19" s="440">
        <v>1000</v>
      </c>
      <c r="K19" s="672"/>
      <c r="L19" s="15"/>
    </row>
    <row r="20" spans="1:12" ht="32.25" customHeight="1">
      <c r="A20" s="66"/>
      <c r="B20" s="57" t="s">
        <v>463</v>
      </c>
      <c r="C20" s="67"/>
      <c r="D20" s="94">
        <f>D15+D17+D19</f>
        <v>12977.8</v>
      </c>
      <c r="E20" s="94">
        <f aca="true" t="shared" si="0" ref="E20:J20">E15+E17+E19</f>
        <v>2900</v>
      </c>
      <c r="F20" s="768">
        <f t="shared" si="0"/>
        <v>4896.5</v>
      </c>
      <c r="G20" s="769"/>
      <c r="H20" s="769"/>
      <c r="I20" s="770"/>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49" t="s">
        <v>474</v>
      </c>
      <c r="C25" s="749"/>
      <c r="D25" s="234"/>
      <c r="E25" s="22"/>
      <c r="F25" s="22"/>
      <c r="G25" s="16"/>
      <c r="H25" s="16"/>
      <c r="I25" s="16"/>
      <c r="J25" s="23"/>
      <c r="K25" s="86" t="s">
        <v>616</v>
      </c>
      <c r="L25" s="23"/>
    </row>
    <row r="26" spans="2:12" ht="14.25" customHeight="1">
      <c r="B26" s="234"/>
      <c r="C26" s="234"/>
      <c r="D26" s="234"/>
      <c r="E26" s="22"/>
      <c r="F26" s="22"/>
      <c r="G26" s="16"/>
      <c r="H26" s="16"/>
      <c r="I26" s="16"/>
      <c r="J26" s="23"/>
      <c r="K26" s="23"/>
      <c r="L26" s="23"/>
    </row>
    <row r="27" spans="2:11" ht="18.75">
      <c r="B27" s="675" t="s">
        <v>159</v>
      </c>
      <c r="C27" s="675"/>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A15:A16"/>
    <mergeCell ref="B27:C27"/>
    <mergeCell ref="C15:C16"/>
    <mergeCell ref="D15:D16"/>
    <mergeCell ref="E15:E16"/>
    <mergeCell ref="B25:C25"/>
    <mergeCell ref="D17:D18"/>
    <mergeCell ref="E17:E18"/>
    <mergeCell ref="A12:A14"/>
    <mergeCell ref="B10:K10"/>
    <mergeCell ref="D11:H11"/>
    <mergeCell ref="A17:A18"/>
    <mergeCell ref="B15:B16"/>
    <mergeCell ref="B17:B18"/>
    <mergeCell ref="C17:C18"/>
    <mergeCell ref="B12:B14"/>
    <mergeCell ref="E12:J12"/>
    <mergeCell ref="J15:J16"/>
    <mergeCell ref="I1:J1"/>
    <mergeCell ref="I2:K2"/>
    <mergeCell ref="I6:N6"/>
    <mergeCell ref="K12:K14"/>
    <mergeCell ref="K15:K19"/>
    <mergeCell ref="C12:C14"/>
    <mergeCell ref="D12:D14"/>
    <mergeCell ref="J13:J14"/>
    <mergeCell ref="E13:E14"/>
    <mergeCell ref="J17:J18"/>
    <mergeCell ref="F20:I20"/>
    <mergeCell ref="I7:N7"/>
    <mergeCell ref="I8:K8"/>
    <mergeCell ref="F13:I14"/>
    <mergeCell ref="F15:I16"/>
    <mergeCell ref="F17:I18"/>
    <mergeCell ref="F19:I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3"/>
  <sheetViews>
    <sheetView view="pageBreakPreview" zoomScaleSheetLayoutView="100" zoomScalePageLayoutView="0" workbookViewId="0" topLeftCell="A1">
      <selection activeCell="I2" sqref="I2:N8"/>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267</v>
      </c>
      <c r="J1"/>
      <c r="K1" s="13" t="s">
        <v>475</v>
      </c>
    </row>
    <row r="2" spans="2:15" ht="15.75">
      <c r="B2" s="81"/>
      <c r="C2" s="15"/>
      <c r="D2" s="15"/>
      <c r="E2" s="15"/>
      <c r="F2" s="15"/>
      <c r="G2" s="15"/>
      <c r="H2" s="15"/>
      <c r="I2" s="12" t="s">
        <v>468</v>
      </c>
      <c r="J2" s="12"/>
      <c r="K2" s="15"/>
      <c r="L2" s="12"/>
      <c r="M2" s="12"/>
      <c r="N2" s="12"/>
      <c r="O2" s="14"/>
    </row>
    <row r="3" spans="2:15" ht="15.75">
      <c r="B3" s="81"/>
      <c r="C3" s="15"/>
      <c r="D3" s="15"/>
      <c r="E3" s="15"/>
      <c r="F3" s="15"/>
      <c r="G3" s="15"/>
      <c r="H3" s="15"/>
      <c r="I3" s="12" t="s">
        <v>639</v>
      </c>
      <c r="J3" s="12"/>
      <c r="K3" s="15"/>
      <c r="L3" s="12"/>
      <c r="M3" s="12"/>
      <c r="N3" s="12"/>
      <c r="O3" s="14"/>
    </row>
    <row r="4" spans="2:15" ht="15.75">
      <c r="B4" s="81"/>
      <c r="C4" s="15"/>
      <c r="D4" s="15"/>
      <c r="E4" s="15"/>
      <c r="F4" s="15"/>
      <c r="G4" s="15"/>
      <c r="H4" s="15"/>
      <c r="I4" s="17" t="s">
        <v>161</v>
      </c>
      <c r="J4" s="17"/>
      <c r="K4" s="15"/>
      <c r="L4" s="12"/>
      <c r="M4" s="12"/>
      <c r="N4" s="12"/>
      <c r="O4" s="14"/>
    </row>
    <row r="5" spans="2:15" ht="15.75">
      <c r="B5" s="81"/>
      <c r="C5" s="15"/>
      <c r="D5" s="15"/>
      <c r="E5" s="15"/>
      <c r="F5" s="15"/>
      <c r="G5" s="15"/>
      <c r="H5" s="15"/>
      <c r="I5" s="17" t="s">
        <v>369</v>
      </c>
      <c r="J5" s="17"/>
      <c r="K5" s="15"/>
      <c r="L5" s="12"/>
      <c r="M5" s="12"/>
      <c r="N5" s="12"/>
      <c r="O5" s="14"/>
    </row>
    <row r="6" spans="2:15" ht="15.75" customHeight="1">
      <c r="B6" s="81"/>
      <c r="C6" s="15"/>
      <c r="D6" s="15"/>
      <c r="E6" s="15"/>
      <c r="F6" s="15"/>
      <c r="G6" s="15"/>
      <c r="H6" s="15"/>
      <c r="I6" s="17" t="s">
        <v>581</v>
      </c>
      <c r="J6" s="17"/>
      <c r="K6" s="217"/>
      <c r="L6" s="12"/>
      <c r="M6" s="12"/>
      <c r="N6" s="12"/>
      <c r="O6" s="14"/>
    </row>
    <row r="7" spans="2:15" ht="15.75" customHeight="1">
      <c r="B7" s="81"/>
      <c r="C7" s="15"/>
      <c r="D7" s="15"/>
      <c r="E7" s="15"/>
      <c r="F7" s="15"/>
      <c r="G7" s="15"/>
      <c r="H7" s="15"/>
      <c r="I7" s="17" t="s">
        <v>640</v>
      </c>
      <c r="J7" s="17"/>
      <c r="K7" s="217"/>
      <c r="L7" s="12"/>
      <c r="M7" s="12"/>
      <c r="N7" s="12"/>
      <c r="O7" s="14"/>
    </row>
    <row r="8" spans="2:15" ht="15.75" customHeight="1">
      <c r="B8" s="81"/>
      <c r="C8" s="15"/>
      <c r="D8" s="15"/>
      <c r="E8" s="15"/>
      <c r="F8" s="15"/>
      <c r="G8" s="15"/>
      <c r="I8" s="665" t="s">
        <v>641</v>
      </c>
      <c r="J8" s="665"/>
      <c r="K8" s="665"/>
      <c r="L8" s="665"/>
      <c r="M8" s="665"/>
      <c r="N8" s="665"/>
      <c r="O8" s="14"/>
    </row>
    <row r="9" spans="2:11" ht="15.75">
      <c r="B9" s="81"/>
      <c r="C9" s="15"/>
      <c r="D9" s="15"/>
      <c r="E9" s="15"/>
      <c r="F9" s="15"/>
      <c r="G9" s="15"/>
      <c r="H9" s="15"/>
      <c r="I9" s="15"/>
      <c r="J9" s="15"/>
      <c r="K9" s="15"/>
    </row>
    <row r="10" spans="1:11" ht="18.75" customHeight="1">
      <c r="A10" s="700" t="s">
        <v>415</v>
      </c>
      <c r="B10" s="700"/>
      <c r="C10" s="700"/>
      <c r="D10" s="700"/>
      <c r="E10" s="700"/>
      <c r="F10" s="700"/>
      <c r="G10" s="700"/>
      <c r="H10" s="700"/>
      <c r="I10" s="700"/>
      <c r="J10" s="700"/>
      <c r="K10" s="15"/>
    </row>
    <row r="11" spans="2:11" ht="15.75">
      <c r="B11" s="81"/>
      <c r="C11" s="15"/>
      <c r="D11" s="676"/>
      <c r="E11" s="676"/>
      <c r="F11" s="676"/>
      <c r="G11" s="676"/>
      <c r="H11" s="676"/>
      <c r="I11" s="15"/>
      <c r="J11" s="34" t="s">
        <v>102</v>
      </c>
      <c r="K11" s="15"/>
    </row>
    <row r="12" spans="1:11" ht="15.75" customHeight="1">
      <c r="A12" s="674" t="s">
        <v>464</v>
      </c>
      <c r="B12" s="645" t="s">
        <v>469</v>
      </c>
      <c r="C12" s="771" t="s">
        <v>470</v>
      </c>
      <c r="D12" s="667" t="s">
        <v>105</v>
      </c>
      <c r="E12" s="771" t="s">
        <v>466</v>
      </c>
      <c r="F12" s="677"/>
      <c r="G12" s="677"/>
      <c r="H12" s="677"/>
      <c r="I12" s="677"/>
      <c r="J12" s="674" t="s">
        <v>472</v>
      </c>
      <c r="K12" s="15"/>
    </row>
    <row r="13" spans="1:11" ht="15.75" customHeight="1">
      <c r="A13" s="674"/>
      <c r="B13" s="645"/>
      <c r="C13" s="805"/>
      <c r="D13" s="668"/>
      <c r="E13" s="667">
        <v>2022</v>
      </c>
      <c r="F13" s="771">
        <v>2023</v>
      </c>
      <c r="G13" s="677"/>
      <c r="H13" s="708"/>
      <c r="I13" s="667">
        <v>2024</v>
      </c>
      <c r="J13" s="674"/>
      <c r="K13" s="15"/>
    </row>
    <row r="14" spans="1:11" ht="23.25" customHeight="1">
      <c r="A14" s="674"/>
      <c r="B14" s="645"/>
      <c r="C14" s="772"/>
      <c r="D14" s="669"/>
      <c r="E14" s="669"/>
      <c r="F14" s="772"/>
      <c r="G14" s="773"/>
      <c r="H14" s="774"/>
      <c r="I14" s="669"/>
      <c r="J14" s="674"/>
      <c r="K14" s="15"/>
    </row>
    <row r="15" spans="1:13" ht="56.25" customHeight="1" hidden="1">
      <c r="A15" s="35">
        <v>1</v>
      </c>
      <c r="B15" s="104" t="s">
        <v>459</v>
      </c>
      <c r="C15" s="103" t="s">
        <v>533</v>
      </c>
      <c r="D15" s="64">
        <f aca="true" t="shared" si="0" ref="D15:D21">E15</f>
        <v>10230</v>
      </c>
      <c r="E15" s="80">
        <f>E16+E17+E18+E19+E20+E21</f>
        <v>10230</v>
      </c>
      <c r="F15" s="80">
        <f>F16+F17+F18+F19+F20+F21</f>
        <v>0</v>
      </c>
      <c r="G15" s="80">
        <f>G16+G17+G18+G19+G20+G21</f>
        <v>0</v>
      </c>
      <c r="H15" s="80">
        <f>H16+H17+H18+H19+H20+H21</f>
        <v>0</v>
      </c>
      <c r="I15" s="80">
        <f>I16+I17+I18+I19+I20+I21</f>
        <v>0</v>
      </c>
      <c r="J15" s="35" t="s">
        <v>491</v>
      </c>
      <c r="K15" s="15"/>
      <c r="M15" s="102"/>
    </row>
    <row r="16" spans="1:13" ht="42" customHeight="1" hidden="1">
      <c r="A16" s="35"/>
      <c r="B16" s="181" t="s">
        <v>10</v>
      </c>
      <c r="C16" s="103" t="s">
        <v>533</v>
      </c>
      <c r="D16" s="64">
        <f t="shared" si="0"/>
        <v>1980</v>
      </c>
      <c r="E16" s="182">
        <v>1980</v>
      </c>
      <c r="F16" s="70"/>
      <c r="G16" s="60"/>
      <c r="H16" s="60"/>
      <c r="I16" s="105"/>
      <c r="J16" s="35"/>
      <c r="K16" s="15"/>
      <c r="M16" s="102"/>
    </row>
    <row r="17" spans="1:13" ht="48" customHeight="1" hidden="1">
      <c r="A17" s="35"/>
      <c r="B17" s="181" t="s">
        <v>11</v>
      </c>
      <c r="C17" s="103" t="s">
        <v>533</v>
      </c>
      <c r="D17" s="64">
        <f t="shared" si="0"/>
        <v>3000</v>
      </c>
      <c r="E17" s="182">
        <v>3000</v>
      </c>
      <c r="F17" s="70"/>
      <c r="G17" s="60"/>
      <c r="H17" s="60"/>
      <c r="I17" s="105"/>
      <c r="J17" s="35"/>
      <c r="K17" s="15"/>
      <c r="M17" s="102"/>
    </row>
    <row r="18" spans="1:13" ht="63" customHeight="1" hidden="1">
      <c r="A18" s="35"/>
      <c r="B18" s="181" t="s">
        <v>106</v>
      </c>
      <c r="C18" s="103" t="s">
        <v>533</v>
      </c>
      <c r="D18" s="64">
        <f t="shared" si="0"/>
        <v>3700</v>
      </c>
      <c r="E18" s="163">
        <v>3700</v>
      </c>
      <c r="F18" s="70"/>
      <c r="G18" s="60"/>
      <c r="H18" s="60"/>
      <c r="I18" s="105"/>
      <c r="J18" s="35"/>
      <c r="K18" s="15"/>
      <c r="M18" s="102"/>
    </row>
    <row r="19" spans="1:13" ht="60.75" customHeight="1" hidden="1">
      <c r="A19" s="71"/>
      <c r="B19" s="181" t="s">
        <v>12</v>
      </c>
      <c r="C19" s="103" t="s">
        <v>533</v>
      </c>
      <c r="D19" s="64">
        <f t="shared" si="0"/>
        <v>350</v>
      </c>
      <c r="E19" s="163">
        <v>350</v>
      </c>
      <c r="F19" s="70"/>
      <c r="G19" s="60"/>
      <c r="H19" s="60"/>
      <c r="I19" s="105"/>
      <c r="J19" s="35"/>
      <c r="K19" s="15"/>
      <c r="M19" s="102"/>
    </row>
    <row r="20" spans="1:13" ht="56.25" customHeight="1" hidden="1">
      <c r="A20" s="35"/>
      <c r="B20" s="181" t="s">
        <v>13</v>
      </c>
      <c r="C20" s="103" t="s">
        <v>533</v>
      </c>
      <c r="D20" s="64">
        <f t="shared" si="0"/>
        <v>500</v>
      </c>
      <c r="E20" s="163">
        <v>500</v>
      </c>
      <c r="F20" s="70"/>
      <c r="G20" s="60"/>
      <c r="H20" s="60"/>
      <c r="I20" s="106"/>
      <c r="J20" s="35"/>
      <c r="K20" s="15"/>
      <c r="M20" s="102"/>
    </row>
    <row r="21" spans="1:13" ht="59.25" customHeight="1" hidden="1">
      <c r="A21" s="35"/>
      <c r="B21" s="181" t="s">
        <v>14</v>
      </c>
      <c r="C21" s="103" t="s">
        <v>533</v>
      </c>
      <c r="D21" s="64">
        <f t="shared" si="0"/>
        <v>700</v>
      </c>
      <c r="E21" s="163">
        <v>700</v>
      </c>
      <c r="F21" s="70"/>
      <c r="G21" s="60"/>
      <c r="H21" s="60"/>
      <c r="I21" s="106"/>
      <c r="J21" s="35"/>
      <c r="K21" s="15"/>
      <c r="M21" s="102"/>
    </row>
    <row r="22" spans="1:13" ht="57" customHeight="1" hidden="1">
      <c r="A22" s="35">
        <v>2</v>
      </c>
      <c r="B22" s="104" t="s">
        <v>460</v>
      </c>
      <c r="C22" s="103" t="s">
        <v>533</v>
      </c>
      <c r="D22" s="64">
        <f>E22+F22</f>
        <v>25400</v>
      </c>
      <c r="E22" s="80">
        <f>E23+E24+E25+E26</f>
        <v>10400</v>
      </c>
      <c r="F22" s="80">
        <f>F23+F24+F25+F26+F27+F28+F29</f>
        <v>15000</v>
      </c>
      <c r="G22" s="80">
        <f>G23+G24+G25+G26+G27+G28+G29</f>
        <v>0</v>
      </c>
      <c r="H22" s="80">
        <f>H23+H24+H25+H26+H27+H28+H29</f>
        <v>0</v>
      </c>
      <c r="I22" s="80">
        <f>I23+I24+I25+I26+I27+I28+I29</f>
        <v>0</v>
      </c>
      <c r="J22" s="35" t="s">
        <v>492</v>
      </c>
      <c r="K22" s="15"/>
      <c r="M22" s="102"/>
    </row>
    <row r="23" spans="1:13" ht="45" customHeight="1" hidden="1">
      <c r="A23" s="35"/>
      <c r="B23" s="181" t="s">
        <v>15</v>
      </c>
      <c r="C23" s="103" t="s">
        <v>533</v>
      </c>
      <c r="D23" s="64">
        <f aca="true" t="shared" si="1" ref="D23:D29">E23+F23</f>
        <v>4000</v>
      </c>
      <c r="E23" s="163">
        <v>4000</v>
      </c>
      <c r="F23" s="70"/>
      <c r="G23" s="60"/>
      <c r="H23" s="60"/>
      <c r="I23" s="105"/>
      <c r="J23" s="35"/>
      <c r="K23" s="15"/>
      <c r="M23" s="102"/>
    </row>
    <row r="24" spans="1:13" ht="48" customHeight="1" hidden="1">
      <c r="A24" s="35"/>
      <c r="B24" s="181" t="s">
        <v>16</v>
      </c>
      <c r="C24" s="103" t="s">
        <v>533</v>
      </c>
      <c r="D24" s="64">
        <f t="shared" si="1"/>
        <v>2500</v>
      </c>
      <c r="E24" s="163">
        <v>2500</v>
      </c>
      <c r="F24" s="70"/>
      <c r="G24" s="60"/>
      <c r="H24" s="60"/>
      <c r="I24" s="105"/>
      <c r="J24" s="35"/>
      <c r="K24" s="15"/>
      <c r="M24" s="102"/>
    </row>
    <row r="25" spans="1:13" ht="38.25" customHeight="1" hidden="1">
      <c r="A25" s="35"/>
      <c r="B25" s="181" t="s">
        <v>17</v>
      </c>
      <c r="C25" s="103" t="s">
        <v>533</v>
      </c>
      <c r="D25" s="64">
        <f t="shared" si="1"/>
        <v>3000</v>
      </c>
      <c r="E25" s="163">
        <v>3000</v>
      </c>
      <c r="F25" s="70"/>
      <c r="G25" s="60"/>
      <c r="H25" s="60"/>
      <c r="I25" s="105"/>
      <c r="J25" s="35"/>
      <c r="K25" s="15"/>
      <c r="M25" s="102"/>
    </row>
    <row r="26" spans="1:13" ht="45.75" customHeight="1" hidden="1">
      <c r="A26" s="35"/>
      <c r="B26" s="181" t="s">
        <v>18</v>
      </c>
      <c r="C26" s="103" t="s">
        <v>533</v>
      </c>
      <c r="D26" s="64">
        <f t="shared" si="1"/>
        <v>900</v>
      </c>
      <c r="E26" s="163">
        <v>900</v>
      </c>
      <c r="F26" s="70"/>
      <c r="G26" s="60"/>
      <c r="H26" s="60"/>
      <c r="I26" s="105"/>
      <c r="J26" s="35"/>
      <c r="K26" s="15"/>
      <c r="M26" s="102"/>
    </row>
    <row r="27" spans="1:13" ht="45.75" customHeight="1" hidden="1">
      <c r="A27" s="35"/>
      <c r="B27" s="181" t="s">
        <v>58</v>
      </c>
      <c r="C27" s="103" t="s">
        <v>533</v>
      </c>
      <c r="D27" s="64">
        <f t="shared" si="1"/>
        <v>5000</v>
      </c>
      <c r="E27" s="163"/>
      <c r="F27" s="70">
        <v>5000</v>
      </c>
      <c r="G27" s="60"/>
      <c r="H27" s="60"/>
      <c r="I27" s="105"/>
      <c r="J27" s="35"/>
      <c r="K27" s="15"/>
      <c r="M27" s="102"/>
    </row>
    <row r="28" spans="1:13" ht="45.75" customHeight="1" hidden="1">
      <c r="A28" s="35"/>
      <c r="B28" s="181" t="s">
        <v>59</v>
      </c>
      <c r="C28" s="103" t="s">
        <v>533</v>
      </c>
      <c r="D28" s="64">
        <f t="shared" si="1"/>
        <v>7000</v>
      </c>
      <c r="E28" s="163"/>
      <c r="F28" s="70">
        <v>7000</v>
      </c>
      <c r="G28" s="60"/>
      <c r="H28" s="60"/>
      <c r="I28" s="105"/>
      <c r="J28" s="35"/>
      <c r="K28" s="15"/>
      <c r="M28" s="102"/>
    </row>
    <row r="29" spans="1:13" ht="45.75" customHeight="1" hidden="1">
      <c r="A29" s="35"/>
      <c r="B29" s="181" t="s">
        <v>60</v>
      </c>
      <c r="C29" s="103" t="s">
        <v>533</v>
      </c>
      <c r="D29" s="64">
        <f t="shared" si="1"/>
        <v>3000</v>
      </c>
      <c r="E29" s="163"/>
      <c r="F29" s="70">
        <v>3000</v>
      </c>
      <c r="G29" s="60"/>
      <c r="H29" s="60"/>
      <c r="I29" s="105"/>
      <c r="J29" s="35"/>
      <c r="K29" s="15"/>
      <c r="M29" s="102"/>
    </row>
    <row r="30" spans="1:13" ht="41.25" customHeight="1">
      <c r="A30" s="35">
        <v>1</v>
      </c>
      <c r="B30" s="104" t="s">
        <v>494</v>
      </c>
      <c r="C30" s="103" t="s">
        <v>288</v>
      </c>
      <c r="D30" s="471">
        <f>E30+F30</f>
        <v>0</v>
      </c>
      <c r="E30" s="479">
        <f>E31</f>
        <v>0</v>
      </c>
      <c r="F30" s="94">
        <v>0</v>
      </c>
      <c r="G30" s="94">
        <f>G34+G35</f>
        <v>0</v>
      </c>
      <c r="H30" s="94">
        <f>H34+H35</f>
        <v>0</v>
      </c>
      <c r="I30" s="94">
        <f>I34+I35</f>
        <v>0</v>
      </c>
      <c r="J30" s="35" t="s">
        <v>283</v>
      </c>
      <c r="K30" s="15"/>
      <c r="M30" s="102"/>
    </row>
    <row r="31" spans="1:13" ht="42.75" customHeight="1">
      <c r="A31" s="35"/>
      <c r="B31" s="183" t="s">
        <v>416</v>
      </c>
      <c r="C31" s="103" t="s">
        <v>288</v>
      </c>
      <c r="D31" s="471">
        <f aca="true" t="shared" si="2" ref="D31:D44">E31</f>
        <v>0</v>
      </c>
      <c r="E31" s="480">
        <f>3800-3800</f>
        <v>0</v>
      </c>
      <c r="F31" s="430"/>
      <c r="G31" s="95"/>
      <c r="H31" s="95"/>
      <c r="I31" s="481"/>
      <c r="J31" s="35"/>
      <c r="K31" s="15"/>
      <c r="M31" s="102"/>
    </row>
    <row r="32" spans="1:13" ht="36.75" customHeight="1" hidden="1">
      <c r="A32" s="35"/>
      <c r="B32" s="183" t="s">
        <v>19</v>
      </c>
      <c r="C32" s="103" t="s">
        <v>231</v>
      </c>
      <c r="D32" s="471">
        <f t="shared" si="2"/>
        <v>0</v>
      </c>
      <c r="E32" s="480"/>
      <c r="F32" s="430"/>
      <c r="G32" s="95"/>
      <c r="H32" s="95"/>
      <c r="I32" s="481"/>
      <c r="J32" s="35"/>
      <c r="K32" s="15"/>
      <c r="M32" s="102"/>
    </row>
    <row r="33" spans="1:13" ht="51" customHeight="1" hidden="1">
      <c r="A33" s="35"/>
      <c r="B33" s="183" t="s">
        <v>20</v>
      </c>
      <c r="C33" s="103" t="s">
        <v>231</v>
      </c>
      <c r="D33" s="471">
        <f t="shared" si="2"/>
        <v>0</v>
      </c>
      <c r="E33" s="480"/>
      <c r="F33" s="430"/>
      <c r="G33" s="95"/>
      <c r="H33" s="95"/>
      <c r="I33" s="481"/>
      <c r="J33" s="35"/>
      <c r="K33" s="15"/>
      <c r="M33" s="102"/>
    </row>
    <row r="34" spans="1:13" ht="51" customHeight="1" hidden="1">
      <c r="A34" s="35"/>
      <c r="B34" s="183" t="s">
        <v>84</v>
      </c>
      <c r="C34" s="103" t="s">
        <v>231</v>
      </c>
      <c r="D34" s="471">
        <f>E34+F34</f>
        <v>0</v>
      </c>
      <c r="E34" s="480"/>
      <c r="F34" s="430"/>
      <c r="G34" s="95"/>
      <c r="H34" s="95"/>
      <c r="I34" s="481"/>
      <c r="J34" s="35"/>
      <c r="K34" s="15"/>
      <c r="M34" s="102"/>
    </row>
    <row r="35" spans="1:13" ht="51" customHeight="1" hidden="1">
      <c r="A35" s="35"/>
      <c r="B35" s="183" t="s">
        <v>85</v>
      </c>
      <c r="C35" s="103" t="s">
        <v>231</v>
      </c>
      <c r="D35" s="471">
        <f>E35+F35</f>
        <v>0</v>
      </c>
      <c r="E35" s="480"/>
      <c r="F35" s="430"/>
      <c r="G35" s="95"/>
      <c r="H35" s="95"/>
      <c r="I35" s="481"/>
      <c r="J35" s="35"/>
      <c r="K35" s="15"/>
      <c r="M35" s="102"/>
    </row>
    <row r="36" spans="1:13" ht="51" customHeight="1" hidden="1">
      <c r="A36" s="35"/>
      <c r="B36" s="183" t="s">
        <v>89</v>
      </c>
      <c r="C36" s="103" t="s">
        <v>231</v>
      </c>
      <c r="D36" s="471">
        <f>E36+F36</f>
        <v>0</v>
      </c>
      <c r="E36" s="480"/>
      <c r="F36" s="430"/>
      <c r="G36" s="95"/>
      <c r="H36" s="95"/>
      <c r="I36" s="481"/>
      <c r="J36" s="35"/>
      <c r="K36" s="15"/>
      <c r="M36" s="102"/>
    </row>
    <row r="37" spans="1:13" ht="51" customHeight="1" hidden="1">
      <c r="A37" s="35"/>
      <c r="B37" s="183" t="s">
        <v>90</v>
      </c>
      <c r="C37" s="103" t="s">
        <v>231</v>
      </c>
      <c r="D37" s="471">
        <f>E37+F37</f>
        <v>0</v>
      </c>
      <c r="E37" s="480"/>
      <c r="F37" s="430"/>
      <c r="G37" s="95"/>
      <c r="H37" s="95"/>
      <c r="I37" s="481"/>
      <c r="J37" s="35"/>
      <c r="K37" s="15"/>
      <c r="M37" s="102"/>
    </row>
    <row r="38" spans="1:13" ht="47.25" customHeight="1" hidden="1">
      <c r="A38" s="35">
        <v>2</v>
      </c>
      <c r="B38" s="104" t="s">
        <v>461</v>
      </c>
      <c r="C38" s="103" t="s">
        <v>288</v>
      </c>
      <c r="D38" s="471">
        <f>E38+F38+I38</f>
        <v>0</v>
      </c>
      <c r="E38" s="479">
        <f>E39</f>
        <v>0</v>
      </c>
      <c r="F38" s="479">
        <f>F39+F40+F41+F42</f>
        <v>0</v>
      </c>
      <c r="G38" s="479">
        <f>G39+G40+G41+G42</f>
        <v>0</v>
      </c>
      <c r="H38" s="479">
        <f>H39+H40+H41+H42</f>
        <v>0</v>
      </c>
      <c r="I38" s="479">
        <f>I39+I40+I41+I42</f>
        <v>0</v>
      </c>
      <c r="J38" s="35" t="s">
        <v>284</v>
      </c>
      <c r="K38" s="15"/>
      <c r="M38" s="102"/>
    </row>
    <row r="39" spans="1:13" ht="45" customHeight="1" hidden="1">
      <c r="A39" s="35"/>
      <c r="B39" s="181" t="s">
        <v>232</v>
      </c>
      <c r="C39" s="103" t="s">
        <v>288</v>
      </c>
      <c r="D39" s="471">
        <f t="shared" si="2"/>
        <v>0</v>
      </c>
      <c r="E39" s="482"/>
      <c r="F39" s="430"/>
      <c r="G39" s="95"/>
      <c r="H39" s="95"/>
      <c r="I39" s="483"/>
      <c r="J39" s="35"/>
      <c r="K39" s="15"/>
      <c r="M39" s="102"/>
    </row>
    <row r="40" spans="1:13" ht="67.5" customHeight="1" hidden="1">
      <c r="A40" s="35"/>
      <c r="B40" s="181" t="s">
        <v>21</v>
      </c>
      <c r="C40" s="103" t="s">
        <v>533</v>
      </c>
      <c r="D40" s="471">
        <f t="shared" si="2"/>
        <v>0</v>
      </c>
      <c r="E40" s="482"/>
      <c r="F40" s="430"/>
      <c r="G40" s="95"/>
      <c r="H40" s="95"/>
      <c r="I40" s="483"/>
      <c r="J40" s="35"/>
      <c r="K40" s="15"/>
      <c r="M40" s="102"/>
    </row>
    <row r="41" spans="1:13" ht="67.5" customHeight="1" hidden="1">
      <c r="A41" s="35"/>
      <c r="B41" s="181" t="s">
        <v>27</v>
      </c>
      <c r="C41" s="103" t="s">
        <v>533</v>
      </c>
      <c r="D41" s="471">
        <f t="shared" si="2"/>
        <v>0</v>
      </c>
      <c r="E41" s="482"/>
      <c r="F41" s="430"/>
      <c r="G41" s="95"/>
      <c r="H41" s="95"/>
      <c r="I41" s="483"/>
      <c r="J41" s="35"/>
      <c r="K41" s="15"/>
      <c r="M41" s="102"/>
    </row>
    <row r="42" spans="1:13" ht="63" customHeight="1" hidden="1">
      <c r="A42" s="35"/>
      <c r="B42" s="181" t="s">
        <v>22</v>
      </c>
      <c r="C42" s="103" t="s">
        <v>533</v>
      </c>
      <c r="D42" s="471">
        <f t="shared" si="2"/>
        <v>0</v>
      </c>
      <c r="E42" s="482"/>
      <c r="F42" s="430"/>
      <c r="G42" s="95"/>
      <c r="H42" s="95"/>
      <c r="I42" s="484"/>
      <c r="J42" s="35"/>
      <c r="K42" s="15"/>
      <c r="M42" s="102"/>
    </row>
    <row r="43" spans="1:13" ht="39.75" customHeight="1">
      <c r="A43" s="166">
        <v>2</v>
      </c>
      <c r="B43" s="457" t="s">
        <v>418</v>
      </c>
      <c r="C43" s="373"/>
      <c r="D43" s="441">
        <f>E43+F43+I43</f>
        <v>0</v>
      </c>
      <c r="E43" s="485">
        <f>E44</f>
        <v>0</v>
      </c>
      <c r="F43" s="485">
        <f>F44</f>
        <v>0</v>
      </c>
      <c r="G43" s="485">
        <f>G44</f>
        <v>0</v>
      </c>
      <c r="H43" s="485">
        <f>H44</f>
        <v>0</v>
      </c>
      <c r="I43" s="485">
        <f>I44</f>
        <v>0</v>
      </c>
      <c r="J43" s="166"/>
      <c r="K43" s="15"/>
      <c r="M43" s="102"/>
    </row>
    <row r="44" spans="1:13" ht="21" customHeight="1">
      <c r="A44" s="166"/>
      <c r="B44" s="458" t="s">
        <v>417</v>
      </c>
      <c r="C44" s="373" t="s">
        <v>288</v>
      </c>
      <c r="D44" s="441">
        <f t="shared" si="2"/>
        <v>0</v>
      </c>
      <c r="E44" s="486">
        <f>3000-3000</f>
        <v>0</v>
      </c>
      <c r="F44" s="371"/>
      <c r="G44" s="95"/>
      <c r="H44" s="95"/>
      <c r="I44" s="487"/>
      <c r="J44" s="166"/>
      <c r="K44" s="15"/>
      <c r="M44" s="102"/>
    </row>
    <row r="45" spans="1:13" ht="25.5" customHeight="1">
      <c r="A45" s="670">
        <v>3</v>
      </c>
      <c r="B45" s="799" t="s">
        <v>285</v>
      </c>
      <c r="C45" s="806" t="s">
        <v>288</v>
      </c>
      <c r="D45" s="728">
        <f>E45+F45+I45</f>
        <v>0</v>
      </c>
      <c r="E45" s="803">
        <f>E53+E47+E48+E49+E50+E51</f>
        <v>0</v>
      </c>
      <c r="F45" s="803">
        <f>F53</f>
        <v>0</v>
      </c>
      <c r="G45" s="479" t="e">
        <f>#REF!+#REF!+#REF!+#REF!+#REF!+#REF!+G47+G48+G49+G50+G51+G52+#REF!+#REF!+#REF!+#REF!+#REF!+#REF!</f>
        <v>#REF!</v>
      </c>
      <c r="H45" s="479" t="e">
        <f>#REF!+#REF!+#REF!+#REF!+#REF!+#REF!+H47+H48+H49+H50+H51+H52+#REF!+#REF!+#REF!+#REF!+#REF!+#REF!</f>
        <v>#REF!</v>
      </c>
      <c r="I45" s="803">
        <f>I53</f>
        <v>0</v>
      </c>
      <c r="J45" s="670" t="s">
        <v>286</v>
      </c>
      <c r="K45" s="15"/>
      <c r="M45" s="102"/>
    </row>
    <row r="46" spans="1:13" ht="19.5" customHeight="1">
      <c r="A46" s="672"/>
      <c r="B46" s="800"/>
      <c r="C46" s="807"/>
      <c r="D46" s="729"/>
      <c r="E46" s="804"/>
      <c r="F46" s="804"/>
      <c r="G46" s="374"/>
      <c r="H46" s="374"/>
      <c r="I46" s="804"/>
      <c r="J46" s="672"/>
      <c r="K46" s="15"/>
      <c r="M46" s="102"/>
    </row>
    <row r="47" spans="1:16" s="52" customFormat="1" ht="38.25" customHeight="1">
      <c r="A47" s="63"/>
      <c r="B47" s="181" t="s">
        <v>431</v>
      </c>
      <c r="C47" s="103" t="s">
        <v>288</v>
      </c>
      <c r="D47" s="471">
        <f>E47+F47</f>
        <v>0</v>
      </c>
      <c r="E47" s="180">
        <f>1600-1600</f>
        <v>0</v>
      </c>
      <c r="F47" s="173"/>
      <c r="G47" s="440"/>
      <c r="H47" s="440"/>
      <c r="I47" s="481"/>
      <c r="J47" s="63"/>
      <c r="K47" s="410"/>
      <c r="L47" s="102"/>
      <c r="M47" s="102"/>
      <c r="N47" s="102"/>
      <c r="O47" s="102"/>
      <c r="P47" s="102"/>
    </row>
    <row r="48" spans="1:13" ht="38.25" customHeight="1">
      <c r="A48" s="63"/>
      <c r="B48" s="181" t="s">
        <v>432</v>
      </c>
      <c r="C48" s="103" t="s">
        <v>288</v>
      </c>
      <c r="D48" s="471">
        <f>E48+F48</f>
        <v>0</v>
      </c>
      <c r="E48" s="180"/>
      <c r="F48" s="173"/>
      <c r="G48" s="440"/>
      <c r="H48" s="440"/>
      <c r="I48" s="481"/>
      <c r="J48" s="63"/>
      <c r="K48" s="15"/>
      <c r="M48" s="102"/>
    </row>
    <row r="49" spans="1:13" ht="25.5" customHeight="1">
      <c r="A49" s="63"/>
      <c r="B49" s="181" t="s">
        <v>433</v>
      </c>
      <c r="C49" s="103" t="s">
        <v>288</v>
      </c>
      <c r="D49" s="471">
        <f>E49+F49</f>
        <v>0</v>
      </c>
      <c r="E49" s="180">
        <f>1900-1900</f>
        <v>0</v>
      </c>
      <c r="F49" s="173"/>
      <c r="G49" s="440"/>
      <c r="H49" s="440"/>
      <c r="I49" s="481"/>
      <c r="J49" s="63"/>
      <c r="K49" s="15"/>
      <c r="M49" s="102"/>
    </row>
    <row r="50" spans="1:13" ht="44.25" customHeight="1" hidden="1">
      <c r="A50" s="63"/>
      <c r="B50" s="181" t="s">
        <v>127</v>
      </c>
      <c r="C50" s="103" t="s">
        <v>288</v>
      </c>
      <c r="D50" s="471">
        <f aca="true" t="shared" si="3" ref="D50:D58">E50</f>
        <v>0</v>
      </c>
      <c r="E50" s="180"/>
      <c r="F50" s="173"/>
      <c r="G50" s="440"/>
      <c r="H50" s="440"/>
      <c r="I50" s="481"/>
      <c r="J50" s="63"/>
      <c r="K50" s="15"/>
      <c r="M50" s="102"/>
    </row>
    <row r="51" spans="1:13" ht="36.75" customHeight="1">
      <c r="A51" s="63"/>
      <c r="B51" s="181" t="s">
        <v>434</v>
      </c>
      <c r="C51" s="103" t="s">
        <v>288</v>
      </c>
      <c r="D51" s="471">
        <f t="shared" si="3"/>
        <v>0</v>
      </c>
      <c r="E51" s="180"/>
      <c r="F51" s="173"/>
      <c r="G51" s="440"/>
      <c r="H51" s="440"/>
      <c r="I51" s="481"/>
      <c r="J51" s="63"/>
      <c r="K51" s="15"/>
      <c r="M51" s="102"/>
    </row>
    <row r="52" spans="1:13" ht="38.25" customHeight="1" hidden="1">
      <c r="A52" s="63"/>
      <c r="B52" s="181" t="s">
        <v>23</v>
      </c>
      <c r="C52" s="103" t="s">
        <v>533</v>
      </c>
      <c r="D52" s="471">
        <f t="shared" si="3"/>
        <v>0</v>
      </c>
      <c r="E52" s="180"/>
      <c r="F52" s="173"/>
      <c r="G52" s="440"/>
      <c r="H52" s="440"/>
      <c r="I52" s="481"/>
      <c r="J52" s="63"/>
      <c r="K52" s="15"/>
      <c r="M52" s="102"/>
    </row>
    <row r="53" spans="1:16" s="52" customFormat="1" ht="38.25" customHeight="1" hidden="1">
      <c r="A53" s="63"/>
      <c r="B53" s="181" t="s">
        <v>233</v>
      </c>
      <c r="C53" s="103" t="s">
        <v>288</v>
      </c>
      <c r="D53" s="471">
        <f>E53+F53+I53</f>
        <v>0</v>
      </c>
      <c r="E53" s="180"/>
      <c r="F53" s="173"/>
      <c r="G53" s="440"/>
      <c r="H53" s="440"/>
      <c r="I53" s="481"/>
      <c r="J53" s="63"/>
      <c r="K53" s="410"/>
      <c r="L53" s="102"/>
      <c r="M53" s="102"/>
      <c r="N53" s="102"/>
      <c r="O53" s="102"/>
      <c r="P53" s="102"/>
    </row>
    <row r="54" spans="1:13" ht="22.5" customHeight="1" hidden="1">
      <c r="A54" s="670">
        <v>6</v>
      </c>
      <c r="B54" s="799" t="s">
        <v>462</v>
      </c>
      <c r="C54" s="103" t="s">
        <v>533</v>
      </c>
      <c r="D54" s="471">
        <f>E54+F54+I54</f>
        <v>6506.2</v>
      </c>
      <c r="E54" s="479">
        <f>E56+E57+E58</f>
        <v>3006.2</v>
      </c>
      <c r="F54" s="479">
        <f>F56+F57+F58+F59</f>
        <v>3500</v>
      </c>
      <c r="G54" s="479">
        <f>G56+G57+G58+G59</f>
        <v>0</v>
      </c>
      <c r="H54" s="479">
        <f>H56+H57+H58+H59</f>
        <v>0</v>
      </c>
      <c r="I54" s="479"/>
      <c r="J54" s="670" t="s">
        <v>493</v>
      </c>
      <c r="K54" s="15"/>
      <c r="M54" s="102"/>
    </row>
    <row r="55" spans="1:13" ht="30" customHeight="1" hidden="1">
      <c r="A55" s="672"/>
      <c r="B55" s="800"/>
      <c r="C55" s="103" t="s">
        <v>156</v>
      </c>
      <c r="D55" s="471">
        <f>E55+F55+I55</f>
        <v>3500</v>
      </c>
      <c r="E55" s="479"/>
      <c r="F55" s="479"/>
      <c r="G55" s="374"/>
      <c r="H55" s="374"/>
      <c r="I55" s="479">
        <v>3500</v>
      </c>
      <c r="J55" s="672"/>
      <c r="K55" s="15"/>
      <c r="M55" s="102"/>
    </row>
    <row r="56" spans="1:13" ht="56.25" customHeight="1" hidden="1">
      <c r="A56" s="35"/>
      <c r="B56" s="184" t="s">
        <v>547</v>
      </c>
      <c r="C56" s="103" t="s">
        <v>533</v>
      </c>
      <c r="D56" s="471">
        <f t="shared" si="3"/>
        <v>1812</v>
      </c>
      <c r="E56" s="165">
        <v>1812</v>
      </c>
      <c r="F56" s="488"/>
      <c r="G56" s="95"/>
      <c r="H56" s="95"/>
      <c r="I56" s="489"/>
      <c r="J56" s="35"/>
      <c r="K56" s="15"/>
      <c r="M56" s="102"/>
    </row>
    <row r="57" spans="1:13" ht="53.25" customHeight="1" hidden="1">
      <c r="A57" s="35"/>
      <c r="B57" s="184" t="s">
        <v>548</v>
      </c>
      <c r="C57" s="103" t="s">
        <v>533</v>
      </c>
      <c r="D57" s="471">
        <f t="shared" si="3"/>
        <v>597.1</v>
      </c>
      <c r="E57" s="165">
        <v>597.1</v>
      </c>
      <c r="F57" s="488"/>
      <c r="G57" s="95"/>
      <c r="H57" s="95"/>
      <c r="I57" s="489"/>
      <c r="J57" s="35"/>
      <c r="K57" s="15"/>
      <c r="M57" s="102"/>
    </row>
    <row r="58" spans="1:13" ht="45" customHeight="1" hidden="1">
      <c r="A58" s="35"/>
      <c r="B58" s="184" t="s">
        <v>549</v>
      </c>
      <c r="C58" s="103" t="s">
        <v>533</v>
      </c>
      <c r="D58" s="471">
        <f t="shared" si="3"/>
        <v>597.1</v>
      </c>
      <c r="E58" s="165">
        <v>597.1</v>
      </c>
      <c r="F58" s="488"/>
      <c r="G58" s="95"/>
      <c r="H58" s="95"/>
      <c r="I58" s="489"/>
      <c r="J58" s="35"/>
      <c r="K58" s="15"/>
      <c r="M58" s="102"/>
    </row>
    <row r="59" spans="1:13" ht="19.5" customHeight="1" hidden="1">
      <c r="A59" s="670"/>
      <c r="B59" s="801" t="s">
        <v>83</v>
      </c>
      <c r="C59" s="103" t="s">
        <v>533</v>
      </c>
      <c r="D59" s="471">
        <f>E59+F59</f>
        <v>3500</v>
      </c>
      <c r="E59" s="165"/>
      <c r="F59" s="488">
        <v>3500</v>
      </c>
      <c r="G59" s="95"/>
      <c r="H59" s="95"/>
      <c r="I59" s="489"/>
      <c r="J59" s="670"/>
      <c r="K59" s="15"/>
      <c r="M59" s="102"/>
    </row>
    <row r="60" spans="1:13" ht="20.25" customHeight="1" hidden="1">
      <c r="A60" s="672"/>
      <c r="B60" s="802"/>
      <c r="C60" s="103" t="s">
        <v>156</v>
      </c>
      <c r="D60" s="471">
        <f>E60+F60+I60</f>
        <v>3500</v>
      </c>
      <c r="E60" s="165"/>
      <c r="F60" s="488"/>
      <c r="G60" s="95"/>
      <c r="H60" s="95"/>
      <c r="I60" s="489">
        <v>3500</v>
      </c>
      <c r="J60" s="672"/>
      <c r="K60" s="15"/>
      <c r="M60" s="102"/>
    </row>
    <row r="61" spans="1:13" ht="58.5" customHeight="1">
      <c r="A61" s="35">
        <v>4</v>
      </c>
      <c r="B61" s="104" t="s">
        <v>490</v>
      </c>
      <c r="C61" s="103" t="s">
        <v>288</v>
      </c>
      <c r="D61" s="471">
        <f>E61+F61+I61</f>
        <v>0</v>
      </c>
      <c r="E61" s="479">
        <f>SUM(E62:E64)</f>
        <v>0</v>
      </c>
      <c r="F61" s="479">
        <f>SUM(F62:F64)</f>
        <v>0</v>
      </c>
      <c r="G61" s="479">
        <f>SUM(G62:G64)</f>
        <v>0</v>
      </c>
      <c r="H61" s="479">
        <f>SUM(H62:H64)</f>
        <v>0</v>
      </c>
      <c r="I61" s="479">
        <f>SUM(I62:I64)</f>
        <v>0</v>
      </c>
      <c r="J61" s="35" t="s">
        <v>281</v>
      </c>
      <c r="K61" s="15"/>
      <c r="M61" s="102"/>
    </row>
    <row r="62" spans="1:13" ht="39" customHeight="1">
      <c r="A62" s="35"/>
      <c r="B62" s="459" t="s">
        <v>435</v>
      </c>
      <c r="C62" s="103" t="s">
        <v>288</v>
      </c>
      <c r="D62" s="471">
        <f>E62+F62+I62</f>
        <v>0</v>
      </c>
      <c r="E62" s="490">
        <f>4700-4700</f>
        <v>0</v>
      </c>
      <c r="F62" s="490"/>
      <c r="G62" s="491"/>
      <c r="H62" s="491"/>
      <c r="I62" s="490"/>
      <c r="J62" s="35"/>
      <c r="K62" s="15"/>
      <c r="M62" s="102"/>
    </row>
    <row r="63" spans="1:13" ht="58.5" customHeight="1">
      <c r="A63" s="35"/>
      <c r="B63" s="459" t="s">
        <v>436</v>
      </c>
      <c r="C63" s="103" t="s">
        <v>288</v>
      </c>
      <c r="D63" s="471">
        <f>E63+F63+I63</f>
        <v>0</v>
      </c>
      <c r="E63" s="490">
        <f>2600-2600</f>
        <v>0</v>
      </c>
      <c r="F63" s="490"/>
      <c r="G63" s="491"/>
      <c r="H63" s="491"/>
      <c r="I63" s="490"/>
      <c r="J63" s="35"/>
      <c r="K63" s="15"/>
      <c r="M63" s="102"/>
    </row>
    <row r="64" spans="1:13" ht="42.75" customHeight="1">
      <c r="A64" s="35"/>
      <c r="B64" s="460" t="s">
        <v>437</v>
      </c>
      <c r="C64" s="103" t="s">
        <v>288</v>
      </c>
      <c r="D64" s="471">
        <f>E64+F64+I64</f>
        <v>0</v>
      </c>
      <c r="E64" s="490">
        <f>2800-2800</f>
        <v>0</v>
      </c>
      <c r="F64" s="490"/>
      <c r="G64" s="491"/>
      <c r="H64" s="491"/>
      <c r="I64" s="490"/>
      <c r="J64" s="35"/>
      <c r="K64" s="15"/>
      <c r="M64" s="102"/>
    </row>
    <row r="65" spans="1:13" ht="58.5" customHeight="1" hidden="1">
      <c r="A65" s="35"/>
      <c r="B65" s="462" t="s">
        <v>423</v>
      </c>
      <c r="C65" s="103" t="s">
        <v>288</v>
      </c>
      <c r="D65" s="471">
        <f aca="true" t="shared" si="4" ref="D65:D128">E65+F65+I65</f>
        <v>650</v>
      </c>
      <c r="E65" s="165">
        <v>650</v>
      </c>
      <c r="F65" s="492"/>
      <c r="G65" s="95"/>
      <c r="H65" s="95"/>
      <c r="I65" s="493"/>
      <c r="J65" s="35"/>
      <c r="K65" s="15"/>
      <c r="M65" s="102"/>
    </row>
    <row r="66" spans="1:13" ht="38.25" customHeight="1" hidden="1">
      <c r="A66" s="35"/>
      <c r="B66" s="463" t="s">
        <v>424</v>
      </c>
      <c r="C66" s="103" t="s">
        <v>288</v>
      </c>
      <c r="D66" s="471">
        <f t="shared" si="4"/>
        <v>1100</v>
      </c>
      <c r="E66" s="165">
        <v>1100</v>
      </c>
      <c r="F66" s="492"/>
      <c r="G66" s="95"/>
      <c r="H66" s="95"/>
      <c r="I66" s="493"/>
      <c r="J66" s="35"/>
      <c r="K66" s="15"/>
      <c r="M66" s="102"/>
    </row>
    <row r="67" spans="1:13" ht="93" customHeight="1" hidden="1">
      <c r="A67" s="35"/>
      <c r="B67" s="463" t="s">
        <v>425</v>
      </c>
      <c r="C67" s="103" t="s">
        <v>288</v>
      </c>
      <c r="D67" s="471">
        <f t="shared" si="4"/>
        <v>30</v>
      </c>
      <c r="E67" s="494">
        <v>30</v>
      </c>
      <c r="F67" s="492"/>
      <c r="G67" s="95"/>
      <c r="H67" s="95"/>
      <c r="I67" s="493"/>
      <c r="J67" s="35"/>
      <c r="K67" s="15"/>
      <c r="M67" s="102"/>
    </row>
    <row r="68" spans="1:13" ht="58.5" customHeight="1" hidden="1">
      <c r="A68" s="35"/>
      <c r="B68" s="464" t="s">
        <v>426</v>
      </c>
      <c r="C68" s="103" t="s">
        <v>288</v>
      </c>
      <c r="D68" s="471">
        <f t="shared" si="4"/>
        <v>6500</v>
      </c>
      <c r="E68" s="180">
        <v>6500</v>
      </c>
      <c r="F68" s="492"/>
      <c r="G68" s="95"/>
      <c r="H68" s="95"/>
      <c r="I68" s="493"/>
      <c r="J68" s="35"/>
      <c r="K68" s="15"/>
      <c r="M68" s="102"/>
    </row>
    <row r="69" spans="1:13" ht="58.5" customHeight="1" hidden="1">
      <c r="A69" s="35"/>
      <c r="B69" s="463" t="s">
        <v>427</v>
      </c>
      <c r="C69" s="103" t="s">
        <v>288</v>
      </c>
      <c r="D69" s="471">
        <f t="shared" si="4"/>
        <v>1535</v>
      </c>
      <c r="E69" s="180">
        <v>1535</v>
      </c>
      <c r="F69" s="492"/>
      <c r="G69" s="95"/>
      <c r="H69" s="95"/>
      <c r="I69" s="493"/>
      <c r="J69" s="35"/>
      <c r="K69" s="15"/>
      <c r="M69" s="102"/>
    </row>
    <row r="70" spans="1:13" ht="58.5" customHeight="1" hidden="1">
      <c r="A70" s="35"/>
      <c r="B70" s="463" t="s">
        <v>428</v>
      </c>
      <c r="C70" s="103" t="s">
        <v>288</v>
      </c>
      <c r="D70" s="471">
        <f t="shared" si="4"/>
        <v>70</v>
      </c>
      <c r="E70" s="180">
        <v>70</v>
      </c>
      <c r="F70" s="492"/>
      <c r="G70" s="95"/>
      <c r="H70" s="95"/>
      <c r="I70" s="493"/>
      <c r="J70" s="35"/>
      <c r="K70" s="15"/>
      <c r="M70" s="102"/>
    </row>
    <row r="71" spans="1:13" ht="55.5" customHeight="1" hidden="1">
      <c r="A71" s="35"/>
      <c r="B71" s="463" t="s">
        <v>429</v>
      </c>
      <c r="C71" s="103" t="s">
        <v>288</v>
      </c>
      <c r="D71" s="471">
        <f t="shared" si="4"/>
        <v>850</v>
      </c>
      <c r="E71" s="180">
        <v>850</v>
      </c>
      <c r="F71" s="492"/>
      <c r="G71" s="95"/>
      <c r="H71" s="95"/>
      <c r="I71" s="493"/>
      <c r="J71" s="35"/>
      <c r="K71" s="15"/>
      <c r="M71" s="102"/>
    </row>
    <row r="72" spans="1:13" ht="77.25" customHeight="1" hidden="1">
      <c r="A72" s="35"/>
      <c r="B72" s="461" t="s">
        <v>430</v>
      </c>
      <c r="C72" s="103" t="s">
        <v>288</v>
      </c>
      <c r="D72" s="471">
        <f t="shared" si="4"/>
        <v>300</v>
      </c>
      <c r="E72" s="180">
        <v>300</v>
      </c>
      <c r="F72" s="492"/>
      <c r="G72" s="95"/>
      <c r="H72" s="95"/>
      <c r="I72" s="493"/>
      <c r="J72" s="35"/>
      <c r="K72" s="15"/>
      <c r="M72" s="102"/>
    </row>
    <row r="73" spans="1:13" ht="100.5" customHeight="1" hidden="1">
      <c r="A73" s="35"/>
      <c r="B73" s="185" t="s">
        <v>550</v>
      </c>
      <c r="C73" s="103" t="s">
        <v>288</v>
      </c>
      <c r="D73" s="471">
        <f t="shared" si="4"/>
        <v>280</v>
      </c>
      <c r="E73" s="180">
        <v>280</v>
      </c>
      <c r="F73" s="492"/>
      <c r="G73" s="95"/>
      <c r="H73" s="95"/>
      <c r="I73" s="493"/>
      <c r="J73" s="35"/>
      <c r="K73" s="15"/>
      <c r="M73" s="102"/>
    </row>
    <row r="74" spans="1:13" ht="79.5" customHeight="1" hidden="1">
      <c r="A74" s="35"/>
      <c r="B74" s="185" t="s">
        <v>551</v>
      </c>
      <c r="C74" s="103" t="s">
        <v>288</v>
      </c>
      <c r="D74" s="471">
        <f t="shared" si="4"/>
        <v>80</v>
      </c>
      <c r="E74" s="180">
        <v>80</v>
      </c>
      <c r="F74" s="492"/>
      <c r="G74" s="95"/>
      <c r="H74" s="95"/>
      <c r="I74" s="493"/>
      <c r="J74" s="35"/>
      <c r="K74" s="15"/>
      <c r="M74" s="102"/>
    </row>
    <row r="75" spans="1:13" ht="58.5" customHeight="1" hidden="1">
      <c r="A75" s="35"/>
      <c r="B75" s="185" t="s">
        <v>552</v>
      </c>
      <c r="C75" s="103" t="s">
        <v>288</v>
      </c>
      <c r="D75" s="471">
        <f t="shared" si="4"/>
        <v>350</v>
      </c>
      <c r="E75" s="180">
        <v>350</v>
      </c>
      <c r="F75" s="492"/>
      <c r="G75" s="95"/>
      <c r="H75" s="95"/>
      <c r="I75" s="493"/>
      <c r="J75" s="35"/>
      <c r="K75" s="15"/>
      <c r="M75" s="102"/>
    </row>
    <row r="76" spans="1:13" ht="84" customHeight="1" hidden="1">
      <c r="A76" s="35"/>
      <c r="B76" s="185" t="s">
        <v>553</v>
      </c>
      <c r="C76" s="103" t="s">
        <v>288</v>
      </c>
      <c r="D76" s="471">
        <f t="shared" si="4"/>
        <v>80</v>
      </c>
      <c r="E76" s="180">
        <v>80</v>
      </c>
      <c r="F76" s="492"/>
      <c r="G76" s="95"/>
      <c r="H76" s="95"/>
      <c r="I76" s="493"/>
      <c r="J76" s="35"/>
      <c r="K76" s="15"/>
      <c r="M76" s="102"/>
    </row>
    <row r="77" spans="1:13" ht="58.5" customHeight="1" hidden="1">
      <c r="A77" s="35"/>
      <c r="B77" s="185" t="s">
        <v>554</v>
      </c>
      <c r="C77" s="103" t="s">
        <v>288</v>
      </c>
      <c r="D77" s="471">
        <f t="shared" si="4"/>
        <v>550</v>
      </c>
      <c r="E77" s="180">
        <v>550</v>
      </c>
      <c r="F77" s="492"/>
      <c r="G77" s="95"/>
      <c r="H77" s="95"/>
      <c r="I77" s="493"/>
      <c r="J77" s="35"/>
      <c r="K77" s="15"/>
      <c r="M77" s="102"/>
    </row>
    <row r="78" spans="1:13" ht="97.5" customHeight="1" hidden="1">
      <c r="A78" s="35"/>
      <c r="B78" s="185" t="s">
        <v>555</v>
      </c>
      <c r="C78" s="103" t="s">
        <v>288</v>
      </c>
      <c r="D78" s="471">
        <f t="shared" si="4"/>
        <v>80</v>
      </c>
      <c r="E78" s="180">
        <v>80</v>
      </c>
      <c r="F78" s="492"/>
      <c r="G78" s="95"/>
      <c r="H78" s="95"/>
      <c r="I78" s="493"/>
      <c r="J78" s="35"/>
      <c r="K78" s="15"/>
      <c r="M78" s="102"/>
    </row>
    <row r="79" spans="1:13" ht="77.25" customHeight="1" hidden="1">
      <c r="A79" s="35"/>
      <c r="B79" s="185" t="s">
        <v>556</v>
      </c>
      <c r="C79" s="103" t="s">
        <v>288</v>
      </c>
      <c r="D79" s="471">
        <f t="shared" si="4"/>
        <v>320</v>
      </c>
      <c r="E79" s="180">
        <v>320</v>
      </c>
      <c r="F79" s="492"/>
      <c r="G79" s="95"/>
      <c r="H79" s="95"/>
      <c r="I79" s="493"/>
      <c r="J79" s="35"/>
      <c r="K79" s="15"/>
      <c r="M79" s="102"/>
    </row>
    <row r="80" spans="1:13" ht="72.75" customHeight="1" hidden="1">
      <c r="A80" s="35"/>
      <c r="B80" s="185" t="s">
        <v>557</v>
      </c>
      <c r="C80" s="103" t="s">
        <v>288</v>
      </c>
      <c r="D80" s="471">
        <f t="shared" si="4"/>
        <v>210</v>
      </c>
      <c r="E80" s="180">
        <v>210</v>
      </c>
      <c r="F80" s="492"/>
      <c r="G80" s="95"/>
      <c r="H80" s="95"/>
      <c r="I80" s="493"/>
      <c r="J80" s="35"/>
      <c r="K80" s="15"/>
      <c r="M80" s="102"/>
    </row>
    <row r="81" spans="1:13" ht="86.25" customHeight="1" hidden="1">
      <c r="A81" s="35"/>
      <c r="B81" s="185" t="s">
        <v>558</v>
      </c>
      <c r="C81" s="103" t="s">
        <v>288</v>
      </c>
      <c r="D81" s="471">
        <f t="shared" si="4"/>
        <v>215</v>
      </c>
      <c r="E81" s="180">
        <v>215</v>
      </c>
      <c r="F81" s="492"/>
      <c r="G81" s="95"/>
      <c r="H81" s="95"/>
      <c r="I81" s="493"/>
      <c r="J81" s="35"/>
      <c r="K81" s="15"/>
      <c r="M81" s="102"/>
    </row>
    <row r="82" spans="1:13" ht="81" customHeight="1" hidden="1">
      <c r="A82" s="35"/>
      <c r="B82" s="185" t="s">
        <v>559</v>
      </c>
      <c r="C82" s="103" t="s">
        <v>288</v>
      </c>
      <c r="D82" s="471">
        <f t="shared" si="4"/>
        <v>205.2</v>
      </c>
      <c r="E82" s="180">
        <v>205.2</v>
      </c>
      <c r="F82" s="492"/>
      <c r="G82" s="95"/>
      <c r="H82" s="95"/>
      <c r="I82" s="493"/>
      <c r="J82" s="35"/>
      <c r="K82" s="15"/>
      <c r="M82" s="102"/>
    </row>
    <row r="83" spans="1:13" ht="58.5" customHeight="1" hidden="1">
      <c r="A83" s="35"/>
      <c r="B83" s="185" t="s">
        <v>560</v>
      </c>
      <c r="C83" s="103" t="s">
        <v>288</v>
      </c>
      <c r="D83" s="471">
        <f t="shared" si="4"/>
        <v>8950</v>
      </c>
      <c r="E83" s="180">
        <v>8950</v>
      </c>
      <c r="F83" s="492"/>
      <c r="G83" s="95"/>
      <c r="H83" s="95"/>
      <c r="I83" s="493"/>
      <c r="J83" s="35"/>
      <c r="K83" s="15"/>
      <c r="M83" s="102"/>
    </row>
    <row r="84" spans="1:13" ht="58.5" customHeight="1" hidden="1">
      <c r="A84" s="35"/>
      <c r="B84" s="185" t="s">
        <v>561</v>
      </c>
      <c r="C84" s="103" t="s">
        <v>288</v>
      </c>
      <c r="D84" s="471">
        <f t="shared" si="4"/>
        <v>2100</v>
      </c>
      <c r="E84" s="180">
        <v>2100</v>
      </c>
      <c r="F84" s="492"/>
      <c r="G84" s="95"/>
      <c r="H84" s="95"/>
      <c r="I84" s="493"/>
      <c r="J84" s="35"/>
      <c r="K84" s="15"/>
      <c r="M84" s="102"/>
    </row>
    <row r="85" spans="1:13" ht="58.5" customHeight="1" hidden="1">
      <c r="A85" s="35"/>
      <c r="B85" s="186" t="s">
        <v>562</v>
      </c>
      <c r="C85" s="103" t="s">
        <v>288</v>
      </c>
      <c r="D85" s="471">
        <f t="shared" si="4"/>
        <v>3000</v>
      </c>
      <c r="E85" s="180">
        <v>3000</v>
      </c>
      <c r="F85" s="492"/>
      <c r="G85" s="95"/>
      <c r="H85" s="95"/>
      <c r="I85" s="493"/>
      <c r="J85" s="35"/>
      <c r="K85" s="15"/>
      <c r="M85" s="102"/>
    </row>
    <row r="86" spans="1:13" ht="43.5" customHeight="1" hidden="1">
      <c r="A86" s="35"/>
      <c r="B86" s="186" t="s">
        <v>563</v>
      </c>
      <c r="C86" s="103" t="s">
        <v>288</v>
      </c>
      <c r="D86" s="471">
        <f t="shared" si="4"/>
        <v>4475</v>
      </c>
      <c r="E86" s="180">
        <v>4475</v>
      </c>
      <c r="F86" s="492"/>
      <c r="G86" s="95"/>
      <c r="H86" s="95"/>
      <c r="I86" s="493"/>
      <c r="J86" s="35"/>
      <c r="K86" s="15"/>
      <c r="M86" s="102"/>
    </row>
    <row r="87" spans="1:13" ht="35.25" customHeight="1" hidden="1">
      <c r="A87" s="35"/>
      <c r="B87" s="186" t="s">
        <v>564</v>
      </c>
      <c r="C87" s="103" t="s">
        <v>288</v>
      </c>
      <c r="D87" s="471">
        <f t="shared" si="4"/>
        <v>2300</v>
      </c>
      <c r="E87" s="180">
        <v>2300</v>
      </c>
      <c r="F87" s="492"/>
      <c r="G87" s="95"/>
      <c r="H87" s="95"/>
      <c r="I87" s="493"/>
      <c r="J87" s="35"/>
      <c r="K87" s="15"/>
      <c r="M87" s="102"/>
    </row>
    <row r="88" spans="1:13" ht="37.5" customHeight="1" hidden="1">
      <c r="A88" s="35"/>
      <c r="B88" s="186" t="s">
        <v>565</v>
      </c>
      <c r="C88" s="103" t="s">
        <v>288</v>
      </c>
      <c r="D88" s="471">
        <f t="shared" si="4"/>
        <v>4806</v>
      </c>
      <c r="E88" s="180">
        <v>2403</v>
      </c>
      <c r="F88" s="492">
        <v>2403</v>
      </c>
      <c r="G88" s="95"/>
      <c r="H88" s="95"/>
      <c r="I88" s="495"/>
      <c r="J88" s="35"/>
      <c r="K88" s="15"/>
      <c r="M88" s="102"/>
    </row>
    <row r="89" spans="1:13" ht="36.75" customHeight="1" hidden="1">
      <c r="A89" s="35"/>
      <c r="B89" s="185" t="s">
        <v>566</v>
      </c>
      <c r="C89" s="103" t="s">
        <v>288</v>
      </c>
      <c r="D89" s="471">
        <f t="shared" si="4"/>
        <v>3429</v>
      </c>
      <c r="E89" s="180">
        <v>3429</v>
      </c>
      <c r="F89" s="492"/>
      <c r="G89" s="95"/>
      <c r="H89" s="95"/>
      <c r="I89" s="495"/>
      <c r="J89" s="35"/>
      <c r="K89" s="15"/>
      <c r="M89" s="102"/>
    </row>
    <row r="90" spans="1:13" ht="39" customHeight="1" hidden="1">
      <c r="A90" s="35"/>
      <c r="B90" s="185" t="s">
        <v>567</v>
      </c>
      <c r="C90" s="103" t="s">
        <v>288</v>
      </c>
      <c r="D90" s="471">
        <f t="shared" si="4"/>
        <v>1950</v>
      </c>
      <c r="E90" s="180">
        <v>1950</v>
      </c>
      <c r="F90" s="492"/>
      <c r="G90" s="95"/>
      <c r="H90" s="95"/>
      <c r="I90" s="495"/>
      <c r="J90" s="35"/>
      <c r="K90" s="15"/>
      <c r="M90" s="102"/>
    </row>
    <row r="91" spans="1:13" ht="40.5" customHeight="1" hidden="1">
      <c r="A91" s="35"/>
      <c r="B91" s="185" t="s">
        <v>568</v>
      </c>
      <c r="C91" s="103" t="s">
        <v>288</v>
      </c>
      <c r="D91" s="471">
        <f t="shared" si="4"/>
        <v>2100</v>
      </c>
      <c r="E91" s="180">
        <v>2100</v>
      </c>
      <c r="F91" s="496"/>
      <c r="G91" s="95"/>
      <c r="H91" s="95"/>
      <c r="I91" s="173"/>
      <c r="J91" s="35"/>
      <c r="K91" s="15"/>
      <c r="M91" s="102"/>
    </row>
    <row r="92" spans="1:13" ht="38.25" customHeight="1" hidden="1">
      <c r="A92" s="35"/>
      <c r="B92" s="185" t="s">
        <v>569</v>
      </c>
      <c r="C92" s="103" t="s">
        <v>288</v>
      </c>
      <c r="D92" s="471">
        <f t="shared" si="4"/>
        <v>2500</v>
      </c>
      <c r="E92" s="180">
        <v>2500</v>
      </c>
      <c r="F92" s="496"/>
      <c r="G92" s="497"/>
      <c r="H92" s="497"/>
      <c r="I92" s="173"/>
      <c r="J92" s="35"/>
      <c r="K92" s="15"/>
      <c r="M92" s="102"/>
    </row>
    <row r="93" spans="1:13" ht="65.25" customHeight="1" hidden="1">
      <c r="A93" s="35"/>
      <c r="B93" s="185" t="s">
        <v>0</v>
      </c>
      <c r="C93" s="103" t="s">
        <v>288</v>
      </c>
      <c r="D93" s="471">
        <f t="shared" si="4"/>
        <v>625</v>
      </c>
      <c r="E93" s="180">
        <v>625</v>
      </c>
      <c r="F93" s="496"/>
      <c r="G93" s="497"/>
      <c r="H93" s="497"/>
      <c r="I93" s="173"/>
      <c r="J93" s="35"/>
      <c r="K93" s="15"/>
      <c r="M93" s="102"/>
    </row>
    <row r="94" spans="1:13" ht="55.5" customHeight="1" hidden="1">
      <c r="A94" s="35"/>
      <c r="B94" s="185" t="s">
        <v>61</v>
      </c>
      <c r="C94" s="103" t="s">
        <v>288</v>
      </c>
      <c r="D94" s="471">
        <f t="shared" si="4"/>
        <v>4800</v>
      </c>
      <c r="E94" s="180"/>
      <c r="F94" s="496">
        <v>4800</v>
      </c>
      <c r="G94" s="497"/>
      <c r="H94" s="497"/>
      <c r="I94" s="173"/>
      <c r="J94" s="35"/>
      <c r="K94" s="15"/>
      <c r="M94" s="102"/>
    </row>
    <row r="95" spans="1:13" ht="34.5" customHeight="1" hidden="1">
      <c r="A95" s="35"/>
      <c r="B95" s="185" t="s">
        <v>62</v>
      </c>
      <c r="C95" s="103" t="s">
        <v>288</v>
      </c>
      <c r="D95" s="471">
        <f t="shared" si="4"/>
        <v>2600</v>
      </c>
      <c r="E95" s="180"/>
      <c r="F95" s="496">
        <v>2600</v>
      </c>
      <c r="G95" s="497"/>
      <c r="H95" s="497"/>
      <c r="I95" s="173"/>
      <c r="J95" s="35"/>
      <c r="K95" s="15"/>
      <c r="M95" s="102"/>
    </row>
    <row r="96" spans="1:13" ht="37.5" customHeight="1" hidden="1">
      <c r="A96" s="35"/>
      <c r="B96" s="185" t="s">
        <v>63</v>
      </c>
      <c r="C96" s="103" t="s">
        <v>288</v>
      </c>
      <c r="D96" s="471">
        <f t="shared" si="4"/>
        <v>2800</v>
      </c>
      <c r="E96" s="180"/>
      <c r="F96" s="496">
        <v>2800</v>
      </c>
      <c r="G96" s="497"/>
      <c r="H96" s="497"/>
      <c r="I96" s="173"/>
      <c r="J96" s="35"/>
      <c r="K96" s="15"/>
      <c r="M96" s="102"/>
    </row>
    <row r="97" spans="1:13" ht="36.75" customHeight="1" hidden="1">
      <c r="A97" s="35"/>
      <c r="B97" s="185" t="s">
        <v>64</v>
      </c>
      <c r="C97" s="103" t="s">
        <v>288</v>
      </c>
      <c r="D97" s="471">
        <f t="shared" si="4"/>
        <v>1755</v>
      </c>
      <c r="E97" s="180"/>
      <c r="F97" s="496">
        <v>1755</v>
      </c>
      <c r="G97" s="497"/>
      <c r="H97" s="497"/>
      <c r="I97" s="173"/>
      <c r="J97" s="35"/>
      <c r="K97" s="15"/>
      <c r="M97" s="102"/>
    </row>
    <row r="98" spans="1:13" ht="36" customHeight="1" hidden="1">
      <c r="A98" s="35"/>
      <c r="B98" s="185" t="s">
        <v>65</v>
      </c>
      <c r="C98" s="103" t="s">
        <v>288</v>
      </c>
      <c r="D98" s="471">
        <f t="shared" si="4"/>
        <v>3511</v>
      </c>
      <c r="E98" s="180"/>
      <c r="F98" s="496">
        <v>3511</v>
      </c>
      <c r="G98" s="497"/>
      <c r="H98" s="497"/>
      <c r="I98" s="173"/>
      <c r="J98" s="35"/>
      <c r="K98" s="15"/>
      <c r="M98" s="102"/>
    </row>
    <row r="99" spans="1:13" ht="52.5" customHeight="1" hidden="1">
      <c r="A99" s="35"/>
      <c r="B99" s="185" t="s">
        <v>66</v>
      </c>
      <c r="C99" s="103" t="s">
        <v>288</v>
      </c>
      <c r="D99" s="471">
        <f t="shared" si="4"/>
        <v>1260</v>
      </c>
      <c r="E99" s="180"/>
      <c r="F99" s="496">
        <v>1260</v>
      </c>
      <c r="G99" s="497"/>
      <c r="H99" s="497"/>
      <c r="I99" s="173"/>
      <c r="J99" s="35"/>
      <c r="K99" s="15"/>
      <c r="M99" s="102"/>
    </row>
    <row r="100" spans="1:13" ht="36.75" customHeight="1" hidden="1">
      <c r="A100" s="35"/>
      <c r="B100" s="185" t="s">
        <v>67</v>
      </c>
      <c r="C100" s="103" t="s">
        <v>288</v>
      </c>
      <c r="D100" s="471">
        <f t="shared" si="4"/>
        <v>667</v>
      </c>
      <c r="E100" s="180"/>
      <c r="F100" s="496">
        <v>667</v>
      </c>
      <c r="G100" s="497"/>
      <c r="H100" s="497"/>
      <c r="I100" s="173"/>
      <c r="J100" s="35"/>
      <c r="K100" s="15"/>
      <c r="M100" s="102"/>
    </row>
    <row r="101" spans="1:13" ht="35.25" customHeight="1" hidden="1">
      <c r="A101" s="35"/>
      <c r="B101" s="185" t="s">
        <v>68</v>
      </c>
      <c r="C101" s="103" t="s">
        <v>288</v>
      </c>
      <c r="D101" s="471">
        <f t="shared" si="4"/>
        <v>6.092</v>
      </c>
      <c r="E101" s="180"/>
      <c r="F101" s="496">
        <v>6.092</v>
      </c>
      <c r="G101" s="497"/>
      <c r="H101" s="497"/>
      <c r="I101" s="173"/>
      <c r="J101" s="35"/>
      <c r="K101" s="15"/>
      <c r="M101" s="102"/>
    </row>
    <row r="102" spans="1:13" ht="35.25" customHeight="1" hidden="1">
      <c r="A102" s="35"/>
      <c r="B102" s="185" t="s">
        <v>69</v>
      </c>
      <c r="C102" s="103" t="s">
        <v>288</v>
      </c>
      <c r="D102" s="471">
        <f t="shared" si="4"/>
        <v>7.38</v>
      </c>
      <c r="E102" s="180"/>
      <c r="F102" s="496">
        <v>7.38</v>
      </c>
      <c r="G102" s="497"/>
      <c r="H102" s="497"/>
      <c r="I102" s="173"/>
      <c r="J102" s="35"/>
      <c r="K102" s="15"/>
      <c r="M102" s="102"/>
    </row>
    <row r="103" spans="1:13" ht="35.25" customHeight="1" hidden="1">
      <c r="A103" s="35"/>
      <c r="B103" s="185" t="s">
        <v>70</v>
      </c>
      <c r="C103" s="103" t="s">
        <v>288</v>
      </c>
      <c r="D103" s="471">
        <f t="shared" si="4"/>
        <v>9.68</v>
      </c>
      <c r="E103" s="180"/>
      <c r="F103" s="496">
        <v>9.68</v>
      </c>
      <c r="G103" s="497"/>
      <c r="H103" s="497"/>
      <c r="I103" s="173"/>
      <c r="J103" s="35"/>
      <c r="K103" s="15"/>
      <c r="M103" s="102"/>
    </row>
    <row r="104" spans="1:13" ht="53.25" customHeight="1" hidden="1">
      <c r="A104" s="35"/>
      <c r="B104" s="185" t="s">
        <v>71</v>
      </c>
      <c r="C104" s="103" t="s">
        <v>288</v>
      </c>
      <c r="D104" s="471">
        <f t="shared" si="4"/>
        <v>257.38</v>
      </c>
      <c r="E104" s="180"/>
      <c r="F104" s="496">
        <v>257.38</v>
      </c>
      <c r="G104" s="497"/>
      <c r="H104" s="497"/>
      <c r="I104" s="173"/>
      <c r="J104" s="35"/>
      <c r="K104" s="15"/>
      <c r="M104" s="102"/>
    </row>
    <row r="105" spans="1:13" ht="53.25" customHeight="1" hidden="1">
      <c r="A105" s="35"/>
      <c r="B105" s="185" t="s">
        <v>72</v>
      </c>
      <c r="C105" s="103" t="s">
        <v>288</v>
      </c>
      <c r="D105" s="471">
        <f t="shared" si="4"/>
        <v>79.86</v>
      </c>
      <c r="E105" s="180"/>
      <c r="F105" s="496">
        <v>79.86</v>
      </c>
      <c r="G105" s="497"/>
      <c r="H105" s="497"/>
      <c r="I105" s="173"/>
      <c r="J105" s="35"/>
      <c r="K105" s="15"/>
      <c r="M105" s="102"/>
    </row>
    <row r="106" spans="1:13" ht="56.25" customHeight="1" hidden="1">
      <c r="A106" s="35"/>
      <c r="B106" s="185" t="s">
        <v>73</v>
      </c>
      <c r="C106" s="103" t="s">
        <v>288</v>
      </c>
      <c r="D106" s="471">
        <f t="shared" si="4"/>
        <v>746.83</v>
      </c>
      <c r="E106" s="180"/>
      <c r="F106" s="496">
        <v>746.83</v>
      </c>
      <c r="G106" s="497"/>
      <c r="H106" s="497"/>
      <c r="I106" s="173"/>
      <c r="J106" s="35"/>
      <c r="K106" s="15"/>
      <c r="M106" s="102"/>
    </row>
    <row r="107" spans="1:13" ht="37.5" customHeight="1" hidden="1">
      <c r="A107" s="35"/>
      <c r="B107" s="185" t="s">
        <v>74</v>
      </c>
      <c r="C107" s="103" t="s">
        <v>288</v>
      </c>
      <c r="D107" s="471">
        <f t="shared" si="4"/>
        <v>35.75</v>
      </c>
      <c r="E107" s="180"/>
      <c r="F107" s="496">
        <v>35.75</v>
      </c>
      <c r="G107" s="497"/>
      <c r="H107" s="497"/>
      <c r="I107" s="173"/>
      <c r="J107" s="35"/>
      <c r="K107" s="15"/>
      <c r="M107" s="102"/>
    </row>
    <row r="108" spans="1:13" ht="36" customHeight="1" hidden="1">
      <c r="A108" s="35"/>
      <c r="B108" s="185" t="s">
        <v>75</v>
      </c>
      <c r="C108" s="103" t="s">
        <v>288</v>
      </c>
      <c r="D108" s="471">
        <f t="shared" si="4"/>
        <v>15.4</v>
      </c>
      <c r="E108" s="180"/>
      <c r="F108" s="496">
        <v>15.4</v>
      </c>
      <c r="G108" s="497"/>
      <c r="H108" s="497"/>
      <c r="I108" s="173"/>
      <c r="J108" s="35"/>
      <c r="K108" s="15"/>
      <c r="M108" s="102"/>
    </row>
    <row r="109" spans="1:13" ht="36" customHeight="1" hidden="1">
      <c r="A109" s="35"/>
      <c r="B109" s="185" t="s">
        <v>76</v>
      </c>
      <c r="C109" s="103" t="s">
        <v>288</v>
      </c>
      <c r="D109" s="471">
        <f t="shared" si="4"/>
        <v>310</v>
      </c>
      <c r="E109" s="180"/>
      <c r="F109" s="496">
        <v>310</v>
      </c>
      <c r="G109" s="497"/>
      <c r="H109" s="497"/>
      <c r="I109" s="173"/>
      <c r="J109" s="35"/>
      <c r="K109" s="15"/>
      <c r="M109" s="102"/>
    </row>
    <row r="110" spans="1:13" ht="36" customHeight="1" hidden="1">
      <c r="A110" s="35"/>
      <c r="B110" s="185" t="s">
        <v>77</v>
      </c>
      <c r="C110" s="103" t="s">
        <v>288</v>
      </c>
      <c r="D110" s="471">
        <f t="shared" si="4"/>
        <v>92</v>
      </c>
      <c r="E110" s="180"/>
      <c r="F110" s="496">
        <v>92</v>
      </c>
      <c r="G110" s="497"/>
      <c r="H110" s="497"/>
      <c r="I110" s="173"/>
      <c r="J110" s="35"/>
      <c r="K110" s="15"/>
      <c r="M110" s="102"/>
    </row>
    <row r="111" spans="1:13" ht="36" customHeight="1" hidden="1">
      <c r="A111" s="35"/>
      <c r="B111" s="185" t="s">
        <v>78</v>
      </c>
      <c r="C111" s="103" t="s">
        <v>288</v>
      </c>
      <c r="D111" s="471">
        <f t="shared" si="4"/>
        <v>1715</v>
      </c>
      <c r="E111" s="180"/>
      <c r="F111" s="496">
        <v>1715</v>
      </c>
      <c r="G111" s="497"/>
      <c r="H111" s="497"/>
      <c r="I111" s="173"/>
      <c r="J111" s="35"/>
      <c r="K111" s="15"/>
      <c r="M111" s="102"/>
    </row>
    <row r="112" spans="1:13" ht="36" customHeight="1" hidden="1">
      <c r="A112" s="35"/>
      <c r="B112" s="185" t="s">
        <v>79</v>
      </c>
      <c r="C112" s="103" t="s">
        <v>288</v>
      </c>
      <c r="D112" s="471">
        <f t="shared" si="4"/>
        <v>2836.5</v>
      </c>
      <c r="E112" s="180"/>
      <c r="F112" s="496">
        <v>2836.5</v>
      </c>
      <c r="G112" s="497"/>
      <c r="H112" s="497"/>
      <c r="I112" s="173"/>
      <c r="J112" s="35"/>
      <c r="K112" s="15"/>
      <c r="M112" s="102"/>
    </row>
    <row r="113" spans="1:13" ht="41.25" customHeight="1" hidden="1">
      <c r="A113" s="35"/>
      <c r="B113" s="185" t="s">
        <v>80</v>
      </c>
      <c r="C113" s="103" t="s">
        <v>288</v>
      </c>
      <c r="D113" s="471">
        <f t="shared" si="4"/>
        <v>625</v>
      </c>
      <c r="E113" s="180"/>
      <c r="F113" s="496">
        <v>625</v>
      </c>
      <c r="G113" s="497"/>
      <c r="H113" s="497"/>
      <c r="I113" s="173"/>
      <c r="J113" s="35"/>
      <c r="K113" s="15"/>
      <c r="M113" s="102"/>
    </row>
    <row r="114" spans="1:13" ht="35.25" customHeight="1" hidden="1">
      <c r="A114" s="35"/>
      <c r="B114" s="229" t="s">
        <v>124</v>
      </c>
      <c r="C114" s="103" t="s">
        <v>288</v>
      </c>
      <c r="D114" s="471">
        <f t="shared" si="4"/>
        <v>0</v>
      </c>
      <c r="E114" s="180"/>
      <c r="F114" s="496">
        <f>1000-1000</f>
        <v>0</v>
      </c>
      <c r="G114" s="497"/>
      <c r="H114" s="497"/>
      <c r="I114" s="173"/>
      <c r="J114" s="35"/>
      <c r="K114" s="15"/>
      <c r="M114" s="102"/>
    </row>
    <row r="115" spans="1:13" ht="94.5" customHeight="1" hidden="1">
      <c r="A115" s="35"/>
      <c r="B115" s="229" t="s">
        <v>152</v>
      </c>
      <c r="C115" s="103" t="s">
        <v>288</v>
      </c>
      <c r="D115" s="471">
        <f t="shared" si="4"/>
        <v>100</v>
      </c>
      <c r="E115" s="180"/>
      <c r="F115" s="496">
        <v>100</v>
      </c>
      <c r="G115" s="497"/>
      <c r="H115" s="497"/>
      <c r="I115" s="173"/>
      <c r="J115" s="35"/>
      <c r="K115" s="15"/>
      <c r="M115" s="102"/>
    </row>
    <row r="116" spans="1:13" ht="56.25" hidden="1">
      <c r="A116" s="35">
        <v>8</v>
      </c>
      <c r="B116" s="110" t="s">
        <v>541</v>
      </c>
      <c r="C116" s="103" t="s">
        <v>288</v>
      </c>
      <c r="D116" s="471">
        <f t="shared" si="4"/>
        <v>2112.7</v>
      </c>
      <c r="E116" s="498">
        <f>E117+E118+E119+E120+E121</f>
        <v>2112.7</v>
      </c>
      <c r="F116" s="498">
        <f>F117+F118+F119+F120+F121</f>
        <v>0</v>
      </c>
      <c r="G116" s="498">
        <f>G117+G118+G119+G120+G121</f>
        <v>0</v>
      </c>
      <c r="H116" s="498">
        <f>H117+H118+H119+H120+H121</f>
        <v>0</v>
      </c>
      <c r="I116" s="498">
        <f>I117+I118+I119+I120+I121</f>
        <v>0</v>
      </c>
      <c r="J116" s="35" t="s">
        <v>542</v>
      </c>
      <c r="K116" s="15"/>
      <c r="M116" s="102"/>
    </row>
    <row r="117" spans="1:13" ht="75" hidden="1">
      <c r="A117" s="35"/>
      <c r="B117" s="184" t="s">
        <v>28</v>
      </c>
      <c r="C117" s="103" t="s">
        <v>288</v>
      </c>
      <c r="D117" s="471">
        <f t="shared" si="4"/>
        <v>1568.6</v>
      </c>
      <c r="E117" s="165">
        <v>1568.6</v>
      </c>
      <c r="F117" s="488"/>
      <c r="G117" s="440"/>
      <c r="H117" s="440"/>
      <c r="I117" s="471"/>
      <c r="J117" s="35"/>
      <c r="K117" s="15"/>
      <c r="M117" s="102"/>
    </row>
    <row r="118" spans="1:13" ht="37.5" hidden="1">
      <c r="A118" s="35"/>
      <c r="B118" s="184" t="s">
        <v>543</v>
      </c>
      <c r="C118" s="103" t="s">
        <v>288</v>
      </c>
      <c r="D118" s="471">
        <f t="shared" si="4"/>
        <v>171.5</v>
      </c>
      <c r="E118" s="165">
        <v>171.5</v>
      </c>
      <c r="F118" s="488"/>
      <c r="G118" s="440"/>
      <c r="H118" s="440"/>
      <c r="I118" s="471"/>
      <c r="J118" s="35"/>
      <c r="K118" s="15"/>
      <c r="M118" s="102"/>
    </row>
    <row r="119" spans="1:13" ht="56.25" hidden="1">
      <c r="A119" s="35"/>
      <c r="B119" s="184" t="s">
        <v>544</v>
      </c>
      <c r="C119" s="103" t="s">
        <v>288</v>
      </c>
      <c r="D119" s="471">
        <f t="shared" si="4"/>
        <v>107.7</v>
      </c>
      <c r="E119" s="165">
        <v>107.7</v>
      </c>
      <c r="F119" s="488"/>
      <c r="G119" s="440"/>
      <c r="H119" s="440"/>
      <c r="I119" s="471"/>
      <c r="J119" s="35"/>
      <c r="K119" s="15"/>
      <c r="M119" s="102"/>
    </row>
    <row r="120" spans="1:13" ht="56.25" hidden="1">
      <c r="A120" s="35"/>
      <c r="B120" s="184" t="s">
        <v>545</v>
      </c>
      <c r="C120" s="103" t="s">
        <v>288</v>
      </c>
      <c r="D120" s="471">
        <f t="shared" si="4"/>
        <v>182.8</v>
      </c>
      <c r="E120" s="165">
        <v>182.8</v>
      </c>
      <c r="F120" s="488"/>
      <c r="G120" s="440"/>
      <c r="H120" s="440"/>
      <c r="I120" s="471"/>
      <c r="J120" s="35"/>
      <c r="K120" s="15"/>
      <c r="M120" s="102"/>
    </row>
    <row r="121" spans="1:13" ht="56.25" hidden="1">
      <c r="A121" s="35"/>
      <c r="B121" s="184" t="s">
        <v>546</v>
      </c>
      <c r="C121" s="103" t="s">
        <v>288</v>
      </c>
      <c r="D121" s="471">
        <f t="shared" si="4"/>
        <v>82.1</v>
      </c>
      <c r="E121" s="165">
        <v>82.1</v>
      </c>
      <c r="F121" s="488"/>
      <c r="G121" s="440"/>
      <c r="H121" s="440"/>
      <c r="I121" s="471"/>
      <c r="J121" s="35"/>
      <c r="K121" s="15"/>
      <c r="M121" s="102"/>
    </row>
    <row r="122" spans="1:13" ht="55.5" customHeight="1" hidden="1">
      <c r="A122" s="35">
        <v>5</v>
      </c>
      <c r="B122" s="111" t="s">
        <v>498</v>
      </c>
      <c r="C122" s="103" t="s">
        <v>288</v>
      </c>
      <c r="D122" s="471">
        <f t="shared" si="4"/>
        <v>0</v>
      </c>
      <c r="E122" s="483">
        <f>E123+E124</f>
        <v>0</v>
      </c>
      <c r="F122" s="483">
        <f>F123+F124</f>
        <v>0</v>
      </c>
      <c r="G122" s="483">
        <f>G123+G124</f>
        <v>0</v>
      </c>
      <c r="H122" s="483">
        <f>H123+H124</f>
        <v>0</v>
      </c>
      <c r="I122" s="483">
        <f>I123+I124</f>
        <v>0</v>
      </c>
      <c r="J122" s="35" t="s">
        <v>287</v>
      </c>
      <c r="K122" s="15"/>
      <c r="M122" s="102"/>
    </row>
    <row r="123" spans="1:13" ht="45" customHeight="1" hidden="1">
      <c r="A123" s="35"/>
      <c r="B123" s="184" t="s">
        <v>234</v>
      </c>
      <c r="C123" s="103" t="s">
        <v>288</v>
      </c>
      <c r="D123" s="471">
        <f t="shared" si="4"/>
        <v>0</v>
      </c>
      <c r="E123" s="499"/>
      <c r="F123" s="488"/>
      <c r="G123" s="440"/>
      <c r="H123" s="440"/>
      <c r="I123" s="173"/>
      <c r="J123" s="35"/>
      <c r="K123" s="15"/>
      <c r="M123" s="102"/>
    </row>
    <row r="124" spans="1:13" ht="45" customHeight="1" hidden="1">
      <c r="A124" s="35"/>
      <c r="B124" s="184" t="s">
        <v>235</v>
      </c>
      <c r="C124" s="103" t="s">
        <v>288</v>
      </c>
      <c r="D124" s="471">
        <f t="shared" si="4"/>
        <v>0</v>
      </c>
      <c r="E124" s="499"/>
      <c r="F124" s="488"/>
      <c r="G124" s="440"/>
      <c r="H124" s="440"/>
      <c r="I124" s="173"/>
      <c r="J124" s="35"/>
      <c r="K124" s="15"/>
      <c r="M124" s="102"/>
    </row>
    <row r="125" spans="1:13" ht="45" customHeight="1" hidden="1">
      <c r="A125" s="35"/>
      <c r="B125" s="184" t="s">
        <v>38</v>
      </c>
      <c r="C125" s="103" t="s">
        <v>288</v>
      </c>
      <c r="D125" s="471">
        <f t="shared" si="4"/>
        <v>500</v>
      </c>
      <c r="E125" s="499">
        <v>500</v>
      </c>
      <c r="F125" s="488"/>
      <c r="G125" s="440"/>
      <c r="H125" s="440"/>
      <c r="I125" s="173"/>
      <c r="J125" s="35"/>
      <c r="K125" s="15"/>
      <c r="M125" s="102"/>
    </row>
    <row r="126" spans="1:13" ht="45" customHeight="1" hidden="1">
      <c r="A126" s="35"/>
      <c r="B126" s="184" t="s">
        <v>97</v>
      </c>
      <c r="C126" s="103" t="s">
        <v>288</v>
      </c>
      <c r="D126" s="471">
        <f t="shared" si="4"/>
        <v>20.8</v>
      </c>
      <c r="E126" s="499"/>
      <c r="F126" s="488">
        <v>20.8</v>
      </c>
      <c r="G126" s="440"/>
      <c r="H126" s="440"/>
      <c r="I126" s="173"/>
      <c r="J126" s="35"/>
      <c r="K126" s="15"/>
      <c r="M126" s="102"/>
    </row>
    <row r="127" spans="1:13" ht="45" customHeight="1" hidden="1">
      <c r="A127" s="35"/>
      <c r="B127" s="184" t="s">
        <v>98</v>
      </c>
      <c r="C127" s="103" t="s">
        <v>288</v>
      </c>
      <c r="D127" s="471">
        <f t="shared" si="4"/>
        <v>42.2</v>
      </c>
      <c r="E127" s="499"/>
      <c r="F127" s="488">
        <v>42.2</v>
      </c>
      <c r="G127" s="440"/>
      <c r="H127" s="440"/>
      <c r="I127" s="173"/>
      <c r="J127" s="35"/>
      <c r="K127" s="15"/>
      <c r="M127" s="102"/>
    </row>
    <row r="128" spans="1:13" ht="53.25" customHeight="1" hidden="1">
      <c r="A128" s="35">
        <v>10</v>
      </c>
      <c r="B128" s="111" t="s">
        <v>29</v>
      </c>
      <c r="C128" s="103" t="s">
        <v>288</v>
      </c>
      <c r="D128" s="471">
        <f t="shared" si="4"/>
        <v>30680</v>
      </c>
      <c r="E128" s="500">
        <f>E129+E130+E131+E132</f>
        <v>30680</v>
      </c>
      <c r="F128" s="500">
        <f>F129+F130+F131+F132</f>
        <v>0</v>
      </c>
      <c r="G128" s="500">
        <f>G129+G130+G131+G132</f>
        <v>0</v>
      </c>
      <c r="H128" s="500">
        <f>H129+H130+H131+H132</f>
        <v>0</v>
      </c>
      <c r="I128" s="500">
        <f>I129+I130+I131+I132</f>
        <v>0</v>
      </c>
      <c r="J128" s="35" t="s">
        <v>34</v>
      </c>
      <c r="K128" s="15"/>
      <c r="M128" s="102"/>
    </row>
    <row r="129" spans="1:13" ht="39.75" customHeight="1" hidden="1">
      <c r="A129" s="35"/>
      <c r="B129" s="194" t="s">
        <v>30</v>
      </c>
      <c r="C129" s="103" t="s">
        <v>288</v>
      </c>
      <c r="D129" s="471">
        <f aca="true" t="shared" si="5" ref="D129:D137">E129+F129+I129</f>
        <v>15500</v>
      </c>
      <c r="E129" s="501">
        <v>15500</v>
      </c>
      <c r="F129" s="488"/>
      <c r="G129" s="440"/>
      <c r="H129" s="440"/>
      <c r="I129" s="173"/>
      <c r="J129" s="35"/>
      <c r="K129" s="15"/>
      <c r="M129" s="102"/>
    </row>
    <row r="130" spans="1:13" ht="42" customHeight="1" hidden="1">
      <c r="A130" s="35"/>
      <c r="B130" s="194" t="s">
        <v>31</v>
      </c>
      <c r="C130" s="103" t="s">
        <v>288</v>
      </c>
      <c r="D130" s="471">
        <f t="shared" si="5"/>
        <v>4700</v>
      </c>
      <c r="E130" s="501">
        <v>4700</v>
      </c>
      <c r="F130" s="488"/>
      <c r="G130" s="440"/>
      <c r="H130" s="440"/>
      <c r="I130" s="173"/>
      <c r="J130" s="35"/>
      <c r="K130" s="15"/>
      <c r="M130" s="102"/>
    </row>
    <row r="131" spans="1:13" ht="40.5" customHeight="1" hidden="1">
      <c r="A131" s="35"/>
      <c r="B131" s="194" t="s">
        <v>32</v>
      </c>
      <c r="C131" s="103" t="s">
        <v>288</v>
      </c>
      <c r="D131" s="471">
        <f t="shared" si="5"/>
        <v>4780</v>
      </c>
      <c r="E131" s="499">
        <v>4780</v>
      </c>
      <c r="F131" s="488"/>
      <c r="G131" s="440"/>
      <c r="H131" s="440"/>
      <c r="I131" s="173"/>
      <c r="J131" s="35"/>
      <c r="K131" s="15"/>
      <c r="M131" s="102"/>
    </row>
    <row r="132" spans="1:13" ht="37.5" customHeight="1" hidden="1">
      <c r="A132" s="35"/>
      <c r="B132" s="194" t="s">
        <v>33</v>
      </c>
      <c r="C132" s="103" t="s">
        <v>288</v>
      </c>
      <c r="D132" s="471">
        <f t="shared" si="5"/>
        <v>5700</v>
      </c>
      <c r="E132" s="499">
        <v>5700</v>
      </c>
      <c r="F132" s="488"/>
      <c r="G132" s="440"/>
      <c r="H132" s="440"/>
      <c r="I132" s="173"/>
      <c r="J132" s="35"/>
      <c r="K132" s="15"/>
      <c r="M132" s="102"/>
    </row>
    <row r="133" spans="1:13" ht="37.5" customHeight="1">
      <c r="A133" s="35">
        <v>5</v>
      </c>
      <c r="B133" s="521" t="s">
        <v>587</v>
      </c>
      <c r="C133" s="103" t="s">
        <v>288</v>
      </c>
      <c r="D133" s="471">
        <f>E133+F133+I133</f>
        <v>6911.6</v>
      </c>
      <c r="E133" s="176">
        <f>E134+E136+E137+E135</f>
        <v>6911.6</v>
      </c>
      <c r="F133" s="519"/>
      <c r="G133" s="442"/>
      <c r="H133" s="442"/>
      <c r="I133" s="471"/>
      <c r="J133" s="35" t="s">
        <v>588</v>
      </c>
      <c r="K133" s="15"/>
      <c r="M133" s="102"/>
    </row>
    <row r="134" spans="1:13" ht="37.5" customHeight="1">
      <c r="A134" s="35"/>
      <c r="B134" s="522" t="s">
        <v>600</v>
      </c>
      <c r="C134" s="103" t="s">
        <v>288</v>
      </c>
      <c r="D134" s="471">
        <f t="shared" si="5"/>
        <v>0</v>
      </c>
      <c r="E134" s="165">
        <f>4288.4-4288.4</f>
        <v>0</v>
      </c>
      <c r="F134" s="488"/>
      <c r="G134" s="440"/>
      <c r="H134" s="440"/>
      <c r="I134" s="173"/>
      <c r="J134" s="35"/>
      <c r="K134" s="15"/>
      <c r="M134" s="102"/>
    </row>
    <row r="135" spans="1:13" ht="37.5" customHeight="1">
      <c r="A135" s="35"/>
      <c r="B135" s="522" t="s">
        <v>637</v>
      </c>
      <c r="C135" s="103" t="s">
        <v>288</v>
      </c>
      <c r="D135" s="471">
        <f t="shared" si="5"/>
        <v>6200</v>
      </c>
      <c r="E135" s="165">
        <v>6200</v>
      </c>
      <c r="F135" s="488"/>
      <c r="G135" s="440"/>
      <c r="H135" s="440"/>
      <c r="I135" s="173"/>
      <c r="J135" s="35"/>
      <c r="K135" s="15"/>
      <c r="M135" s="102"/>
    </row>
    <row r="136" spans="1:13" ht="37.5" customHeight="1">
      <c r="A136" s="35"/>
      <c r="B136" s="522" t="s">
        <v>602</v>
      </c>
      <c r="C136" s="103" t="s">
        <v>288</v>
      </c>
      <c r="D136" s="471">
        <f t="shared" si="5"/>
        <v>561.6</v>
      </c>
      <c r="E136" s="165">
        <v>561.6</v>
      </c>
      <c r="F136" s="488"/>
      <c r="G136" s="440"/>
      <c r="H136" s="440"/>
      <c r="I136" s="173"/>
      <c r="J136" s="35"/>
      <c r="K136" s="15"/>
      <c r="M136" s="102"/>
    </row>
    <row r="137" spans="1:13" ht="37.5" customHeight="1">
      <c r="A137" s="35"/>
      <c r="B137" s="522" t="s">
        <v>601</v>
      </c>
      <c r="C137" s="103" t="s">
        <v>288</v>
      </c>
      <c r="D137" s="471">
        <f t="shared" si="5"/>
        <v>150</v>
      </c>
      <c r="E137" s="165">
        <v>150</v>
      </c>
      <c r="F137" s="488"/>
      <c r="G137" s="440"/>
      <c r="H137" s="440"/>
      <c r="I137" s="173"/>
      <c r="J137" s="35"/>
      <c r="K137" s="15"/>
      <c r="M137" s="102"/>
    </row>
    <row r="138" spans="1:13" ht="37.5" customHeight="1">
      <c r="A138" s="35">
        <v>6</v>
      </c>
      <c r="B138" s="521" t="s">
        <v>606</v>
      </c>
      <c r="C138" s="103" t="s">
        <v>288</v>
      </c>
      <c r="D138" s="471">
        <f>E138+F138+I138</f>
        <v>240</v>
      </c>
      <c r="E138" s="176">
        <f>E139+E140</f>
        <v>240</v>
      </c>
      <c r="F138" s="488"/>
      <c r="G138" s="440"/>
      <c r="H138" s="440"/>
      <c r="I138" s="173"/>
      <c r="J138" s="35" t="s">
        <v>609</v>
      </c>
      <c r="K138" s="15"/>
      <c r="M138" s="102"/>
    </row>
    <row r="139" spans="1:13" ht="37.5" customHeight="1">
      <c r="A139" s="35"/>
      <c r="B139" s="522" t="s">
        <v>607</v>
      </c>
      <c r="C139" s="103" t="s">
        <v>288</v>
      </c>
      <c r="D139" s="471">
        <f>E139+F139+I139</f>
        <v>90</v>
      </c>
      <c r="E139" s="165">
        <v>90</v>
      </c>
      <c r="F139" s="488"/>
      <c r="G139" s="440"/>
      <c r="H139" s="440"/>
      <c r="I139" s="173"/>
      <c r="J139" s="35"/>
      <c r="K139" s="15"/>
      <c r="M139" s="102"/>
    </row>
    <row r="140" spans="1:13" ht="37.5" customHeight="1">
      <c r="A140" s="35"/>
      <c r="B140" s="522" t="s">
        <v>608</v>
      </c>
      <c r="C140" s="103" t="s">
        <v>288</v>
      </c>
      <c r="D140" s="471">
        <f>E140+F140+I140</f>
        <v>150</v>
      </c>
      <c r="E140" s="165">
        <v>150</v>
      </c>
      <c r="F140" s="488"/>
      <c r="G140" s="440"/>
      <c r="H140" s="440"/>
      <c r="I140" s="173"/>
      <c r="J140" s="35"/>
      <c r="K140" s="15"/>
      <c r="M140" s="102"/>
    </row>
    <row r="141" spans="1:11" ht="20.25">
      <c r="A141" s="66"/>
      <c r="B141" s="187" t="s">
        <v>463</v>
      </c>
      <c r="C141" s="103"/>
      <c r="D141" s="502">
        <f>D122+D61+D45+D38+D30+D43+D133+D138</f>
        <v>7151.6</v>
      </c>
      <c r="E141" s="502">
        <f>E30+E43+E45+E61+E133+E138</f>
        <v>7151.6</v>
      </c>
      <c r="F141" s="502">
        <f>F122+F61+F45+F38+F30+F43</f>
        <v>0</v>
      </c>
      <c r="G141" s="502" t="e">
        <f>G122+G61+G45+G38+G30+G43</f>
        <v>#REF!</v>
      </c>
      <c r="H141" s="502" t="e">
        <f>H122+H61+H45+H38+H30+H43</f>
        <v>#REF!</v>
      </c>
      <c r="I141" s="502">
        <f>I122+I61+I45+I38+I30+I43</f>
        <v>0</v>
      </c>
      <c r="J141" s="68"/>
      <c r="K141" s="15"/>
    </row>
    <row r="142" spans="1:11" ht="15.75">
      <c r="A142" s="113"/>
      <c r="B142" s="114"/>
      <c r="C142" s="114"/>
      <c r="D142" s="115"/>
      <c r="E142" s="115"/>
      <c r="F142" s="115"/>
      <c r="G142" s="115"/>
      <c r="H142" s="115"/>
      <c r="I142" s="115"/>
      <c r="J142" s="20"/>
      <c r="K142" s="15"/>
    </row>
    <row r="143" spans="1:11" ht="15.75" hidden="1">
      <c r="A143" s="113"/>
      <c r="B143" s="114"/>
      <c r="C143" s="18"/>
      <c r="D143" s="19"/>
      <c r="E143" s="19"/>
      <c r="F143" s="19"/>
      <c r="G143" s="19"/>
      <c r="H143" s="19"/>
      <c r="I143" s="19"/>
      <c r="J143" s="20"/>
      <c r="K143" s="15"/>
    </row>
    <row r="144" spans="2:11" ht="15.75" hidden="1">
      <c r="B144" s="114"/>
      <c r="C144" s="18"/>
      <c r="D144" s="19"/>
      <c r="E144" s="19"/>
      <c r="F144" s="19"/>
      <c r="G144" s="19"/>
      <c r="H144" s="19"/>
      <c r="I144" s="19"/>
      <c r="J144" s="20"/>
      <c r="K144" s="15"/>
    </row>
    <row r="145" spans="2:11" ht="30.75" customHeight="1">
      <c r="B145" s="648" t="s">
        <v>474</v>
      </c>
      <c r="C145" s="648"/>
      <c r="D145" s="234"/>
      <c r="E145" s="234"/>
      <c r="F145" s="22"/>
      <c r="I145" s="23"/>
      <c r="J145" s="86" t="s">
        <v>616</v>
      </c>
      <c r="K145" s="23"/>
    </row>
    <row r="146" spans="2:11" ht="16.5" customHeight="1">
      <c r="B146" s="175"/>
      <c r="C146" s="234"/>
      <c r="D146" s="234"/>
      <c r="E146" s="234"/>
      <c r="F146" s="22"/>
      <c r="I146" s="23"/>
      <c r="J146" s="23"/>
      <c r="K146" s="23"/>
    </row>
    <row r="147" spans="2:11" ht="1.5" customHeight="1">
      <c r="B147" s="175"/>
      <c r="C147" s="234"/>
      <c r="D147" s="234"/>
      <c r="E147" s="234"/>
      <c r="F147" s="22"/>
      <c r="I147" s="23"/>
      <c r="J147" s="23"/>
      <c r="K147" s="23"/>
    </row>
    <row r="148" spans="2:10" ht="18.75">
      <c r="B148" s="675" t="s">
        <v>159</v>
      </c>
      <c r="C148" s="675"/>
      <c r="D148" s="25"/>
      <c r="E148" s="25"/>
      <c r="F148" s="26"/>
      <c r="G148" s="26"/>
      <c r="H148" s="26"/>
      <c r="I148" s="15"/>
      <c r="J148" s="15"/>
    </row>
    <row r="149" spans="2:12" ht="15.75" customHeight="1">
      <c r="B149" s="214"/>
      <c r="C149" s="17"/>
      <c r="D149" s="26"/>
      <c r="E149" s="26"/>
      <c r="F149" s="26"/>
      <c r="G149" s="26"/>
      <c r="H149" s="26"/>
      <c r="I149" s="15"/>
      <c r="J149" s="15"/>
      <c r="L149" s="12"/>
    </row>
    <row r="150" spans="3:9" ht="15.75">
      <c r="C150" s="30"/>
      <c r="D150" s="26"/>
      <c r="E150" s="26"/>
      <c r="F150" s="26"/>
      <c r="G150" s="26"/>
      <c r="H150" s="26"/>
      <c r="I150" s="26"/>
    </row>
    <row r="151" spans="3:9" ht="15.75">
      <c r="C151" s="31"/>
      <c r="D151" s="26"/>
      <c r="E151" s="26"/>
      <c r="F151" s="26"/>
      <c r="G151" s="26"/>
      <c r="H151" s="26"/>
      <c r="I151" s="26"/>
    </row>
    <row r="153" ht="12.75">
      <c r="H153" s="117"/>
    </row>
  </sheetData>
  <sheetProtection/>
  <mergeCells count="28">
    <mergeCell ref="I8:N8"/>
    <mergeCell ref="A45:A46"/>
    <mergeCell ref="J12:J14"/>
    <mergeCell ref="J45:J46"/>
    <mergeCell ref="C45:C46"/>
    <mergeCell ref="D45:D46"/>
    <mergeCell ref="E45:E46"/>
    <mergeCell ref="D12:D14"/>
    <mergeCell ref="B12:B14"/>
    <mergeCell ref="A10:J10"/>
    <mergeCell ref="D11:H11"/>
    <mergeCell ref="A12:A14"/>
    <mergeCell ref="I45:I46"/>
    <mergeCell ref="E13:E14"/>
    <mergeCell ref="E12:I12"/>
    <mergeCell ref="F13:H14"/>
    <mergeCell ref="C12:C14"/>
    <mergeCell ref="I13:I14"/>
    <mergeCell ref="F45:F46"/>
    <mergeCell ref="B45:B46"/>
    <mergeCell ref="B148:C148"/>
    <mergeCell ref="A54:A55"/>
    <mergeCell ref="B54:B55"/>
    <mergeCell ref="J54:J55"/>
    <mergeCell ref="A59:A60"/>
    <mergeCell ref="J59:J60"/>
    <mergeCell ref="B145:C145"/>
    <mergeCell ref="B59:B60"/>
  </mergeCells>
  <printOptions horizontalCentered="1"/>
  <pageMargins left="0.5905511811023623" right="0.5905511811023623" top="1.1811023622047245" bottom="0.1968503937007874"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54" t="s">
        <v>108</v>
      </c>
      <c r="B2" s="654"/>
      <c r="C2" s="654"/>
      <c r="D2" s="654"/>
      <c r="E2" s="654"/>
      <c r="F2" s="654"/>
      <c r="G2" s="654"/>
      <c r="H2" s="654"/>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45" t="s">
        <v>464</v>
      </c>
      <c r="B5" s="646" t="s">
        <v>529</v>
      </c>
      <c r="C5" s="646" t="s">
        <v>470</v>
      </c>
      <c r="D5" s="251" t="s">
        <v>55</v>
      </c>
      <c r="E5" s="251" t="s">
        <v>56</v>
      </c>
      <c r="F5" s="646" t="s">
        <v>100</v>
      </c>
      <c r="G5" s="646" t="s">
        <v>99</v>
      </c>
      <c r="H5" s="279" t="s">
        <v>57</v>
      </c>
      <c r="I5" s="231"/>
      <c r="J5" s="231"/>
      <c r="K5" s="231"/>
      <c r="L5" s="231"/>
    </row>
    <row r="6" spans="1:12" ht="15" customHeight="1">
      <c r="A6" s="645"/>
      <c r="B6" s="655"/>
      <c r="C6" s="655"/>
      <c r="D6" s="646">
        <v>2020</v>
      </c>
      <c r="E6" s="646">
        <v>2020</v>
      </c>
      <c r="F6" s="655"/>
      <c r="G6" s="655"/>
      <c r="H6" s="254"/>
      <c r="I6" s="231"/>
      <c r="J6" s="231"/>
      <c r="K6" s="231"/>
      <c r="L6" s="231"/>
    </row>
    <row r="7" spans="1:12" ht="15" customHeight="1">
      <c r="A7" s="645"/>
      <c r="B7" s="647"/>
      <c r="C7" s="647"/>
      <c r="D7" s="647"/>
      <c r="E7" s="647"/>
      <c r="F7" s="647"/>
      <c r="G7" s="647"/>
      <c r="H7" s="255"/>
      <c r="I7" s="231"/>
      <c r="J7" s="231"/>
      <c r="K7" s="231"/>
      <c r="L7" s="231"/>
    </row>
    <row r="8" spans="1:12" ht="51" customHeight="1">
      <c r="A8" s="63">
        <v>1</v>
      </c>
      <c r="B8" s="135" t="s">
        <v>118</v>
      </c>
      <c r="C8" s="280" t="s">
        <v>473</v>
      </c>
      <c r="D8" s="216">
        <v>100</v>
      </c>
      <c r="E8" s="216">
        <f>100+E9+E10+E11</f>
        <v>9100</v>
      </c>
      <c r="F8" s="216">
        <f>E8-D8</f>
        <v>9000</v>
      </c>
      <c r="G8" s="642" t="s">
        <v>170</v>
      </c>
      <c r="H8" s="651" t="s">
        <v>171</v>
      </c>
      <c r="I8" s="231"/>
      <c r="J8" s="231"/>
      <c r="K8" s="231"/>
      <c r="L8" s="231"/>
    </row>
    <row r="9" spans="1:12" ht="48.75" customHeight="1">
      <c r="A9" s="200" t="s">
        <v>41</v>
      </c>
      <c r="B9" s="277" t="s">
        <v>167</v>
      </c>
      <c r="C9" s="280"/>
      <c r="D9" s="216">
        <v>0</v>
      </c>
      <c r="E9" s="216">
        <v>2000</v>
      </c>
      <c r="F9" s="216">
        <f>E9-D9</f>
        <v>2000</v>
      </c>
      <c r="G9" s="650"/>
      <c r="H9" s="652"/>
      <c r="I9" s="231"/>
      <c r="J9" s="231"/>
      <c r="K9" s="231"/>
      <c r="L9" s="231"/>
    </row>
    <row r="10" spans="1:12" ht="34.5" customHeight="1">
      <c r="A10" s="200" t="s">
        <v>45</v>
      </c>
      <c r="B10" s="277" t="s">
        <v>168</v>
      </c>
      <c r="C10" s="280"/>
      <c r="D10" s="216">
        <v>0</v>
      </c>
      <c r="E10" s="216">
        <v>6000</v>
      </c>
      <c r="F10" s="216">
        <f>E10-D10</f>
        <v>6000</v>
      </c>
      <c r="G10" s="650"/>
      <c r="H10" s="652"/>
      <c r="I10" s="231"/>
      <c r="J10" s="231"/>
      <c r="K10" s="231"/>
      <c r="L10" s="231"/>
    </row>
    <row r="11" spans="1:12" ht="32.25" customHeight="1">
      <c r="A11" s="200" t="s">
        <v>46</v>
      </c>
      <c r="B11" s="277" t="s">
        <v>169</v>
      </c>
      <c r="C11" s="280"/>
      <c r="D11" s="216">
        <v>0</v>
      </c>
      <c r="E11" s="216">
        <v>1000</v>
      </c>
      <c r="F11" s="216">
        <f>E11-D11</f>
        <v>1000</v>
      </c>
      <c r="G11" s="643"/>
      <c r="H11" s="653"/>
      <c r="I11" s="231"/>
      <c r="J11" s="231"/>
      <c r="K11" s="231"/>
      <c r="L11" s="231"/>
    </row>
    <row r="12" spans="1:12" ht="48.75" customHeight="1">
      <c r="A12" s="200" t="s">
        <v>172</v>
      </c>
      <c r="B12" s="135" t="s">
        <v>151</v>
      </c>
      <c r="C12" s="280"/>
      <c r="D12" s="216">
        <v>75377.3</v>
      </c>
      <c r="E12" s="216">
        <v>75487.3</v>
      </c>
      <c r="F12" s="216">
        <f>E12-D12</f>
        <v>110</v>
      </c>
      <c r="G12" s="642" t="s">
        <v>174</v>
      </c>
      <c r="H12" s="644" t="s">
        <v>166</v>
      </c>
      <c r="I12" s="231"/>
      <c r="J12" s="231"/>
      <c r="K12" s="231"/>
      <c r="L12" s="231"/>
    </row>
    <row r="13" spans="1:12" ht="51.75" customHeight="1">
      <c r="A13" s="200" t="s">
        <v>81</v>
      </c>
      <c r="B13" s="277" t="s">
        <v>173</v>
      </c>
      <c r="C13" s="280"/>
      <c r="D13" s="216">
        <v>0</v>
      </c>
      <c r="E13" s="216">
        <v>110</v>
      </c>
      <c r="F13" s="216">
        <v>110</v>
      </c>
      <c r="G13" s="643"/>
      <c r="H13" s="644"/>
      <c r="I13" s="231"/>
      <c r="J13" s="231"/>
      <c r="K13" s="231"/>
      <c r="L13" s="231"/>
    </row>
    <row r="14" spans="1:12" ht="18.75">
      <c r="A14" s="645" t="s">
        <v>463</v>
      </c>
      <c r="B14" s="645"/>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48" t="s">
        <v>164</v>
      </c>
      <c r="B18" s="648"/>
      <c r="C18" s="648"/>
      <c r="D18" s="648"/>
      <c r="E18" s="142"/>
      <c r="F18" s="142"/>
      <c r="G18" s="65"/>
      <c r="H18" s="169" t="s">
        <v>165</v>
      </c>
      <c r="I18" s="231"/>
      <c r="J18" s="231"/>
      <c r="K18" s="231"/>
      <c r="L18" s="231"/>
    </row>
    <row r="19" spans="1:12" ht="18.75">
      <c r="A19" s="235"/>
      <c r="B19" s="235"/>
      <c r="C19" s="235"/>
      <c r="D19" s="236"/>
      <c r="E19" s="115"/>
      <c r="F19" s="115"/>
      <c r="G19" s="211"/>
      <c r="H19" s="231"/>
      <c r="I19" s="231"/>
      <c r="J19" s="231"/>
      <c r="K19" s="231"/>
      <c r="L19" s="231"/>
    </row>
    <row r="20" spans="1:12" ht="18.75">
      <c r="A20" s="649"/>
      <c r="B20" s="649"/>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A2:H2"/>
    <mergeCell ref="A5:A7"/>
    <mergeCell ref="B5:B7"/>
    <mergeCell ref="C5:C7"/>
    <mergeCell ref="F5:F7"/>
    <mergeCell ref="G5:G7"/>
    <mergeCell ref="D6:D7"/>
    <mergeCell ref="G12:G13"/>
    <mergeCell ref="H12:H13"/>
    <mergeCell ref="A14:B14"/>
    <mergeCell ref="E6:E7"/>
    <mergeCell ref="A18:D18"/>
    <mergeCell ref="A20:B20"/>
    <mergeCell ref="G8:G11"/>
    <mergeCell ref="H8: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475</v>
      </c>
      <c r="J1" s="1" t="s">
        <v>119</v>
      </c>
      <c r="K1"/>
      <c r="L1" s="13" t="s">
        <v>475</v>
      </c>
    </row>
    <row r="2" spans="2:15" ht="15.75">
      <c r="B2" s="15"/>
      <c r="C2" s="15"/>
      <c r="D2" s="15"/>
      <c r="E2" s="15"/>
      <c r="F2" s="15"/>
      <c r="G2" s="15"/>
      <c r="H2" s="15"/>
      <c r="I2" s="12" t="s">
        <v>468</v>
      </c>
      <c r="J2" s="12" t="s">
        <v>468</v>
      </c>
      <c r="K2" s="12"/>
      <c r="L2" s="15"/>
      <c r="M2" s="12"/>
      <c r="N2" s="12"/>
      <c r="O2" s="12"/>
    </row>
    <row r="3" spans="2:15" ht="15.75">
      <c r="B3" s="15"/>
      <c r="C3" s="15"/>
      <c r="D3" s="15"/>
      <c r="E3" s="15"/>
      <c r="F3" s="15"/>
      <c r="G3" s="15"/>
      <c r="H3" s="15"/>
      <c r="I3" s="12"/>
      <c r="J3" s="12" t="s">
        <v>394</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c r="J6" s="17" t="s">
        <v>395</v>
      </c>
      <c r="K6" s="17"/>
      <c r="L6" s="217"/>
      <c r="M6" s="12"/>
      <c r="N6" s="12"/>
      <c r="O6" s="12"/>
    </row>
    <row r="7" spans="2:15" ht="15.75" customHeight="1">
      <c r="B7" s="15"/>
      <c r="C7" s="15"/>
      <c r="D7" s="15"/>
      <c r="E7" s="15"/>
      <c r="F7" s="15"/>
      <c r="G7" s="15"/>
      <c r="H7" s="15"/>
      <c r="I7" s="12"/>
      <c r="J7" s="665" t="s">
        <v>402</v>
      </c>
      <c r="K7" s="665"/>
      <c r="L7" s="665"/>
      <c r="M7" s="665"/>
      <c r="N7" s="665"/>
      <c r="O7" s="665"/>
    </row>
    <row r="8" spans="2:15" ht="11.25" customHeight="1">
      <c r="B8" s="15"/>
      <c r="C8" s="15"/>
      <c r="D8" s="15"/>
      <c r="E8" s="15"/>
      <c r="F8" s="15"/>
      <c r="G8" s="15"/>
      <c r="H8" s="15"/>
      <c r="I8" s="12"/>
      <c r="J8" s="665"/>
      <c r="K8" s="665"/>
      <c r="L8" s="438"/>
      <c r="M8" s="438"/>
      <c r="N8" s="438"/>
      <c r="O8" s="438"/>
    </row>
    <row r="9" spans="2:12" ht="15.75">
      <c r="B9" s="15"/>
      <c r="C9" s="15"/>
      <c r="D9" s="15"/>
      <c r="E9" s="15"/>
      <c r="F9" s="15"/>
      <c r="G9" s="15"/>
      <c r="H9" s="15"/>
      <c r="I9" s="15"/>
      <c r="J9" s="15"/>
      <c r="K9" s="15"/>
      <c r="L9" s="15"/>
    </row>
    <row r="10" spans="1:12" ht="35.25" customHeight="1">
      <c r="A10" s="666" t="s">
        <v>419</v>
      </c>
      <c r="B10" s="666"/>
      <c r="C10" s="666"/>
      <c r="D10" s="666"/>
      <c r="E10" s="666"/>
      <c r="F10" s="666"/>
      <c r="G10" s="666"/>
      <c r="H10" s="666"/>
      <c r="I10" s="666"/>
      <c r="J10" s="666"/>
      <c r="K10" s="666"/>
      <c r="L10" s="15"/>
    </row>
    <row r="11" spans="2:12" ht="23.25" customHeight="1">
      <c r="B11" s="15"/>
      <c r="C11" s="15"/>
      <c r="D11" s="676"/>
      <c r="E11" s="676"/>
      <c r="F11" s="676"/>
      <c r="G11" s="676"/>
      <c r="H11" s="676"/>
      <c r="I11" s="15"/>
      <c r="J11" s="15"/>
      <c r="K11" s="34" t="s">
        <v>102</v>
      </c>
      <c r="L11" s="15"/>
    </row>
    <row r="12" spans="1:12" ht="15.75" customHeight="1">
      <c r="A12" s="667" t="s">
        <v>486</v>
      </c>
      <c r="B12" s="667" t="s">
        <v>469</v>
      </c>
      <c r="C12" s="667" t="s">
        <v>470</v>
      </c>
      <c r="D12" s="667" t="s">
        <v>107</v>
      </c>
      <c r="E12" s="677" t="s">
        <v>466</v>
      </c>
      <c r="F12" s="677"/>
      <c r="G12" s="677"/>
      <c r="H12" s="677"/>
      <c r="I12" s="677"/>
      <c r="J12" s="708"/>
      <c r="K12" s="674" t="s">
        <v>472</v>
      </c>
      <c r="L12" s="15"/>
    </row>
    <row r="13" spans="1:12" ht="15.75">
      <c r="A13" s="668"/>
      <c r="B13" s="668"/>
      <c r="C13" s="668"/>
      <c r="D13" s="668"/>
      <c r="E13" s="667">
        <v>2022</v>
      </c>
      <c r="F13" s="667">
        <v>2023</v>
      </c>
      <c r="G13" s="667" t="s">
        <v>481</v>
      </c>
      <c r="H13" s="667" t="s">
        <v>482</v>
      </c>
      <c r="I13" s="667" t="s">
        <v>483</v>
      </c>
      <c r="J13" s="674">
        <v>2024</v>
      </c>
      <c r="K13" s="674"/>
      <c r="L13" s="15"/>
    </row>
    <row r="14" spans="1:12" ht="15.75">
      <c r="A14" s="669"/>
      <c r="B14" s="669"/>
      <c r="C14" s="669"/>
      <c r="D14" s="669"/>
      <c r="E14" s="669"/>
      <c r="F14" s="669"/>
      <c r="G14" s="669"/>
      <c r="H14" s="669"/>
      <c r="I14" s="669"/>
      <c r="J14" s="674"/>
      <c r="K14" s="674"/>
      <c r="L14" s="15"/>
    </row>
    <row r="15" spans="1:12" ht="25.5" customHeight="1">
      <c r="A15" s="670">
        <v>1</v>
      </c>
      <c r="B15" s="791" t="s">
        <v>289</v>
      </c>
      <c r="C15" s="670" t="s">
        <v>195</v>
      </c>
      <c r="D15" s="795">
        <f>E15+F15+J15</f>
        <v>40000</v>
      </c>
      <c r="E15" s="793">
        <v>12000</v>
      </c>
      <c r="F15" s="793">
        <v>13000</v>
      </c>
      <c r="G15" s="95"/>
      <c r="H15" s="95"/>
      <c r="I15" s="95"/>
      <c r="J15" s="793">
        <v>15000</v>
      </c>
      <c r="K15" s="670" t="s">
        <v>290</v>
      </c>
      <c r="L15" s="15"/>
    </row>
    <row r="16" spans="1:14" ht="53.25" customHeight="1">
      <c r="A16" s="672"/>
      <c r="B16" s="792"/>
      <c r="C16" s="672"/>
      <c r="D16" s="796"/>
      <c r="E16" s="794"/>
      <c r="F16" s="794"/>
      <c r="G16" s="95"/>
      <c r="H16" s="95"/>
      <c r="I16" s="95"/>
      <c r="J16" s="794"/>
      <c r="K16" s="672"/>
      <c r="L16" s="15"/>
      <c r="N16" s="52">
        <v>441</v>
      </c>
    </row>
    <row r="17" spans="1:12" ht="32.25" customHeight="1">
      <c r="A17" s="66"/>
      <c r="B17" s="57" t="s">
        <v>463</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49" t="s">
        <v>474</v>
      </c>
      <c r="C21" s="749"/>
      <c r="D21" s="234"/>
      <c r="E21" s="22"/>
      <c r="F21" s="22"/>
      <c r="G21" s="16"/>
      <c r="H21" s="16"/>
      <c r="I21" s="16"/>
      <c r="J21" s="23"/>
      <c r="K21" s="23" t="s">
        <v>484</v>
      </c>
      <c r="L21" s="23"/>
    </row>
    <row r="22" spans="1:12" ht="10.5" customHeight="1">
      <c r="A22" s="16"/>
      <c r="B22" s="234"/>
      <c r="C22" s="234"/>
      <c r="D22" s="234"/>
      <c r="E22" s="22"/>
      <c r="F22" s="22"/>
      <c r="G22" s="16"/>
      <c r="H22" s="16"/>
      <c r="I22" s="16"/>
      <c r="J22" s="23"/>
      <c r="K22" s="23"/>
      <c r="L22" s="23"/>
    </row>
    <row r="23" spans="1:11" ht="18.75">
      <c r="A23" s="16"/>
      <c r="B23" s="675" t="s">
        <v>159</v>
      </c>
      <c r="C23" s="675"/>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A10:K10"/>
    <mergeCell ref="K12:K14"/>
    <mergeCell ref="E13:E14"/>
    <mergeCell ref="G13:G14"/>
    <mergeCell ref="J8:K8"/>
    <mergeCell ref="B21:C21"/>
    <mergeCell ref="B23:C23"/>
    <mergeCell ref="C15:C16"/>
    <mergeCell ref="D15:D16"/>
    <mergeCell ref="E15:E16"/>
    <mergeCell ref="F15:F16"/>
    <mergeCell ref="D11:H11"/>
    <mergeCell ref="E12:J12"/>
    <mergeCell ref="H13:H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15" sqref="E15:E16"/>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475</v>
      </c>
      <c r="J1" s="571" t="s">
        <v>621</v>
      </c>
      <c r="K1"/>
      <c r="L1" s="13" t="s">
        <v>475</v>
      </c>
    </row>
    <row r="2" spans="2:15" ht="15.75">
      <c r="B2" s="15"/>
      <c r="C2" s="15"/>
      <c r="D2" s="15"/>
      <c r="E2" s="15"/>
      <c r="F2" s="15"/>
      <c r="G2" s="15"/>
      <c r="H2" s="15"/>
      <c r="I2" s="12" t="s">
        <v>468</v>
      </c>
      <c r="J2" s="12" t="s">
        <v>468</v>
      </c>
      <c r="K2" s="12"/>
      <c r="L2" s="15"/>
      <c r="M2" s="12"/>
      <c r="N2" s="12"/>
      <c r="O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c r="J6" s="17" t="s">
        <v>612</v>
      </c>
      <c r="K6" s="17"/>
      <c r="L6" s="217"/>
      <c r="M6" s="12"/>
      <c r="N6" s="12"/>
      <c r="O6" s="12"/>
    </row>
    <row r="7" spans="2:15" ht="15.75" customHeight="1">
      <c r="B7" s="15"/>
      <c r="C7" s="15"/>
      <c r="D7" s="15"/>
      <c r="E7" s="15"/>
      <c r="F7" s="15"/>
      <c r="G7" s="15"/>
      <c r="H7" s="16"/>
      <c r="I7" s="12" t="s">
        <v>478</v>
      </c>
      <c r="J7" s="665" t="s">
        <v>610</v>
      </c>
      <c r="K7" s="665"/>
      <c r="L7" s="665"/>
      <c r="M7" s="665"/>
      <c r="N7" s="665"/>
      <c r="O7" s="665"/>
    </row>
    <row r="8" spans="2:15" ht="15.75">
      <c r="B8" s="15"/>
      <c r="C8" s="15"/>
      <c r="D8" s="15"/>
      <c r="E8" s="15"/>
      <c r="F8" s="15"/>
      <c r="G8" s="15"/>
      <c r="H8" s="16"/>
      <c r="I8" s="12"/>
      <c r="J8" s="665" t="s">
        <v>611</v>
      </c>
      <c r="K8" s="665"/>
      <c r="L8" s="438"/>
      <c r="M8" s="438"/>
      <c r="N8" s="438"/>
      <c r="O8" s="438"/>
    </row>
    <row r="9" spans="2:12" ht="15.75">
      <c r="B9" s="15"/>
      <c r="C9" s="15"/>
      <c r="D9" s="15"/>
      <c r="E9" s="15"/>
      <c r="F9" s="15"/>
      <c r="G9" s="15"/>
      <c r="H9" s="15"/>
      <c r="I9" s="15"/>
      <c r="J9" s="15"/>
      <c r="K9" s="15"/>
      <c r="L9" s="15"/>
    </row>
    <row r="10" spans="2:12" ht="38.25" customHeight="1">
      <c r="B10" s="666" t="s">
        <v>420</v>
      </c>
      <c r="C10" s="666"/>
      <c r="D10" s="666"/>
      <c r="E10" s="666"/>
      <c r="F10" s="666"/>
      <c r="G10" s="666"/>
      <c r="H10" s="666"/>
      <c r="I10" s="666"/>
      <c r="J10" s="666"/>
      <c r="K10" s="666"/>
      <c r="L10" s="15"/>
    </row>
    <row r="11" spans="2:12" ht="15.75">
      <c r="B11" s="15"/>
      <c r="C11" s="15"/>
      <c r="D11" s="676"/>
      <c r="E11" s="676"/>
      <c r="F11" s="676"/>
      <c r="G11" s="676"/>
      <c r="H11" s="676"/>
      <c r="I11" s="15"/>
      <c r="J11" s="15"/>
      <c r="K11" s="34" t="s">
        <v>114</v>
      </c>
      <c r="L11" s="15"/>
    </row>
    <row r="12" spans="1:12" ht="15.75" customHeight="1">
      <c r="A12" s="667" t="s">
        <v>486</v>
      </c>
      <c r="B12" s="667" t="s">
        <v>469</v>
      </c>
      <c r="C12" s="667" t="s">
        <v>470</v>
      </c>
      <c r="D12" s="667" t="s">
        <v>104</v>
      </c>
      <c r="E12" s="677" t="s">
        <v>466</v>
      </c>
      <c r="F12" s="677"/>
      <c r="G12" s="677"/>
      <c r="H12" s="677"/>
      <c r="I12" s="677"/>
      <c r="J12" s="708"/>
      <c r="K12" s="674" t="s">
        <v>472</v>
      </c>
      <c r="L12" s="15"/>
    </row>
    <row r="13" spans="1:12" ht="15.75">
      <c r="A13" s="668"/>
      <c r="B13" s="668"/>
      <c r="C13" s="668"/>
      <c r="D13" s="668"/>
      <c r="E13" s="667">
        <v>2022</v>
      </c>
      <c r="F13" s="667">
        <v>2023</v>
      </c>
      <c r="G13" s="667" t="s">
        <v>481</v>
      </c>
      <c r="H13" s="667" t="s">
        <v>482</v>
      </c>
      <c r="I13" s="667" t="s">
        <v>483</v>
      </c>
      <c r="J13" s="674">
        <v>2024</v>
      </c>
      <c r="K13" s="674"/>
      <c r="L13" s="15"/>
    </row>
    <row r="14" spans="1:12" ht="15.75">
      <c r="A14" s="669"/>
      <c r="B14" s="669"/>
      <c r="C14" s="669"/>
      <c r="D14" s="669"/>
      <c r="E14" s="669"/>
      <c r="F14" s="669"/>
      <c r="G14" s="669"/>
      <c r="H14" s="669"/>
      <c r="I14" s="669"/>
      <c r="J14" s="674"/>
      <c r="K14" s="674"/>
      <c r="L14" s="15"/>
    </row>
    <row r="15" spans="1:12" ht="28.5" customHeight="1">
      <c r="A15" s="670">
        <v>1</v>
      </c>
      <c r="B15" s="670" t="s">
        <v>528</v>
      </c>
      <c r="C15" s="670" t="s">
        <v>195</v>
      </c>
      <c r="D15" s="795">
        <f>E15+F15+J15</f>
        <v>770</v>
      </c>
      <c r="E15" s="793">
        <f>300-190</f>
        <v>110</v>
      </c>
      <c r="F15" s="797">
        <v>320</v>
      </c>
      <c r="G15" s="95"/>
      <c r="H15" s="95"/>
      <c r="I15" s="95"/>
      <c r="J15" s="793">
        <v>340</v>
      </c>
      <c r="K15" s="670" t="s">
        <v>40</v>
      </c>
      <c r="L15" s="15"/>
    </row>
    <row r="16" spans="1:14" ht="21" customHeight="1">
      <c r="A16" s="672"/>
      <c r="B16" s="672"/>
      <c r="C16" s="672"/>
      <c r="D16" s="796"/>
      <c r="E16" s="794"/>
      <c r="F16" s="798"/>
      <c r="G16" s="95"/>
      <c r="H16" s="95"/>
      <c r="I16" s="95"/>
      <c r="J16" s="794"/>
      <c r="K16" s="672"/>
      <c r="L16" s="15"/>
      <c r="N16" s="52">
        <v>441</v>
      </c>
    </row>
    <row r="17" spans="1:14" ht="44.25" customHeight="1" hidden="1">
      <c r="A17" s="195">
        <v>2</v>
      </c>
      <c r="B17" s="62" t="s">
        <v>167</v>
      </c>
      <c r="C17" s="35" t="s">
        <v>156</v>
      </c>
      <c r="D17" s="94">
        <f>SUM(E17:J17)</f>
        <v>2000</v>
      </c>
      <c r="E17" s="96"/>
      <c r="F17" s="95"/>
      <c r="G17" s="95"/>
      <c r="H17" s="95"/>
      <c r="I17" s="95"/>
      <c r="J17" s="95">
        <v>2000</v>
      </c>
      <c r="K17" s="195" t="s">
        <v>485</v>
      </c>
      <c r="L17" s="15"/>
      <c r="N17" s="52"/>
    </row>
    <row r="18" spans="1:14" ht="44.25" customHeight="1" hidden="1">
      <c r="A18" s="195">
        <v>3</v>
      </c>
      <c r="B18" s="62" t="s">
        <v>168</v>
      </c>
      <c r="C18" s="35" t="s">
        <v>156</v>
      </c>
      <c r="D18" s="94">
        <f>SUM(E18:J18)</f>
        <v>6000</v>
      </c>
      <c r="E18" s="96"/>
      <c r="F18" s="95"/>
      <c r="G18" s="95"/>
      <c r="H18" s="95"/>
      <c r="I18" s="95"/>
      <c r="J18" s="95">
        <v>6000</v>
      </c>
      <c r="K18" s="195" t="s">
        <v>485</v>
      </c>
      <c r="L18" s="15"/>
      <c r="N18" s="52"/>
    </row>
    <row r="19" spans="1:14" ht="44.25" customHeight="1" hidden="1">
      <c r="A19" s="195">
        <v>4</v>
      </c>
      <c r="B19" s="62" t="s">
        <v>169</v>
      </c>
      <c r="C19" s="35" t="s">
        <v>156</v>
      </c>
      <c r="D19" s="94">
        <f>SUM(E19:J19)</f>
        <v>1000</v>
      </c>
      <c r="E19" s="96"/>
      <c r="F19" s="95"/>
      <c r="G19" s="95"/>
      <c r="H19" s="95"/>
      <c r="I19" s="95"/>
      <c r="J19" s="95">
        <v>1000</v>
      </c>
      <c r="K19" s="195" t="s">
        <v>485</v>
      </c>
      <c r="L19" s="15"/>
      <c r="N19" s="52"/>
    </row>
    <row r="20" spans="1:12" ht="23.25" customHeight="1">
      <c r="A20" s="66"/>
      <c r="B20" s="57" t="s">
        <v>463</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49" t="s">
        <v>474</v>
      </c>
      <c r="C26" s="749"/>
      <c r="D26" s="234"/>
      <c r="E26" s="22"/>
      <c r="F26" s="22"/>
      <c r="G26" s="16"/>
      <c r="H26" s="16"/>
      <c r="I26" s="16"/>
      <c r="J26" s="23"/>
      <c r="K26" s="86" t="s">
        <v>616</v>
      </c>
      <c r="L26" s="23"/>
    </row>
    <row r="27" spans="2:12" ht="13.5" customHeight="1">
      <c r="B27" s="234"/>
      <c r="C27" s="234"/>
      <c r="D27" s="234"/>
      <c r="E27" s="22"/>
      <c r="F27" s="22"/>
      <c r="G27" s="16"/>
      <c r="H27" s="16"/>
      <c r="I27" s="16"/>
      <c r="J27" s="23"/>
      <c r="K27" s="23"/>
      <c r="L27" s="23"/>
    </row>
    <row r="28" spans="2:11" ht="18.75">
      <c r="B28" s="675" t="s">
        <v>159</v>
      </c>
      <c r="C28" s="675"/>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B10:K10"/>
    <mergeCell ref="K12:K14"/>
    <mergeCell ref="E13:E14"/>
    <mergeCell ref="G13:G14"/>
    <mergeCell ref="J8:K8"/>
    <mergeCell ref="B26:C26"/>
    <mergeCell ref="B28:C28"/>
    <mergeCell ref="C15:C16"/>
    <mergeCell ref="D15:D16"/>
    <mergeCell ref="E15:E16"/>
    <mergeCell ref="F15:F16"/>
    <mergeCell ref="D11:H11"/>
    <mergeCell ref="E12:J12"/>
    <mergeCell ref="H13:H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tabSelected="1" view="pageBreakPreview" zoomScale="90" zoomScaleSheetLayoutView="90" zoomScalePageLayoutView="0" workbookViewId="0" topLeftCell="A1">
      <selection activeCell="E12" sqref="E12:G12"/>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72" t="s">
        <v>412</v>
      </c>
    </row>
    <row r="2" spans="2:12" ht="15.75">
      <c r="B2" s="15"/>
      <c r="C2" s="15"/>
      <c r="D2" s="15"/>
      <c r="E2" s="15"/>
      <c r="F2" s="15"/>
      <c r="G2" s="12" t="s">
        <v>468</v>
      </c>
      <c r="H2" s="12"/>
      <c r="I2" s="15"/>
      <c r="J2" s="12"/>
      <c r="K2" s="12"/>
      <c r="L2" s="12"/>
    </row>
    <row r="3" spans="2:12" ht="15.75">
      <c r="B3" s="15"/>
      <c r="C3" s="15"/>
      <c r="D3" s="15"/>
      <c r="E3" s="15"/>
      <c r="F3" s="15"/>
      <c r="G3" s="12" t="s">
        <v>639</v>
      </c>
      <c r="H3" s="12"/>
      <c r="I3" s="15"/>
      <c r="J3" s="12"/>
      <c r="K3" s="12"/>
      <c r="L3" s="12"/>
    </row>
    <row r="4" spans="2:12" ht="15.75">
      <c r="B4" s="15"/>
      <c r="C4" s="15"/>
      <c r="D4" s="15"/>
      <c r="E4" s="15"/>
      <c r="F4" s="15"/>
      <c r="G4" s="17" t="s">
        <v>161</v>
      </c>
      <c r="H4" s="17"/>
      <c r="I4" s="15"/>
      <c r="J4" s="12"/>
      <c r="K4" s="12"/>
      <c r="L4" s="12"/>
    </row>
    <row r="5" spans="2:12" ht="15.75">
      <c r="B5" s="15"/>
      <c r="C5" s="15"/>
      <c r="D5" s="15"/>
      <c r="E5" s="15"/>
      <c r="F5" s="15"/>
      <c r="G5" s="17" t="s">
        <v>369</v>
      </c>
      <c r="H5" s="17"/>
      <c r="I5" s="15"/>
      <c r="J5" s="12"/>
      <c r="K5" s="12"/>
      <c r="L5" s="12"/>
    </row>
    <row r="6" spans="2:12" ht="15.75">
      <c r="B6" s="15"/>
      <c r="C6" s="15"/>
      <c r="D6" s="15"/>
      <c r="E6" s="15"/>
      <c r="F6" s="15"/>
      <c r="G6" s="17" t="s">
        <v>581</v>
      </c>
      <c r="H6" s="17"/>
      <c r="I6" s="217"/>
      <c r="J6" s="12"/>
      <c r="K6" s="12"/>
      <c r="L6" s="12"/>
    </row>
    <row r="7" spans="2:12" ht="15.75" customHeight="1">
      <c r="B7" s="15"/>
      <c r="C7" s="15"/>
      <c r="D7" s="15"/>
      <c r="E7" s="15"/>
      <c r="F7" s="15"/>
      <c r="G7" s="17" t="s">
        <v>640</v>
      </c>
      <c r="H7" s="17"/>
      <c r="I7" s="217"/>
      <c r="J7" s="12"/>
      <c r="K7" s="12"/>
      <c r="L7" s="12"/>
    </row>
    <row r="8" spans="2:12" ht="15.75">
      <c r="B8" s="15"/>
      <c r="C8" s="15"/>
      <c r="D8" s="15"/>
      <c r="E8" s="15"/>
      <c r="F8" s="15"/>
      <c r="G8" s="665" t="s">
        <v>641</v>
      </c>
      <c r="H8" s="665"/>
      <c r="I8" s="665"/>
      <c r="J8" s="665"/>
      <c r="K8" s="665"/>
      <c r="L8" s="665"/>
    </row>
    <row r="9" spans="2:8" ht="11.25" customHeight="1">
      <c r="B9" s="15"/>
      <c r="C9" s="15"/>
      <c r="D9" s="15"/>
      <c r="E9" s="15"/>
      <c r="F9" s="15"/>
      <c r="H9" s="15"/>
    </row>
    <row r="10" spans="2:8" ht="16.5" customHeight="1">
      <c r="B10" s="700" t="s">
        <v>421</v>
      </c>
      <c r="C10" s="700"/>
      <c r="D10" s="700"/>
      <c r="E10" s="700"/>
      <c r="F10" s="700"/>
      <c r="G10" s="700"/>
      <c r="H10" s="700"/>
    </row>
    <row r="11" spans="2:8" ht="4.5" customHeight="1">
      <c r="B11" s="15"/>
      <c r="C11" s="15"/>
      <c r="D11" s="676"/>
      <c r="E11" s="676"/>
      <c r="F11" s="676"/>
      <c r="G11" s="15"/>
      <c r="H11" s="15"/>
    </row>
    <row r="12" spans="1:8" ht="20.25" customHeight="1">
      <c r="A12" s="674" t="s">
        <v>486</v>
      </c>
      <c r="B12" s="708" t="s">
        <v>469</v>
      </c>
      <c r="C12" s="667" t="s">
        <v>470</v>
      </c>
      <c r="D12" s="667" t="s">
        <v>471</v>
      </c>
      <c r="E12" s="677" t="s">
        <v>466</v>
      </c>
      <c r="F12" s="677"/>
      <c r="G12" s="708"/>
      <c r="H12" s="674" t="s">
        <v>472</v>
      </c>
    </row>
    <row r="13" spans="1:8" ht="45" customHeight="1">
      <c r="A13" s="674"/>
      <c r="B13" s="808"/>
      <c r="C13" s="668"/>
      <c r="D13" s="668"/>
      <c r="E13" s="702">
        <v>2022</v>
      </c>
      <c r="F13" s="702">
        <v>2023</v>
      </c>
      <c r="G13" s="702">
        <v>2024</v>
      </c>
      <c r="H13" s="674"/>
    </row>
    <row r="14" spans="1:8" ht="1.5" customHeight="1">
      <c r="A14" s="674"/>
      <c r="B14" s="774"/>
      <c r="C14" s="669"/>
      <c r="D14" s="669"/>
      <c r="E14" s="703"/>
      <c r="F14" s="703"/>
      <c r="G14" s="703"/>
      <c r="H14" s="674"/>
    </row>
    <row r="15" spans="1:8" s="286" customFormat="1" ht="39.75" customHeight="1">
      <c r="A15" s="343"/>
      <c r="B15" s="334" t="s">
        <v>197</v>
      </c>
      <c r="C15" s="332"/>
      <c r="D15" s="380">
        <f>E15+F15+G15</f>
        <v>152453.3</v>
      </c>
      <c r="E15" s="381">
        <f>E16+E23+E29+E37</f>
        <v>12983.3</v>
      </c>
      <c r="F15" s="381">
        <f>F16+F23+F29</f>
        <v>68900</v>
      </c>
      <c r="G15" s="381">
        <f>G16+G23+G29</f>
        <v>70570</v>
      </c>
      <c r="H15" s="304"/>
    </row>
    <row r="16" spans="1:8" ht="33" customHeight="1">
      <c r="A16" s="344" t="s">
        <v>291</v>
      </c>
      <c r="B16" s="376" t="s">
        <v>201</v>
      </c>
      <c r="C16" s="35" t="s">
        <v>195</v>
      </c>
      <c r="D16" s="382">
        <f aca="true" t="shared" si="0" ref="D16:D33">E16+F16+G16</f>
        <v>38236.100000000006</v>
      </c>
      <c r="E16" s="383">
        <f>21400-10000-8423.8-240.1-600</f>
        <v>2136.100000000001</v>
      </c>
      <c r="F16" s="383">
        <f>22500-5000</f>
        <v>17500</v>
      </c>
      <c r="G16" s="383">
        <f>23600-5000</f>
        <v>18600</v>
      </c>
      <c r="H16" s="670" t="s">
        <v>40</v>
      </c>
    </row>
    <row r="17" spans="1:8" s="284" customFormat="1" ht="81.75" customHeight="1" hidden="1">
      <c r="A17" s="344" t="s">
        <v>41</v>
      </c>
      <c r="B17" s="335" t="s">
        <v>204</v>
      </c>
      <c r="C17" s="35" t="str">
        <f aca="true" t="shared" si="1" ref="C17:C22">$C$16</f>
        <v>Бюджет ТГ</v>
      </c>
      <c r="D17" s="382">
        <f t="shared" si="0"/>
        <v>0</v>
      </c>
      <c r="E17" s="383"/>
      <c r="F17" s="383"/>
      <c r="G17" s="384"/>
      <c r="H17" s="671"/>
    </row>
    <row r="18" spans="1:8" s="284" customFormat="1" ht="99" customHeight="1" hidden="1">
      <c r="A18" s="344" t="s">
        <v>45</v>
      </c>
      <c r="B18" s="336" t="s">
        <v>205</v>
      </c>
      <c r="C18" s="35" t="str">
        <f t="shared" si="1"/>
        <v>Бюджет ТГ</v>
      </c>
      <c r="D18" s="382">
        <f t="shared" si="0"/>
        <v>0</v>
      </c>
      <c r="E18" s="383"/>
      <c r="F18" s="383"/>
      <c r="G18" s="384"/>
      <c r="H18" s="671"/>
    </row>
    <row r="19" spans="1:8" s="284" customFormat="1" ht="57" customHeight="1" hidden="1">
      <c r="A19" s="344" t="s">
        <v>46</v>
      </c>
      <c r="B19" s="333" t="s">
        <v>206</v>
      </c>
      <c r="C19" s="63" t="str">
        <f t="shared" si="1"/>
        <v>Бюджет ТГ</v>
      </c>
      <c r="D19" s="382">
        <f t="shared" si="0"/>
        <v>0</v>
      </c>
      <c r="E19" s="383"/>
      <c r="F19" s="383"/>
      <c r="G19" s="385"/>
      <c r="H19" s="671"/>
    </row>
    <row r="20" spans="1:8" s="284" customFormat="1" ht="57" customHeight="1" hidden="1">
      <c r="A20" s="344" t="s">
        <v>47</v>
      </c>
      <c r="B20" s="335" t="s">
        <v>207</v>
      </c>
      <c r="C20" s="63" t="str">
        <f t="shared" si="1"/>
        <v>Бюджет ТГ</v>
      </c>
      <c r="D20" s="382">
        <f t="shared" si="0"/>
        <v>0</v>
      </c>
      <c r="E20" s="386"/>
      <c r="F20" s="386"/>
      <c r="G20" s="382"/>
      <c r="H20" s="671"/>
    </row>
    <row r="21" spans="1:8" s="284" customFormat="1" ht="66.75" customHeight="1" hidden="1">
      <c r="A21" s="344" t="s">
        <v>48</v>
      </c>
      <c r="B21" s="338" t="s">
        <v>208</v>
      </c>
      <c r="C21" s="204" t="str">
        <f t="shared" si="1"/>
        <v>Бюджет ТГ</v>
      </c>
      <c r="D21" s="382">
        <f t="shared" si="0"/>
        <v>0</v>
      </c>
      <c r="E21" s="383"/>
      <c r="F21" s="383"/>
      <c r="G21" s="384"/>
      <c r="H21" s="671"/>
    </row>
    <row r="22" spans="1:8" s="284" customFormat="1" ht="57.75" customHeight="1" hidden="1">
      <c r="A22" s="344" t="s">
        <v>49</v>
      </c>
      <c r="B22" s="338" t="s">
        <v>260</v>
      </c>
      <c r="C22" s="204" t="str">
        <f t="shared" si="1"/>
        <v>Бюджет ТГ</v>
      </c>
      <c r="D22" s="382">
        <f t="shared" si="0"/>
        <v>0</v>
      </c>
      <c r="E22" s="383"/>
      <c r="F22" s="383"/>
      <c r="G22" s="384"/>
      <c r="H22" s="671"/>
    </row>
    <row r="23" spans="1:8" ht="27.75" customHeight="1">
      <c r="A23" s="344" t="s">
        <v>172</v>
      </c>
      <c r="B23" s="377" t="s">
        <v>198</v>
      </c>
      <c r="C23" s="203" t="s">
        <v>195</v>
      </c>
      <c r="D23" s="382">
        <f t="shared" si="0"/>
        <v>2870</v>
      </c>
      <c r="E23" s="383">
        <f>1333.8-1333.8</f>
        <v>0</v>
      </c>
      <c r="F23" s="383">
        <v>1400</v>
      </c>
      <c r="G23" s="384">
        <v>1470</v>
      </c>
      <c r="H23" s="671"/>
    </row>
    <row r="24" spans="1:8" ht="56.25" customHeight="1" hidden="1">
      <c r="A24" s="344" t="s">
        <v>81</v>
      </c>
      <c r="B24" s="337" t="s">
        <v>215</v>
      </c>
      <c r="C24" s="203" t="s">
        <v>195</v>
      </c>
      <c r="D24" s="382">
        <f t="shared" si="0"/>
        <v>250</v>
      </c>
      <c r="E24" s="383">
        <v>250</v>
      </c>
      <c r="F24" s="383"/>
      <c r="G24" s="384"/>
      <c r="H24" s="671"/>
    </row>
    <row r="25" spans="1:8" ht="57" customHeight="1" hidden="1">
      <c r="A25" s="344" t="s">
        <v>101</v>
      </c>
      <c r="B25" s="337" t="s">
        <v>216</v>
      </c>
      <c r="C25" s="203" t="s">
        <v>195</v>
      </c>
      <c r="D25" s="382">
        <f t="shared" si="0"/>
        <v>250</v>
      </c>
      <c r="E25" s="383">
        <v>250</v>
      </c>
      <c r="F25" s="383"/>
      <c r="G25" s="384"/>
      <c r="H25" s="671"/>
    </row>
    <row r="26" spans="1:8" ht="56.25" customHeight="1" hidden="1">
      <c r="A26" s="344" t="s">
        <v>109</v>
      </c>
      <c r="B26" s="337" t="s">
        <v>217</v>
      </c>
      <c r="C26" s="203" t="s">
        <v>195</v>
      </c>
      <c r="D26" s="382">
        <f t="shared" si="0"/>
        <v>250</v>
      </c>
      <c r="E26" s="383">
        <v>250</v>
      </c>
      <c r="F26" s="383"/>
      <c r="G26" s="384"/>
      <c r="H26" s="671"/>
    </row>
    <row r="27" spans="1:8" ht="57.75" customHeight="1" hidden="1">
      <c r="A27" s="344" t="s">
        <v>110</v>
      </c>
      <c r="B27" s="337" t="s">
        <v>218</v>
      </c>
      <c r="C27" s="203" t="s">
        <v>195</v>
      </c>
      <c r="D27" s="382">
        <f t="shared" si="0"/>
        <v>250</v>
      </c>
      <c r="E27" s="383">
        <v>250</v>
      </c>
      <c r="F27" s="383"/>
      <c r="G27" s="384"/>
      <c r="H27" s="671"/>
    </row>
    <row r="28" spans="1:8" ht="55.5" customHeight="1" hidden="1">
      <c r="A28" s="344" t="s">
        <v>111</v>
      </c>
      <c r="B28" s="337" t="s">
        <v>219</v>
      </c>
      <c r="C28" s="203" t="s">
        <v>195</v>
      </c>
      <c r="D28" s="382">
        <f t="shared" si="0"/>
        <v>250</v>
      </c>
      <c r="E28" s="383">
        <v>250</v>
      </c>
      <c r="F28" s="383"/>
      <c r="G28" s="384"/>
      <c r="H28" s="671"/>
    </row>
    <row r="29" spans="1:8" ht="29.25" customHeight="1">
      <c r="A29" s="344" t="s">
        <v>158</v>
      </c>
      <c r="B29" s="378" t="s">
        <v>199</v>
      </c>
      <c r="C29" s="203" t="s">
        <v>195</v>
      </c>
      <c r="D29" s="382">
        <f>E29+F29+G29</f>
        <v>110755.1</v>
      </c>
      <c r="E29" s="383">
        <f>15000+35000-39744.9</f>
        <v>10255.099999999999</v>
      </c>
      <c r="F29" s="383">
        <f>10000+40000</f>
        <v>50000</v>
      </c>
      <c r="G29" s="384">
        <f>10500+40000</f>
        <v>50500</v>
      </c>
      <c r="H29" s="671"/>
    </row>
    <row r="30" spans="1:8" ht="56.25" customHeight="1" hidden="1">
      <c r="A30" s="344" t="s">
        <v>121</v>
      </c>
      <c r="B30" s="335" t="s">
        <v>209</v>
      </c>
      <c r="C30" s="203" t="s">
        <v>195</v>
      </c>
      <c r="D30" s="382">
        <f t="shared" si="0"/>
        <v>1200</v>
      </c>
      <c r="E30" s="383">
        <v>1200</v>
      </c>
      <c r="F30" s="383"/>
      <c r="G30" s="384"/>
      <c r="H30" s="671"/>
    </row>
    <row r="31" spans="1:8" ht="86.25" customHeight="1" hidden="1">
      <c r="A31" s="344" t="s">
        <v>145</v>
      </c>
      <c r="B31" s="336" t="s">
        <v>210</v>
      </c>
      <c r="C31" s="203" t="s">
        <v>195</v>
      </c>
      <c r="D31" s="382">
        <f t="shared" si="0"/>
        <v>300</v>
      </c>
      <c r="E31" s="383">
        <v>300</v>
      </c>
      <c r="F31" s="383"/>
      <c r="G31" s="384"/>
      <c r="H31" s="671"/>
    </row>
    <row r="32" spans="1:8" ht="57" customHeight="1" hidden="1">
      <c r="A32" s="344" t="s">
        <v>181</v>
      </c>
      <c r="B32" s="336" t="s">
        <v>211</v>
      </c>
      <c r="C32" s="203" t="s">
        <v>195</v>
      </c>
      <c r="D32" s="382">
        <f t="shared" si="0"/>
        <v>3000</v>
      </c>
      <c r="E32" s="383">
        <v>3000</v>
      </c>
      <c r="F32" s="383"/>
      <c r="G32" s="384"/>
      <c r="H32" s="671"/>
    </row>
    <row r="33" spans="1:8" ht="55.5" customHeight="1" hidden="1">
      <c r="A33" s="344" t="s">
        <v>182</v>
      </c>
      <c r="B33" s="337" t="s">
        <v>212</v>
      </c>
      <c r="C33" s="203" t="s">
        <v>195</v>
      </c>
      <c r="D33" s="382">
        <f t="shared" si="0"/>
        <v>550</v>
      </c>
      <c r="E33" s="383">
        <v>550</v>
      </c>
      <c r="F33" s="383"/>
      <c r="G33" s="384"/>
      <c r="H33" s="671"/>
    </row>
    <row r="34" spans="1:8" ht="61.5" customHeight="1" hidden="1">
      <c r="A34" s="344" t="s">
        <v>189</v>
      </c>
      <c r="B34" s="337" t="s">
        <v>213</v>
      </c>
      <c r="C34" s="203" t="s">
        <v>195</v>
      </c>
      <c r="D34" s="382">
        <f aca="true" t="shared" si="2" ref="D34:D61">E34+F34+G34</f>
        <v>400</v>
      </c>
      <c r="E34" s="383">
        <v>400</v>
      </c>
      <c r="F34" s="383"/>
      <c r="G34" s="384"/>
      <c r="H34" s="671"/>
    </row>
    <row r="35" spans="1:8" ht="78" customHeight="1" hidden="1">
      <c r="A35" s="344" t="s">
        <v>292</v>
      </c>
      <c r="B35" s="337" t="s">
        <v>214</v>
      </c>
      <c r="C35" s="203" t="s">
        <v>195</v>
      </c>
      <c r="D35" s="382">
        <f t="shared" si="2"/>
        <v>2350</v>
      </c>
      <c r="E35" s="383">
        <v>2350</v>
      </c>
      <c r="F35" s="383"/>
      <c r="G35" s="384"/>
      <c r="H35" s="671"/>
    </row>
    <row r="36" spans="1:8" ht="55.5" customHeight="1" hidden="1">
      <c r="A36" s="344" t="s">
        <v>293</v>
      </c>
      <c r="B36" s="337" t="s">
        <v>261</v>
      </c>
      <c r="C36" s="203" t="s">
        <v>195</v>
      </c>
      <c r="D36" s="382">
        <f t="shared" si="2"/>
        <v>1500</v>
      </c>
      <c r="E36" s="383">
        <v>1500</v>
      </c>
      <c r="F36" s="383"/>
      <c r="G36" s="384"/>
      <c r="H36" s="671"/>
    </row>
    <row r="37" spans="1:8" ht="40.5" customHeight="1">
      <c r="A37" s="344" t="s">
        <v>353</v>
      </c>
      <c r="B37" s="337" t="s">
        <v>354</v>
      </c>
      <c r="C37" s="203" t="s">
        <v>195</v>
      </c>
      <c r="D37" s="382">
        <f t="shared" si="2"/>
        <v>14592.1</v>
      </c>
      <c r="E37" s="383">
        <f>7500-6907.9</f>
        <v>592.1000000000004</v>
      </c>
      <c r="F37" s="383">
        <v>7000</v>
      </c>
      <c r="G37" s="384">
        <v>7000</v>
      </c>
      <c r="H37" s="672"/>
    </row>
    <row r="38" spans="1:10" s="286" customFormat="1" ht="48.75" customHeight="1">
      <c r="A38" s="346"/>
      <c r="B38" s="339" t="s">
        <v>200</v>
      </c>
      <c r="C38" s="299"/>
      <c r="D38" s="380">
        <f>E38+F38+G38</f>
        <v>155478</v>
      </c>
      <c r="E38" s="381">
        <f>E39+E47+E54+E56</f>
        <v>4778</v>
      </c>
      <c r="F38" s="381">
        <f>F39+F47+F54+F56</f>
        <v>101400</v>
      </c>
      <c r="G38" s="381">
        <f>G39+G47+G54+G56</f>
        <v>49300</v>
      </c>
      <c r="H38" s="332"/>
      <c r="J38" s="369"/>
    </row>
    <row r="39" spans="1:8" ht="37.5" customHeight="1">
      <c r="A39" s="344" t="s">
        <v>186</v>
      </c>
      <c r="B39" s="378" t="s">
        <v>201</v>
      </c>
      <c r="C39" s="203" t="s">
        <v>195</v>
      </c>
      <c r="D39" s="382">
        <f t="shared" si="2"/>
        <v>16791</v>
      </c>
      <c r="E39" s="387">
        <f>7000-5709</f>
        <v>1291</v>
      </c>
      <c r="F39" s="387">
        <v>7500</v>
      </c>
      <c r="G39" s="384">
        <v>8000</v>
      </c>
      <c r="H39" s="670" t="s">
        <v>40</v>
      </c>
    </row>
    <row r="40" spans="1:8" ht="60" customHeight="1" hidden="1">
      <c r="A40" s="344" t="s">
        <v>128</v>
      </c>
      <c r="B40" s="340" t="s">
        <v>175</v>
      </c>
      <c r="C40" s="203" t="s">
        <v>195</v>
      </c>
      <c r="D40" s="382">
        <f t="shared" si="2"/>
        <v>1499.9</v>
      </c>
      <c r="E40" s="383">
        <v>1499.9</v>
      </c>
      <c r="F40" s="387"/>
      <c r="G40" s="384"/>
      <c r="H40" s="671"/>
    </row>
    <row r="41" spans="1:8" ht="51" customHeight="1" hidden="1">
      <c r="A41" s="344" t="s">
        <v>183</v>
      </c>
      <c r="B41" s="341" t="s">
        <v>220</v>
      </c>
      <c r="C41" s="203" t="s">
        <v>195</v>
      </c>
      <c r="D41" s="382">
        <f t="shared" si="2"/>
        <v>2000</v>
      </c>
      <c r="E41" s="383">
        <v>2000</v>
      </c>
      <c r="F41" s="387"/>
      <c r="G41" s="384"/>
      <c r="H41" s="671"/>
    </row>
    <row r="42" spans="1:8" ht="60.75" customHeight="1" hidden="1">
      <c r="A42" s="344" t="s">
        <v>184</v>
      </c>
      <c r="B42" s="342" t="s">
        <v>262</v>
      </c>
      <c r="C42" s="203" t="s">
        <v>195</v>
      </c>
      <c r="D42" s="382">
        <f t="shared" si="2"/>
        <v>1800</v>
      </c>
      <c r="E42" s="383">
        <v>1800</v>
      </c>
      <c r="F42" s="387"/>
      <c r="G42" s="384"/>
      <c r="H42" s="671"/>
    </row>
    <row r="43" spans="1:8" ht="60.75" customHeight="1" hidden="1">
      <c r="A43" s="344" t="s">
        <v>185</v>
      </c>
      <c r="B43" s="342" t="s">
        <v>263</v>
      </c>
      <c r="C43" s="203" t="s">
        <v>195</v>
      </c>
      <c r="D43" s="382">
        <f t="shared" si="2"/>
        <v>600</v>
      </c>
      <c r="E43" s="383">
        <v>600</v>
      </c>
      <c r="F43" s="387"/>
      <c r="G43" s="384"/>
      <c r="H43" s="671"/>
    </row>
    <row r="44" spans="1:8" ht="51" customHeight="1" hidden="1">
      <c r="A44" s="344" t="s">
        <v>297</v>
      </c>
      <c r="B44" s="342" t="s">
        <v>264</v>
      </c>
      <c r="C44" s="203" t="s">
        <v>195</v>
      </c>
      <c r="D44" s="382">
        <f t="shared" si="2"/>
        <v>304.6</v>
      </c>
      <c r="E44" s="383">
        <v>304.6</v>
      </c>
      <c r="F44" s="387"/>
      <c r="G44" s="384"/>
      <c r="H44" s="671"/>
    </row>
    <row r="45" spans="1:8" ht="58.5" customHeight="1" hidden="1">
      <c r="A45" s="344" t="s">
        <v>298</v>
      </c>
      <c r="B45" s="342" t="s">
        <v>265</v>
      </c>
      <c r="C45" s="203" t="s">
        <v>195</v>
      </c>
      <c r="D45" s="382">
        <f t="shared" si="2"/>
        <v>388.7</v>
      </c>
      <c r="E45" s="383">
        <v>388.7</v>
      </c>
      <c r="F45" s="387"/>
      <c r="G45" s="384"/>
      <c r="H45" s="671"/>
    </row>
    <row r="46" spans="1:8" ht="17.25" customHeight="1" hidden="1">
      <c r="A46" s="344" t="s">
        <v>299</v>
      </c>
      <c r="B46" s="342" t="s">
        <v>266</v>
      </c>
      <c r="C46" s="203" t="s">
        <v>195</v>
      </c>
      <c r="D46" s="382">
        <f t="shared" si="2"/>
        <v>35</v>
      </c>
      <c r="E46" s="383">
        <v>35</v>
      </c>
      <c r="F46" s="387"/>
      <c r="G46" s="384"/>
      <c r="H46" s="671"/>
    </row>
    <row r="47" spans="1:8" ht="39" customHeight="1">
      <c r="A47" s="344" t="s">
        <v>187</v>
      </c>
      <c r="B47" s="379" t="s">
        <v>202</v>
      </c>
      <c r="C47" s="203" t="s">
        <v>195</v>
      </c>
      <c r="D47" s="382">
        <f t="shared" si="2"/>
        <v>84302</v>
      </c>
      <c r="E47" s="383">
        <f>32000-28698</f>
        <v>3302</v>
      </c>
      <c r="F47" s="387">
        <f>33000+7000</f>
        <v>40000</v>
      </c>
      <c r="G47" s="384">
        <f>34000+7000</f>
        <v>41000</v>
      </c>
      <c r="H47" s="671"/>
    </row>
    <row r="48" spans="1:8" ht="114.75" customHeight="1" hidden="1">
      <c r="A48" s="344" t="s">
        <v>122</v>
      </c>
      <c r="B48" s="337" t="s">
        <v>176</v>
      </c>
      <c r="C48" s="203" t="s">
        <v>195</v>
      </c>
      <c r="D48" s="382">
        <f t="shared" si="2"/>
        <v>3500</v>
      </c>
      <c r="E48" s="383">
        <v>3500</v>
      </c>
      <c r="F48" s="387"/>
      <c r="G48" s="384"/>
      <c r="H48" s="671"/>
    </row>
    <row r="49" spans="1:8" ht="56.25" customHeight="1" hidden="1">
      <c r="A49" s="344" t="s">
        <v>138</v>
      </c>
      <c r="B49" s="335" t="s">
        <v>221</v>
      </c>
      <c r="C49" s="203" t="s">
        <v>195</v>
      </c>
      <c r="D49" s="382">
        <f t="shared" si="2"/>
        <v>21000</v>
      </c>
      <c r="E49" s="383">
        <v>21000</v>
      </c>
      <c r="F49" s="387"/>
      <c r="G49" s="384"/>
      <c r="H49" s="671"/>
    </row>
    <row r="50" spans="1:8" ht="57.75" customHeight="1" hidden="1">
      <c r="A50" s="344" t="s">
        <v>146</v>
      </c>
      <c r="B50" s="335" t="s">
        <v>222</v>
      </c>
      <c r="C50" s="203" t="s">
        <v>195</v>
      </c>
      <c r="D50" s="382">
        <f t="shared" si="2"/>
        <v>2000</v>
      </c>
      <c r="E50" s="383">
        <v>2000</v>
      </c>
      <c r="F50" s="387"/>
      <c r="G50" s="384"/>
      <c r="H50" s="671"/>
    </row>
    <row r="51" spans="1:8" ht="59.25" customHeight="1" hidden="1">
      <c r="A51" s="344" t="s">
        <v>294</v>
      </c>
      <c r="B51" s="335" t="s">
        <v>223</v>
      </c>
      <c r="C51" s="203" t="s">
        <v>195</v>
      </c>
      <c r="D51" s="382">
        <f t="shared" si="2"/>
        <v>1750</v>
      </c>
      <c r="E51" s="383">
        <v>1750</v>
      </c>
      <c r="F51" s="387"/>
      <c r="G51" s="384"/>
      <c r="H51" s="671"/>
    </row>
    <row r="52" spans="1:8" ht="58.5" customHeight="1" hidden="1">
      <c r="A52" s="344" t="s">
        <v>295</v>
      </c>
      <c r="B52" s="335" t="s">
        <v>224</v>
      </c>
      <c r="C52" s="203" t="s">
        <v>195</v>
      </c>
      <c r="D52" s="382">
        <f t="shared" si="2"/>
        <v>1750</v>
      </c>
      <c r="E52" s="383">
        <v>1750</v>
      </c>
      <c r="F52" s="387"/>
      <c r="G52" s="384"/>
      <c r="H52" s="671"/>
    </row>
    <row r="53" spans="1:8" ht="57" customHeight="1" hidden="1">
      <c r="A53" s="344" t="s">
        <v>296</v>
      </c>
      <c r="B53" s="335" t="s">
        <v>225</v>
      </c>
      <c r="C53" s="203" t="s">
        <v>195</v>
      </c>
      <c r="D53" s="382">
        <f t="shared" si="2"/>
        <v>250</v>
      </c>
      <c r="E53" s="383">
        <v>250</v>
      </c>
      <c r="F53" s="387"/>
      <c r="G53" s="384"/>
      <c r="H53" s="671"/>
    </row>
    <row r="54" spans="1:8" s="287" customFormat="1" ht="33" customHeight="1">
      <c r="A54" s="344" t="s">
        <v>188</v>
      </c>
      <c r="B54" s="337" t="s">
        <v>229</v>
      </c>
      <c r="C54" s="203" t="s">
        <v>195</v>
      </c>
      <c r="D54" s="382">
        <f t="shared" si="2"/>
        <v>885</v>
      </c>
      <c r="E54" s="387">
        <f>650-465</f>
        <v>185</v>
      </c>
      <c r="F54" s="387">
        <v>400</v>
      </c>
      <c r="G54" s="387">
        <v>300</v>
      </c>
      <c r="H54" s="672"/>
    </row>
    <row r="55" spans="1:8" ht="3.75" customHeight="1" hidden="1">
      <c r="A55" s="344" t="s">
        <v>125</v>
      </c>
      <c r="B55" s="337" t="s">
        <v>230</v>
      </c>
      <c r="C55" s="203" t="s">
        <v>195</v>
      </c>
      <c r="D55" s="382">
        <f t="shared" si="2"/>
        <v>650</v>
      </c>
      <c r="E55" s="383">
        <v>650</v>
      </c>
      <c r="F55" s="387"/>
      <c r="G55" s="384"/>
      <c r="H55" s="195" t="s">
        <v>40</v>
      </c>
    </row>
    <row r="56" spans="1:8" ht="54" customHeight="1">
      <c r="A56" s="344" t="s">
        <v>194</v>
      </c>
      <c r="B56" s="337" t="s">
        <v>391</v>
      </c>
      <c r="C56" s="203" t="s">
        <v>35</v>
      </c>
      <c r="D56" s="382">
        <f t="shared" si="2"/>
        <v>53500</v>
      </c>
      <c r="E56" s="383">
        <f>25000-25000</f>
        <v>0</v>
      </c>
      <c r="F56" s="387">
        <v>53500</v>
      </c>
      <c r="G56" s="384"/>
      <c r="H56" s="195"/>
    </row>
    <row r="57" spans="1:8" s="286" customFormat="1" ht="42.75" customHeight="1">
      <c r="A57" s="345"/>
      <c r="B57" s="339" t="s">
        <v>203</v>
      </c>
      <c r="C57" s="299"/>
      <c r="D57" s="380">
        <f t="shared" si="2"/>
        <v>20000</v>
      </c>
      <c r="E57" s="381">
        <f>E59</f>
        <v>0</v>
      </c>
      <c r="F57" s="381">
        <f>F59</f>
        <v>10000</v>
      </c>
      <c r="G57" s="381">
        <f>G59</f>
        <v>10000</v>
      </c>
      <c r="H57" s="332"/>
    </row>
    <row r="58" spans="1:8" s="467" customFormat="1" ht="60" customHeight="1" hidden="1">
      <c r="A58" s="548" t="s">
        <v>147</v>
      </c>
      <c r="B58" s="549" t="s">
        <v>226</v>
      </c>
      <c r="C58" s="518" t="s">
        <v>195</v>
      </c>
      <c r="D58" s="550">
        <f t="shared" si="2"/>
        <v>0</v>
      </c>
      <c r="E58" s="551"/>
      <c r="F58" s="551"/>
      <c r="G58" s="551"/>
      <c r="H58" s="730"/>
    </row>
    <row r="59" spans="1:8" s="467" customFormat="1" ht="30.75" customHeight="1">
      <c r="A59" s="548" t="s">
        <v>390</v>
      </c>
      <c r="B59" s="547" t="s">
        <v>355</v>
      </c>
      <c r="C59" s="518"/>
      <c r="D59" s="550">
        <f t="shared" si="2"/>
        <v>20000</v>
      </c>
      <c r="E59" s="551">
        <f>10000-10000</f>
        <v>0</v>
      </c>
      <c r="F59" s="551">
        <v>10000</v>
      </c>
      <c r="G59" s="551">
        <v>10000</v>
      </c>
      <c r="H59" s="714"/>
    </row>
    <row r="60" spans="1:8" ht="58.5" customHeight="1" hidden="1">
      <c r="A60" s="344" t="s">
        <v>148</v>
      </c>
      <c r="B60" s="337" t="s">
        <v>227</v>
      </c>
      <c r="C60" s="203" t="s">
        <v>195</v>
      </c>
      <c r="D60" s="382">
        <f t="shared" si="2"/>
        <v>9880.2</v>
      </c>
      <c r="E60" s="383">
        <v>9880.2</v>
      </c>
      <c r="F60" s="383"/>
      <c r="G60" s="384"/>
      <c r="H60" s="195" t="s">
        <v>40</v>
      </c>
    </row>
    <row r="61" spans="1:8" ht="54.75" customHeight="1" hidden="1">
      <c r="A61" s="344" t="s">
        <v>149</v>
      </c>
      <c r="B61" s="337" t="s">
        <v>228</v>
      </c>
      <c r="C61" s="203" t="s">
        <v>195</v>
      </c>
      <c r="D61" s="382">
        <f t="shared" si="2"/>
        <v>5250</v>
      </c>
      <c r="E61" s="383">
        <v>250</v>
      </c>
      <c r="F61" s="383">
        <v>5000</v>
      </c>
      <c r="G61" s="384"/>
      <c r="H61" s="195" t="s">
        <v>40</v>
      </c>
    </row>
    <row r="62" spans="1:8" ht="18.75">
      <c r="A62" s="328"/>
      <c r="B62" s="67" t="s">
        <v>463</v>
      </c>
      <c r="C62" s="67"/>
      <c r="D62" s="388">
        <f>E62+F62+G62</f>
        <v>327931.3</v>
      </c>
      <c r="E62" s="388">
        <f>E57+E38+E15</f>
        <v>17761.3</v>
      </c>
      <c r="F62" s="388">
        <f>F57+F38+F15</f>
        <v>180300</v>
      </c>
      <c r="G62" s="388">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150</v>
      </c>
      <c r="C65" s="234"/>
      <c r="D65" s="234"/>
      <c r="E65" s="22"/>
      <c r="F65" s="22"/>
      <c r="G65" s="23"/>
      <c r="H65" s="86" t="s">
        <v>616</v>
      </c>
    </row>
    <row r="66" spans="2:8" ht="10.5" customHeight="1">
      <c r="B66" s="21"/>
      <c r="C66" s="21"/>
      <c r="D66" s="21"/>
      <c r="E66" s="22"/>
      <c r="F66" s="22"/>
      <c r="G66" s="23"/>
      <c r="H66" s="24"/>
    </row>
    <row r="67" spans="2:8" ht="18.75">
      <c r="B67" s="675" t="s">
        <v>159</v>
      </c>
      <c r="C67" s="675"/>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6">
    <mergeCell ref="G8:L8"/>
    <mergeCell ref="F13:F14"/>
    <mergeCell ref="B10:H10"/>
    <mergeCell ref="D11:F11"/>
    <mergeCell ref="B12:B14"/>
    <mergeCell ref="C12:C14"/>
    <mergeCell ref="G13:G14"/>
    <mergeCell ref="D12:D14"/>
    <mergeCell ref="E12:G12"/>
    <mergeCell ref="A12:A14"/>
    <mergeCell ref="B67:C67"/>
    <mergeCell ref="H39:H54"/>
    <mergeCell ref="H58:H59"/>
    <mergeCell ref="H16:H37"/>
    <mergeCell ref="H12:H14"/>
    <mergeCell ref="E13:E14"/>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E17" sqref="E17"/>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475</v>
      </c>
      <c r="J1" s="810" t="s">
        <v>120</v>
      </c>
      <c r="K1" s="810"/>
    </row>
    <row r="2" spans="2:15" ht="15.75">
      <c r="B2" s="1"/>
      <c r="C2" s="1"/>
      <c r="D2" s="1"/>
      <c r="E2" s="1"/>
      <c r="F2" s="1"/>
      <c r="G2" s="1"/>
      <c r="H2" s="1"/>
      <c r="I2" s="3" t="s">
        <v>468</v>
      </c>
      <c r="J2" s="12" t="s">
        <v>468</v>
      </c>
      <c r="K2" s="12"/>
      <c r="L2" s="15"/>
      <c r="M2" s="12"/>
      <c r="N2" s="12"/>
      <c r="O2" s="12"/>
    </row>
    <row r="3" spans="2:15" ht="15.75">
      <c r="B3" s="1"/>
      <c r="C3" s="1"/>
      <c r="D3" s="1"/>
      <c r="E3" s="1"/>
      <c r="F3" s="1"/>
      <c r="G3" s="1"/>
      <c r="H3" s="1"/>
      <c r="I3" s="3"/>
      <c r="J3" s="12" t="s">
        <v>456</v>
      </c>
      <c r="K3" s="12"/>
      <c r="L3" s="15"/>
      <c r="M3" s="12"/>
      <c r="N3" s="12"/>
      <c r="O3" s="12"/>
    </row>
    <row r="4" spans="2:15" ht="15.75">
      <c r="B4" s="1"/>
      <c r="C4" s="1"/>
      <c r="D4" s="1"/>
      <c r="E4" s="1"/>
      <c r="F4" s="1"/>
      <c r="G4" s="1"/>
      <c r="H4" s="1"/>
      <c r="I4" s="3" t="s">
        <v>476</v>
      </c>
      <c r="J4" s="17" t="s">
        <v>161</v>
      </c>
      <c r="K4" s="17"/>
      <c r="L4" s="15"/>
      <c r="M4" s="12"/>
      <c r="N4" s="12"/>
      <c r="O4" s="12"/>
    </row>
    <row r="5" spans="2:15" ht="15.75">
      <c r="B5" s="1"/>
      <c r="C5" s="1"/>
      <c r="D5" s="1"/>
      <c r="E5" s="1"/>
      <c r="F5" s="1"/>
      <c r="G5" s="1"/>
      <c r="H5" s="1"/>
      <c r="I5" s="3" t="s">
        <v>477</v>
      </c>
      <c r="J5" s="17" t="s">
        <v>369</v>
      </c>
      <c r="K5" s="17"/>
      <c r="L5" s="15"/>
      <c r="M5" s="12"/>
      <c r="N5" s="12"/>
      <c r="O5" s="12"/>
    </row>
    <row r="6" spans="2:15" ht="15.75" customHeight="1">
      <c r="B6" s="1"/>
      <c r="C6" s="1"/>
      <c r="D6" s="1"/>
      <c r="E6" s="1"/>
      <c r="F6" s="1"/>
      <c r="G6" s="1"/>
      <c r="H6" s="9"/>
      <c r="I6" s="3" t="s">
        <v>478</v>
      </c>
      <c r="J6" s="17" t="s">
        <v>612</v>
      </c>
      <c r="K6" s="17"/>
      <c r="L6" s="217"/>
      <c r="M6" s="12"/>
      <c r="N6" s="12"/>
      <c r="O6" s="12"/>
    </row>
    <row r="7" spans="2:15" ht="15.75" customHeight="1">
      <c r="B7" s="1"/>
      <c r="C7" s="1"/>
      <c r="D7" s="1"/>
      <c r="E7" s="1"/>
      <c r="F7" s="1"/>
      <c r="G7" s="1"/>
      <c r="H7" s="9"/>
      <c r="I7" s="3"/>
      <c r="J7" s="665" t="s">
        <v>610</v>
      </c>
      <c r="K7" s="665"/>
      <c r="L7" s="665"/>
      <c r="M7" s="665"/>
      <c r="N7" s="665"/>
      <c r="O7" s="665"/>
    </row>
    <row r="8" spans="2:15" ht="15.75" customHeight="1">
      <c r="B8" s="1"/>
      <c r="C8" s="1"/>
      <c r="D8" s="1"/>
      <c r="E8" s="1"/>
      <c r="F8" s="1"/>
      <c r="G8" s="1"/>
      <c r="H8" s="9"/>
      <c r="I8" s="3"/>
      <c r="J8" s="665" t="s">
        <v>611</v>
      </c>
      <c r="K8" s="665"/>
      <c r="L8" s="438"/>
      <c r="M8" s="438"/>
      <c r="N8" s="438"/>
      <c r="O8" s="438"/>
    </row>
    <row r="9" spans="2:15" ht="15.75">
      <c r="B9" s="1"/>
      <c r="C9" s="1"/>
      <c r="D9" s="1"/>
      <c r="E9" s="1"/>
      <c r="F9" s="1"/>
      <c r="G9" s="1"/>
      <c r="H9" s="9"/>
      <c r="I9" s="3"/>
      <c r="J9" s="665"/>
      <c r="K9" s="665"/>
      <c r="L9" s="438"/>
      <c r="M9" s="438"/>
      <c r="N9" s="438"/>
      <c r="O9" s="438"/>
    </row>
    <row r="10" spans="2:9" ht="15.75" customHeight="1">
      <c r="B10" s="1"/>
      <c r="C10" s="1"/>
      <c r="D10" s="1"/>
      <c r="E10" s="1"/>
      <c r="F10" s="1"/>
      <c r="G10" s="1"/>
      <c r="H10" s="9"/>
      <c r="I10" s="3" t="s">
        <v>479</v>
      </c>
    </row>
    <row r="11" spans="2:11" ht="15.75">
      <c r="B11" s="1"/>
      <c r="C11" s="1"/>
      <c r="D11" s="1"/>
      <c r="E11" s="1"/>
      <c r="F11" s="1"/>
      <c r="G11" s="1"/>
      <c r="H11" s="1"/>
      <c r="I11" s="1"/>
      <c r="J11" s="1"/>
      <c r="K11" s="1"/>
    </row>
    <row r="12" spans="2:11" ht="18.75">
      <c r="B12" s="811" t="s">
        <v>441</v>
      </c>
      <c r="C12" s="811"/>
      <c r="D12" s="811"/>
      <c r="E12" s="811"/>
      <c r="F12" s="811"/>
      <c r="G12" s="811"/>
      <c r="H12" s="811"/>
      <c r="I12" s="811"/>
      <c r="J12" s="811"/>
      <c r="K12" s="811"/>
    </row>
    <row r="13" spans="2:11" ht="15.75">
      <c r="B13" s="1"/>
      <c r="C13" s="1"/>
      <c r="D13" s="707"/>
      <c r="E13" s="707"/>
      <c r="F13" s="707"/>
      <c r="G13" s="707"/>
      <c r="H13" s="707"/>
      <c r="I13" s="1"/>
      <c r="J13" s="1"/>
      <c r="K13" s="44" t="s">
        <v>114</v>
      </c>
    </row>
    <row r="14" spans="1:11" ht="18.75">
      <c r="A14" s="689" t="s">
        <v>464</v>
      </c>
      <c r="B14" s="702" t="s">
        <v>469</v>
      </c>
      <c r="C14" s="702" t="s">
        <v>470</v>
      </c>
      <c r="D14" s="702" t="s">
        <v>117</v>
      </c>
      <c r="E14" s="705" t="s">
        <v>466</v>
      </c>
      <c r="F14" s="705"/>
      <c r="G14" s="705"/>
      <c r="H14" s="705"/>
      <c r="I14" s="705"/>
      <c r="J14" s="706"/>
      <c r="K14" s="691" t="s">
        <v>472</v>
      </c>
    </row>
    <row r="15" spans="1:11" ht="17.25" customHeight="1">
      <c r="A15" s="812"/>
      <c r="B15" s="704"/>
      <c r="C15" s="704"/>
      <c r="D15" s="704"/>
      <c r="E15" s="702">
        <v>2022</v>
      </c>
      <c r="F15" s="702">
        <v>2023</v>
      </c>
      <c r="G15" s="702" t="s">
        <v>481</v>
      </c>
      <c r="H15" s="702" t="s">
        <v>482</v>
      </c>
      <c r="I15" s="702" t="s">
        <v>483</v>
      </c>
      <c r="J15" s="691">
        <v>2024</v>
      </c>
      <c r="K15" s="691"/>
    </row>
    <row r="16" spans="1:11" ht="12.75">
      <c r="A16" s="690"/>
      <c r="B16" s="703"/>
      <c r="C16" s="703"/>
      <c r="D16" s="703"/>
      <c r="E16" s="703"/>
      <c r="F16" s="703"/>
      <c r="G16" s="703"/>
      <c r="H16" s="703"/>
      <c r="I16" s="703"/>
      <c r="J16" s="691"/>
      <c r="K16" s="691"/>
    </row>
    <row r="17" spans="1:11" ht="75.75" customHeight="1">
      <c r="A17" s="274">
        <v>1</v>
      </c>
      <c r="B17" s="319" t="s">
        <v>540</v>
      </c>
      <c r="C17" s="45" t="s">
        <v>195</v>
      </c>
      <c r="D17" s="122">
        <f>E17+F17+J17</f>
        <v>-7654.09</v>
      </c>
      <c r="E17" s="73">
        <f>-2054.09-5700+100</f>
        <v>-7654.09</v>
      </c>
      <c r="F17" s="73">
        <f>-2054.09+2054.09</f>
        <v>0</v>
      </c>
      <c r="G17" s="73"/>
      <c r="H17" s="73"/>
      <c r="I17" s="73"/>
      <c r="J17" s="73">
        <v>0</v>
      </c>
      <c r="K17" s="274" t="s">
        <v>582</v>
      </c>
    </row>
    <row r="18" spans="1:11" ht="48" customHeight="1">
      <c r="A18" s="274">
        <v>2</v>
      </c>
      <c r="B18" s="319" t="s">
        <v>540</v>
      </c>
      <c r="C18" s="45" t="s">
        <v>196</v>
      </c>
      <c r="D18" s="122">
        <f>E18+F18+J18</f>
        <v>-525</v>
      </c>
      <c r="E18" s="73">
        <f>-740+215</f>
        <v>-525</v>
      </c>
      <c r="F18" s="73">
        <f>-740+740</f>
        <v>0</v>
      </c>
      <c r="G18" s="73"/>
      <c r="H18" s="73"/>
      <c r="I18" s="73"/>
      <c r="J18" s="73">
        <v>0</v>
      </c>
      <c r="K18" s="274" t="s">
        <v>583</v>
      </c>
    </row>
    <row r="19" spans="1:11" ht="18.75">
      <c r="A19" s="123"/>
      <c r="B19" s="54" t="s">
        <v>463</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474</v>
      </c>
      <c r="C24" s="250"/>
      <c r="D24" s="127"/>
      <c r="E24" s="250"/>
      <c r="F24" s="809" t="s">
        <v>616</v>
      </c>
      <c r="G24" s="809"/>
      <c r="H24" s="809"/>
      <c r="I24" s="809"/>
      <c r="J24" s="809"/>
      <c r="K24" s="129"/>
    </row>
    <row r="25" spans="1:11" ht="30.75" customHeight="1">
      <c r="A25" s="127"/>
      <c r="B25" s="250"/>
      <c r="C25" s="250"/>
      <c r="D25" s="127"/>
      <c r="E25" s="250"/>
      <c r="F25" s="157"/>
      <c r="G25" s="157"/>
      <c r="H25" s="157"/>
      <c r="I25" s="157"/>
      <c r="J25" s="157"/>
      <c r="K25" s="129"/>
    </row>
    <row r="26" spans="1:11" ht="18.75">
      <c r="A26" s="127"/>
      <c r="B26" s="130" t="s">
        <v>159</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19">
    <mergeCell ref="J1:K1"/>
    <mergeCell ref="B12:K12"/>
    <mergeCell ref="D13:H13"/>
    <mergeCell ref="A14:A16"/>
    <mergeCell ref="B14:B16"/>
    <mergeCell ref="C14:C16"/>
    <mergeCell ref="D14:D16"/>
    <mergeCell ref="E14:J14"/>
    <mergeCell ref="J9:K9"/>
    <mergeCell ref="J7:O7"/>
    <mergeCell ref="J8:K8"/>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V84"/>
  <sheetViews>
    <sheetView view="pageBreakPreview" zoomScale="60" zoomScaleNormal="75" zoomScalePageLayoutView="0" workbookViewId="0" topLeftCell="A1">
      <pane ySplit="15" topLeftCell="A16" activePane="bottomLeft" state="frozen"/>
      <selection pane="topLeft" activeCell="A1" sqref="A1"/>
      <selection pane="bottomLeft" activeCell="G23" sqref="G23"/>
    </sheetView>
  </sheetViews>
  <sheetFormatPr defaultColWidth="9.140625" defaultRowHeight="12.75"/>
  <cols>
    <col min="1" max="1" width="5.00390625" style="215" customWidth="1"/>
    <col min="2" max="2" width="64.140625" style="215" customWidth="1"/>
    <col min="3" max="3" width="21.57421875" style="215" customWidth="1"/>
    <col min="4" max="4" width="13.421875" style="215" hidden="1" customWidth="1"/>
    <col min="5" max="5" width="14.7109375" style="215" customWidth="1"/>
    <col min="6" max="6" width="12.8515625" style="215" customWidth="1"/>
    <col min="7" max="7" width="18.421875" style="215" customWidth="1"/>
    <col min="8" max="8" width="17.57421875" style="215" customWidth="1"/>
    <col min="9" max="9" width="15.28125" style="215"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19.1406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7.75" customHeight="1">
      <c r="A2" s="81"/>
      <c r="B2" s="81"/>
      <c r="C2" s="81"/>
      <c r="D2" s="81"/>
      <c r="E2" s="81"/>
      <c r="F2" s="214"/>
      <c r="G2" s="258"/>
      <c r="H2" s="258"/>
      <c r="I2" s="258"/>
      <c r="J2" s="258"/>
      <c r="K2" s="258"/>
      <c r="L2" s="258"/>
      <c r="M2" s="258"/>
      <c r="N2" s="258"/>
      <c r="O2" s="436"/>
      <c r="P2" s="436"/>
      <c r="Q2" s="81" t="s">
        <v>500</v>
      </c>
      <c r="R2" s="214"/>
      <c r="S2" s="258"/>
      <c r="T2" s="258"/>
      <c r="U2" s="259"/>
    </row>
    <row r="3" spans="1:22" ht="0.75" customHeight="1">
      <c r="A3" s="81"/>
      <c r="B3" s="81"/>
      <c r="C3" s="81"/>
      <c r="D3" s="81"/>
      <c r="E3" s="662"/>
      <c r="F3" s="662"/>
      <c r="G3" s="662"/>
      <c r="H3" s="662"/>
      <c r="I3" s="258"/>
      <c r="J3" s="258"/>
      <c r="K3" s="258"/>
      <c r="L3" s="258"/>
      <c r="M3" s="258"/>
      <c r="N3" s="258"/>
      <c r="O3" s="436"/>
      <c r="P3" s="436"/>
      <c r="Q3" s="12" t="s">
        <v>468</v>
      </c>
      <c r="R3" s="12"/>
      <c r="S3" s="15"/>
      <c r="T3" s="12"/>
      <c r="U3" s="12"/>
      <c r="V3" s="12"/>
    </row>
    <row r="4" spans="1:22" ht="17.25" customHeight="1">
      <c r="A4" s="81"/>
      <c r="B4" s="81"/>
      <c r="C4" s="81"/>
      <c r="D4" s="81"/>
      <c r="E4" s="662"/>
      <c r="F4" s="662"/>
      <c r="G4" s="662"/>
      <c r="H4" s="662"/>
      <c r="I4" s="258"/>
      <c r="J4" s="258"/>
      <c r="K4" s="258"/>
      <c r="L4" s="258"/>
      <c r="M4" s="258"/>
      <c r="N4" s="258"/>
      <c r="O4" s="436"/>
      <c r="P4" s="436"/>
      <c r="Q4" s="12" t="s">
        <v>468</v>
      </c>
      <c r="R4" s="12"/>
      <c r="S4" s="15"/>
      <c r="T4" s="12"/>
      <c r="U4" s="12"/>
      <c r="V4" s="12"/>
    </row>
    <row r="5" spans="1:22" ht="18.75" customHeight="1">
      <c r="A5" s="81"/>
      <c r="B5" s="81"/>
      <c r="C5" s="81"/>
      <c r="D5" s="81"/>
      <c r="E5" s="662"/>
      <c r="F5" s="662"/>
      <c r="G5" s="662"/>
      <c r="H5" s="662"/>
      <c r="I5" s="258"/>
      <c r="J5" s="258"/>
      <c r="K5" s="258"/>
      <c r="L5" s="258"/>
      <c r="M5" s="258"/>
      <c r="N5" s="258"/>
      <c r="O5" s="436"/>
      <c r="P5" s="436"/>
      <c r="Q5" s="12" t="s">
        <v>639</v>
      </c>
      <c r="R5" s="12"/>
      <c r="S5" s="15"/>
      <c r="T5" s="12"/>
      <c r="U5" s="12"/>
      <c r="V5" s="12"/>
    </row>
    <row r="6" spans="1:22" ht="19.5" customHeight="1">
      <c r="A6" s="81"/>
      <c r="B6" s="81"/>
      <c r="C6" s="81"/>
      <c r="D6" s="81"/>
      <c r="E6" s="662"/>
      <c r="F6" s="662"/>
      <c r="G6" s="662"/>
      <c r="H6" s="662"/>
      <c r="I6" s="258"/>
      <c r="J6" s="258"/>
      <c r="K6" s="258"/>
      <c r="L6" s="258"/>
      <c r="M6" s="258"/>
      <c r="N6" s="258"/>
      <c r="O6" s="436"/>
      <c r="P6" s="436"/>
      <c r="Q6" s="17" t="s">
        <v>161</v>
      </c>
      <c r="R6" s="17"/>
      <c r="S6" s="15"/>
      <c r="T6" s="12"/>
      <c r="U6" s="12"/>
      <c r="V6" s="12"/>
    </row>
    <row r="7" spans="1:22" ht="15.75">
      <c r="A7" s="81"/>
      <c r="B7" s="81"/>
      <c r="C7" s="81"/>
      <c r="D7" s="81"/>
      <c r="E7" s="662"/>
      <c r="F7" s="662"/>
      <c r="G7" s="662"/>
      <c r="H7" s="662"/>
      <c r="I7" s="258"/>
      <c r="J7" s="258"/>
      <c r="K7" s="258"/>
      <c r="L7" s="258"/>
      <c r="M7" s="258"/>
      <c r="N7" s="258"/>
      <c r="O7" s="436"/>
      <c r="P7" s="436"/>
      <c r="Q7" s="17" t="s">
        <v>369</v>
      </c>
      <c r="R7" s="17"/>
      <c r="S7" s="15"/>
      <c r="T7" s="12"/>
      <c r="U7" s="12"/>
      <c r="V7" s="12"/>
    </row>
    <row r="8" spans="1:22" ht="15.75">
      <c r="A8" s="81"/>
      <c r="B8" s="81"/>
      <c r="C8" s="81"/>
      <c r="D8" s="81"/>
      <c r="E8" s="662"/>
      <c r="F8" s="662"/>
      <c r="G8" s="662"/>
      <c r="H8" s="662"/>
      <c r="I8" s="258"/>
      <c r="J8" s="258"/>
      <c r="K8" s="258"/>
      <c r="L8" s="258"/>
      <c r="M8" s="258"/>
      <c r="N8" s="258"/>
      <c r="O8" s="436"/>
      <c r="P8" s="436"/>
      <c r="Q8" s="17" t="s">
        <v>581</v>
      </c>
      <c r="R8" s="17"/>
      <c r="S8" s="217"/>
      <c r="T8" s="12"/>
      <c r="U8" s="12"/>
      <c r="V8" s="12"/>
    </row>
    <row r="9" spans="1:22" ht="15.75">
      <c r="A9" s="81"/>
      <c r="B9" s="81"/>
      <c r="C9" s="81"/>
      <c r="D9" s="81"/>
      <c r="E9" s="662"/>
      <c r="F9" s="662"/>
      <c r="G9" s="662"/>
      <c r="H9" s="662"/>
      <c r="I9" s="258"/>
      <c r="J9" s="258"/>
      <c r="K9" s="258"/>
      <c r="L9" s="258"/>
      <c r="M9" s="258"/>
      <c r="N9" s="258"/>
      <c r="O9" s="436"/>
      <c r="P9" s="436"/>
      <c r="Q9" s="17" t="s">
        <v>640</v>
      </c>
      <c r="R9" s="17"/>
      <c r="S9" s="217"/>
      <c r="T9" s="12"/>
      <c r="U9" s="12"/>
      <c r="V9" s="12"/>
    </row>
    <row r="10" spans="1:22" ht="15.75">
      <c r="A10" s="81"/>
      <c r="B10" s="81"/>
      <c r="C10" s="81"/>
      <c r="D10" s="81"/>
      <c r="E10" s="662"/>
      <c r="F10" s="662"/>
      <c r="G10" s="662"/>
      <c r="H10" s="662"/>
      <c r="I10" s="258"/>
      <c r="J10" s="258"/>
      <c r="K10" s="258"/>
      <c r="L10" s="258"/>
      <c r="M10" s="258"/>
      <c r="N10" s="258"/>
      <c r="O10" s="439"/>
      <c r="P10" s="259"/>
      <c r="Q10" s="665" t="s">
        <v>641</v>
      </c>
      <c r="R10" s="665"/>
      <c r="S10" s="665"/>
      <c r="T10" s="665"/>
      <c r="U10" s="665"/>
      <c r="V10" s="665"/>
    </row>
    <row r="11" spans="1:20" ht="67.5" customHeight="1">
      <c r="A11" s="663" t="s">
        <v>422</v>
      </c>
      <c r="B11" s="663"/>
      <c r="C11" s="663"/>
      <c r="D11" s="663"/>
      <c r="E11" s="663"/>
      <c r="F11" s="663"/>
      <c r="G11" s="663"/>
      <c r="H11" s="663"/>
      <c r="I11" s="663"/>
      <c r="J11" s="663"/>
      <c r="K11" s="663"/>
      <c r="L11" s="663"/>
      <c r="M11" s="663"/>
      <c r="N11" s="663"/>
      <c r="O11" s="663"/>
      <c r="P11" s="663"/>
      <c r="Q11" s="663"/>
      <c r="R11" s="663"/>
      <c r="S11" s="663"/>
      <c r="T11" s="663"/>
    </row>
    <row r="12" spans="1:21" ht="15.75">
      <c r="A12" s="81"/>
      <c r="B12" s="81"/>
      <c r="C12" s="81"/>
      <c r="D12" s="81"/>
      <c r="E12" s="81"/>
      <c r="F12" s="81"/>
      <c r="G12" s="81"/>
      <c r="H12" s="81"/>
      <c r="I12" s="81"/>
      <c r="J12" s="81"/>
      <c r="K12" s="81"/>
      <c r="L12" s="81"/>
      <c r="M12" s="658"/>
      <c r="N12" s="658"/>
      <c r="O12" s="658"/>
      <c r="P12" s="658"/>
      <c r="Q12" s="658"/>
      <c r="R12" s="658"/>
      <c r="S12" s="658"/>
      <c r="T12" s="658"/>
      <c r="U12" s="215" t="s">
        <v>102</v>
      </c>
    </row>
    <row r="13" spans="1:21" ht="15.75" customHeight="1">
      <c r="A13" s="646" t="s">
        <v>464</v>
      </c>
      <c r="B13" s="646" t="s">
        <v>529</v>
      </c>
      <c r="C13" s="646" t="s">
        <v>103</v>
      </c>
      <c r="D13" s="260"/>
      <c r="E13" s="659" t="s">
        <v>530</v>
      </c>
      <c r="F13" s="660"/>
      <c r="G13" s="660"/>
      <c r="H13" s="661"/>
      <c r="I13" s="659" t="s">
        <v>466</v>
      </c>
      <c r="J13" s="660"/>
      <c r="K13" s="660"/>
      <c r="L13" s="660"/>
      <c r="M13" s="660"/>
      <c r="N13" s="660"/>
      <c r="O13" s="660"/>
      <c r="P13" s="660"/>
      <c r="Q13" s="660"/>
      <c r="R13" s="660"/>
      <c r="S13" s="660"/>
      <c r="T13" s="660"/>
      <c r="U13" s="661"/>
    </row>
    <row r="14" spans="1:21" ht="27.75" customHeight="1">
      <c r="A14" s="655"/>
      <c r="B14" s="655"/>
      <c r="C14" s="655"/>
      <c r="D14" s="256"/>
      <c r="E14" s="646" t="s">
        <v>531</v>
      </c>
      <c r="F14" s="646" t="s">
        <v>532</v>
      </c>
      <c r="G14" s="256"/>
      <c r="H14" s="646" t="s">
        <v>37</v>
      </c>
      <c r="I14" s="659">
        <v>2022</v>
      </c>
      <c r="J14" s="660"/>
      <c r="K14" s="660"/>
      <c r="L14" s="661"/>
      <c r="M14" s="646" t="s">
        <v>534</v>
      </c>
      <c r="N14" s="659">
        <v>2023</v>
      </c>
      <c r="O14" s="660"/>
      <c r="P14" s="660"/>
      <c r="Q14" s="661"/>
      <c r="R14" s="659">
        <v>2024</v>
      </c>
      <c r="S14" s="660"/>
      <c r="T14" s="660"/>
      <c r="U14" s="661"/>
    </row>
    <row r="15" spans="1:21" ht="56.25">
      <c r="A15" s="647"/>
      <c r="B15" s="647"/>
      <c r="C15" s="647"/>
      <c r="D15" s="257"/>
      <c r="E15" s="647"/>
      <c r="F15" s="647"/>
      <c r="G15" s="275" t="s">
        <v>252</v>
      </c>
      <c r="H15" s="647"/>
      <c r="I15" s="251" t="s">
        <v>531</v>
      </c>
      <c r="J15" s="251" t="s">
        <v>532</v>
      </c>
      <c r="K15" s="275" t="s">
        <v>252</v>
      </c>
      <c r="L15" s="251" t="s">
        <v>37</v>
      </c>
      <c r="M15" s="647"/>
      <c r="N15" s="251" t="s">
        <v>531</v>
      </c>
      <c r="O15" s="251" t="s">
        <v>532</v>
      </c>
      <c r="P15" s="275" t="s">
        <v>252</v>
      </c>
      <c r="Q15" s="251" t="s">
        <v>37</v>
      </c>
      <c r="R15" s="251" t="s">
        <v>531</v>
      </c>
      <c r="S15" s="251" t="s">
        <v>532</v>
      </c>
      <c r="T15" s="275" t="s">
        <v>252</v>
      </c>
      <c r="U15" s="251" t="s">
        <v>37</v>
      </c>
    </row>
    <row r="16" spans="1:21" ht="56.25">
      <c r="A16" s="63">
        <v>1</v>
      </c>
      <c r="B16" s="62" t="s">
        <v>382</v>
      </c>
      <c r="C16" s="64">
        <f>E16+F16+G16+H16</f>
        <v>1126155.4</v>
      </c>
      <c r="D16" s="64" t="e">
        <f>E16+F16+#REF!</f>
        <v>#REF!</v>
      </c>
      <c r="E16" s="64">
        <f>I16</f>
        <v>0</v>
      </c>
      <c r="F16" s="64"/>
      <c r="G16" s="64">
        <f>K16+P16+T16</f>
        <v>1126155.4</v>
      </c>
      <c r="H16" s="64"/>
      <c r="I16" s="107"/>
      <c r="J16" s="107"/>
      <c r="K16" s="107">
        <f>'дод 3  Трансп.інфрастр. '!E46</f>
        <v>174237</v>
      </c>
      <c r="L16" s="261"/>
      <c r="M16" s="107"/>
      <c r="N16" s="107"/>
      <c r="O16" s="107"/>
      <c r="P16" s="107">
        <f>'дод 3  Трансп.інфрастр. '!F46</f>
        <v>465356.8</v>
      </c>
      <c r="Q16" s="107"/>
      <c r="R16" s="107"/>
      <c r="S16" s="107"/>
      <c r="T16" s="107">
        <f>'дод 3  Трансп.інфрастр. '!G46</f>
        <v>486561.6</v>
      </c>
      <c r="U16" s="262"/>
    </row>
    <row r="17" spans="1:21" ht="41.25" customHeight="1">
      <c r="A17" s="63">
        <f>A16+1</f>
        <v>2</v>
      </c>
      <c r="B17" s="62" t="s">
        <v>383</v>
      </c>
      <c r="C17" s="64">
        <f aca="true" t="shared" si="0" ref="C17:C35">E17+F17+G17+H17</f>
        <v>267063.69999999995</v>
      </c>
      <c r="D17" s="64" t="e">
        <f>E17+F17+#REF!</f>
        <v>#REF!</v>
      </c>
      <c r="E17" s="64"/>
      <c r="F17" s="64"/>
      <c r="G17" s="64">
        <f>K17+P17+T17</f>
        <v>267063.69999999995</v>
      </c>
      <c r="H17" s="64"/>
      <c r="I17" s="107"/>
      <c r="J17" s="107"/>
      <c r="K17" s="107">
        <f>'дод 4 Свет '!E31</f>
        <v>62954</v>
      </c>
      <c r="L17" s="262"/>
      <c r="M17" s="107"/>
      <c r="N17" s="107"/>
      <c r="O17" s="107"/>
      <c r="P17" s="107">
        <f>'дод 4 Свет '!F31</f>
        <v>99565.3</v>
      </c>
      <c r="Q17" s="107"/>
      <c r="R17" s="107"/>
      <c r="S17" s="107"/>
      <c r="T17" s="107">
        <f>'дод 4 Свет '!J31</f>
        <v>104544.4</v>
      </c>
      <c r="U17" s="262"/>
    </row>
    <row r="18" spans="1:21" ht="61.5" customHeight="1">
      <c r="A18" s="63">
        <f aca="true" t="shared" si="1" ref="A18:A24">A17+1</f>
        <v>3</v>
      </c>
      <c r="B18" s="62" t="s">
        <v>384</v>
      </c>
      <c r="C18" s="64">
        <f>E18+F18+G18+H18</f>
        <v>142651.59999999998</v>
      </c>
      <c r="D18" s="64" t="e">
        <f>E18+F18+#REF!</f>
        <v>#REF!</v>
      </c>
      <c r="E18" s="64"/>
      <c r="F18" s="64"/>
      <c r="G18" s="64">
        <f>K18+P18+T18</f>
        <v>142127.59999999998</v>
      </c>
      <c r="H18" s="64">
        <f>L18+Q18+U18</f>
        <v>524</v>
      </c>
      <c r="I18" s="107"/>
      <c r="J18" s="107"/>
      <c r="K18" s="36">
        <f>'дод 5 озеленення  (2)'!E85-'дод 5 озеленення  (2)'!E59</f>
        <v>29177.6</v>
      </c>
      <c r="L18" s="263">
        <f>'дод 5 озеленення  (2)'!E59</f>
        <v>124</v>
      </c>
      <c r="M18" s="107"/>
      <c r="N18" s="107"/>
      <c r="O18" s="107"/>
      <c r="P18" s="107">
        <f>'дод 5 озеленення  (2)'!F85-'дод 5 озеленення  (2)'!F59</f>
        <v>55395.99999999999</v>
      </c>
      <c r="Q18" s="107">
        <f>'дод 5 озеленення  (2)'!F59</f>
        <v>200</v>
      </c>
      <c r="R18" s="107"/>
      <c r="S18" s="107"/>
      <c r="T18" s="107">
        <f>'дод 5 озеленення  (2)'!G85-'дод 5 озеленення  (2)'!G59</f>
        <v>57554</v>
      </c>
      <c r="U18" s="263">
        <f>'дод 5 озеленення  (2)'!G59</f>
        <v>200</v>
      </c>
    </row>
    <row r="19" spans="1:21" ht="31.5" customHeight="1">
      <c r="A19" s="63">
        <f t="shared" si="1"/>
        <v>4</v>
      </c>
      <c r="B19" s="62" t="s">
        <v>375</v>
      </c>
      <c r="C19" s="64">
        <f>E19+F19+G19+H19</f>
        <v>5711.2</v>
      </c>
      <c r="D19" s="64"/>
      <c r="E19" s="64"/>
      <c r="F19" s="64"/>
      <c r="G19" s="64">
        <f>K19+P19+T19</f>
        <v>5711.2</v>
      </c>
      <c r="H19" s="64">
        <f>L19+Q19+U19</f>
        <v>0</v>
      </c>
      <c r="I19" s="107"/>
      <c r="J19" s="107"/>
      <c r="K19" s="36">
        <f>'дод 16  цільовий фонд '!E20</f>
        <v>855.7</v>
      </c>
      <c r="L19" s="263"/>
      <c r="M19" s="107"/>
      <c r="N19" s="107"/>
      <c r="O19" s="107"/>
      <c r="P19" s="107">
        <f>'дод 16  цільовий фонд '!F20</f>
        <v>2368.5</v>
      </c>
      <c r="Q19" s="107"/>
      <c r="R19" s="107"/>
      <c r="S19" s="107"/>
      <c r="T19" s="107">
        <f>'дод 16  цільовий фонд '!G20</f>
        <v>2487</v>
      </c>
      <c r="U19" s="263"/>
    </row>
    <row r="20" spans="1:21" ht="75">
      <c r="A20" s="63">
        <f t="shared" si="1"/>
        <v>5</v>
      </c>
      <c r="B20" s="62" t="s">
        <v>535</v>
      </c>
      <c r="C20" s="64">
        <f>E20+F20+G20+H20</f>
        <v>79248.99999999999</v>
      </c>
      <c r="D20" s="64" t="e">
        <f>E20+F20+#REF!</f>
        <v>#REF!</v>
      </c>
      <c r="E20" s="64"/>
      <c r="F20" s="64"/>
      <c r="G20" s="64">
        <f aca="true" t="shared" si="2" ref="G20:G35">K20+P20+T20</f>
        <v>79141.09999999999</v>
      </c>
      <c r="H20" s="64">
        <f>L20+Q20+U20</f>
        <v>107.9</v>
      </c>
      <c r="I20" s="107"/>
      <c r="J20" s="107"/>
      <c r="K20" s="36">
        <f>'дод 6  Кладовища  (2)'!E33-'дод 6  Кладовища  (2)'!E28</f>
        <v>17592.499999999996</v>
      </c>
      <c r="L20" s="263">
        <f>'дод 6  Кладовища  (2)'!E28</f>
        <v>0</v>
      </c>
      <c r="M20" s="107"/>
      <c r="N20" s="107"/>
      <c r="O20" s="107"/>
      <c r="P20" s="107">
        <f>'дод 6  Кладовища  (2)'!F33-'дод 6  Кладовища  (2)'!F28</f>
        <v>30023.399999999994</v>
      </c>
      <c r="Q20" s="107">
        <f>'дод 6  Кладовища  (2)'!F28</f>
        <v>52.6</v>
      </c>
      <c r="R20" s="107"/>
      <c r="S20" s="107"/>
      <c r="T20" s="107">
        <f>'дод 6  Кладовища  (2)'!G33-'дод 6  Кладовища  (2)'!G28</f>
        <v>31525.2</v>
      </c>
      <c r="U20" s="263">
        <f>'дод 6  Кладовища  (2)'!G28</f>
        <v>55.3</v>
      </c>
    </row>
    <row r="21" spans="1:21" ht="37.5">
      <c r="A21" s="63">
        <f t="shared" si="1"/>
        <v>6</v>
      </c>
      <c r="B21" s="62" t="s">
        <v>385</v>
      </c>
      <c r="C21" s="64">
        <f t="shared" si="0"/>
        <v>27430.3</v>
      </c>
      <c r="D21" s="64" t="e">
        <f>E21+F21+#REF!</f>
        <v>#REF!</v>
      </c>
      <c r="E21" s="64"/>
      <c r="F21" s="64"/>
      <c r="G21" s="64">
        <f t="shared" si="2"/>
        <v>27430.3</v>
      </c>
      <c r="H21" s="64"/>
      <c r="I21" s="107"/>
      <c r="J21" s="107"/>
      <c r="K21" s="36">
        <f>'дод 7  сан очистка (2)'!E26</f>
        <v>7430</v>
      </c>
      <c r="L21" s="262"/>
      <c r="M21" s="107"/>
      <c r="N21" s="107"/>
      <c r="O21" s="107"/>
      <c r="P21" s="107">
        <f>'дод 7  сан очистка (2)'!F26</f>
        <v>9723.3</v>
      </c>
      <c r="Q21" s="107"/>
      <c r="R21" s="107"/>
      <c r="S21" s="107"/>
      <c r="T21" s="107">
        <f>'дод 7  сан очистка (2)'!J26</f>
        <v>10277</v>
      </c>
      <c r="U21" s="262"/>
    </row>
    <row r="22" spans="1:21" ht="45.75" customHeight="1">
      <c r="A22" s="63">
        <f t="shared" si="1"/>
        <v>7</v>
      </c>
      <c r="B22" s="62" t="s">
        <v>536</v>
      </c>
      <c r="C22" s="64">
        <f t="shared" si="0"/>
        <v>34882.5</v>
      </c>
      <c r="D22" s="64" t="e">
        <f>E22+F22+#REF!</f>
        <v>#REF!</v>
      </c>
      <c r="E22" s="64"/>
      <c r="F22" s="64"/>
      <c r="G22" s="64">
        <f t="shared" si="2"/>
        <v>34882.5</v>
      </c>
      <c r="H22" s="64"/>
      <c r="I22" s="107"/>
      <c r="J22" s="107"/>
      <c r="K22" s="36">
        <f>'дод 8 Пот Благуострій'!E28</f>
        <v>10417.199999999999</v>
      </c>
      <c r="L22" s="262"/>
      <c r="M22" s="107"/>
      <c r="N22" s="107"/>
      <c r="O22" s="107"/>
      <c r="P22" s="107">
        <f>'дод 8 Пот Благуострій'!G28</f>
        <v>11933.699999999999</v>
      </c>
      <c r="Q22" s="107"/>
      <c r="R22" s="107"/>
      <c r="S22" s="107"/>
      <c r="T22" s="107">
        <f>'дод 8 Пот Благуострій'!H28</f>
        <v>12531.6</v>
      </c>
      <c r="U22" s="262"/>
    </row>
    <row r="23" spans="1:21" ht="49.5" customHeight="1">
      <c r="A23" s="63">
        <f t="shared" si="1"/>
        <v>8</v>
      </c>
      <c r="B23" s="62" t="s">
        <v>537</v>
      </c>
      <c r="C23" s="64">
        <f t="shared" si="0"/>
        <v>4484.4</v>
      </c>
      <c r="D23" s="64" t="e">
        <f>E23+F23+#REF!</f>
        <v>#REF!</v>
      </c>
      <c r="E23" s="64"/>
      <c r="F23" s="64"/>
      <c r="G23" s="64">
        <f t="shared" si="2"/>
        <v>4484.4</v>
      </c>
      <c r="H23" s="64"/>
      <c r="I23" s="107"/>
      <c r="J23" s="107"/>
      <c r="K23" s="36">
        <f>'дод 9  Тварини'!E15</f>
        <v>1168.1999999999998</v>
      </c>
      <c r="L23" s="262"/>
      <c r="M23" s="107"/>
      <c r="N23" s="107"/>
      <c r="O23" s="107"/>
      <c r="P23" s="107">
        <f>'дод 9  Тварини'!F15</f>
        <v>1607.9</v>
      </c>
      <c r="Q23" s="107"/>
      <c r="R23" s="107"/>
      <c r="S23" s="107"/>
      <c r="T23" s="107">
        <f>'дод 9  Тварини'!J15</f>
        <v>1708.3000000000002</v>
      </c>
      <c r="U23" s="262"/>
    </row>
    <row r="24" spans="1:21" ht="37.5">
      <c r="A24" s="63">
        <f t="shared" si="1"/>
        <v>9</v>
      </c>
      <c r="B24" s="62" t="s">
        <v>300</v>
      </c>
      <c r="C24" s="64">
        <f t="shared" si="0"/>
        <v>40977.1</v>
      </c>
      <c r="D24" s="64" t="e">
        <f>E24+F24+#REF!</f>
        <v>#REF!</v>
      </c>
      <c r="E24" s="64">
        <f>I24</f>
        <v>0</v>
      </c>
      <c r="F24" s="64"/>
      <c r="G24" s="64">
        <f t="shared" si="2"/>
        <v>40977.1</v>
      </c>
      <c r="H24" s="64"/>
      <c r="I24" s="107"/>
      <c r="J24" s="107"/>
      <c r="K24" s="36">
        <f>'дод 10  Кап Благоустрою інші'!E16</f>
        <v>7100.000000000002</v>
      </c>
      <c r="L24" s="262"/>
      <c r="M24" s="107"/>
      <c r="N24" s="107"/>
      <c r="O24" s="107"/>
      <c r="P24" s="107">
        <f>'дод 10  Кап Благоустрою інші'!F16</f>
        <v>16379.099999999999</v>
      </c>
      <c r="Q24" s="107"/>
      <c r="R24" s="107"/>
      <c r="S24" s="107"/>
      <c r="T24" s="107">
        <f>'дод 10  Кап Благоустрою інші'!J16</f>
        <v>17498</v>
      </c>
      <c r="U24" s="262"/>
    </row>
    <row r="25" spans="1:21" ht="47.25" customHeight="1">
      <c r="A25" s="63">
        <v>10</v>
      </c>
      <c r="B25" s="62" t="s">
        <v>301</v>
      </c>
      <c r="C25" s="64">
        <f t="shared" si="0"/>
        <v>44803.899999999994</v>
      </c>
      <c r="D25" s="64" t="e">
        <f>E25+F25+#REF!</f>
        <v>#REF!</v>
      </c>
      <c r="E25" s="64"/>
      <c r="F25" s="64"/>
      <c r="G25" s="64">
        <f t="shared" si="2"/>
        <v>44803.899999999994</v>
      </c>
      <c r="H25" s="64"/>
      <c r="I25" s="107"/>
      <c r="J25" s="107"/>
      <c r="K25" s="36">
        <f>'дод 11   кап ремонт житло. '!E31</f>
        <v>2060</v>
      </c>
      <c r="L25" s="262"/>
      <c r="M25" s="107"/>
      <c r="N25" s="107"/>
      <c r="O25" s="107"/>
      <c r="P25" s="107">
        <f>'дод 11   кап ремонт житло. '!F31</f>
        <v>20850.6</v>
      </c>
      <c r="Q25" s="107"/>
      <c r="R25" s="107"/>
      <c r="S25" s="107"/>
      <c r="T25" s="107">
        <f>'дод 11   кап ремонт житло. '!J31</f>
        <v>21893.3</v>
      </c>
      <c r="U25" s="262"/>
    </row>
    <row r="26" spans="1:21" ht="60" customHeight="1">
      <c r="A26" s="63">
        <v>11</v>
      </c>
      <c r="B26" s="62" t="s">
        <v>538</v>
      </c>
      <c r="C26" s="64">
        <f t="shared" si="0"/>
        <v>13580.800000000001</v>
      </c>
      <c r="D26" s="112" t="e">
        <f>E26+F26+#REF!</f>
        <v>#REF!</v>
      </c>
      <c r="E26" s="112"/>
      <c r="F26" s="112"/>
      <c r="G26" s="64">
        <f t="shared" si="2"/>
        <v>13580.800000000001</v>
      </c>
      <c r="H26" s="112"/>
      <c r="I26" s="241"/>
      <c r="J26" s="241"/>
      <c r="K26" s="36">
        <f>'дод 12 Святкові   '!E54</f>
        <v>3036</v>
      </c>
      <c r="L26" s="264"/>
      <c r="M26" s="241"/>
      <c r="N26" s="241"/>
      <c r="O26" s="241"/>
      <c r="P26" s="107">
        <f>'дод 12 Святкові   '!F54</f>
        <v>5167.7</v>
      </c>
      <c r="Q26" s="241"/>
      <c r="R26" s="241"/>
      <c r="S26" s="241"/>
      <c r="T26" s="107">
        <f>'дод 12 Святкові   '!J54</f>
        <v>5377.1</v>
      </c>
      <c r="U26" s="262"/>
    </row>
    <row r="27" spans="1:21" ht="54" customHeight="1">
      <c r="A27" s="63">
        <v>12</v>
      </c>
      <c r="B27" s="62" t="s">
        <v>386</v>
      </c>
      <c r="C27" s="64">
        <f>E27+F27+G27+H27</f>
        <v>19737.445</v>
      </c>
      <c r="D27" s="112"/>
      <c r="E27" s="112"/>
      <c r="F27" s="112"/>
      <c r="G27" s="64">
        <f t="shared" si="2"/>
        <v>19737.445</v>
      </c>
      <c r="H27" s="64">
        <f aca="true" t="shared" si="3" ref="H27:H36">L27+Q27+U27</f>
        <v>0</v>
      </c>
      <c r="I27" s="241"/>
      <c r="J27" s="241"/>
      <c r="K27" s="36">
        <f>'дод 13 інша діяльність 6090'!E72</f>
        <v>6169.515</v>
      </c>
      <c r="L27" s="416"/>
      <c r="M27" s="241"/>
      <c r="N27" s="241"/>
      <c r="O27" s="241"/>
      <c r="P27" s="107">
        <f>'дод 13 інша діяльність 6090'!F72</f>
        <v>10023.33</v>
      </c>
      <c r="Q27" s="107"/>
      <c r="R27" s="241"/>
      <c r="S27" s="241"/>
      <c r="T27" s="107">
        <f>'дод 13 інша діяльність 6090'!J72</f>
        <v>3544.6000000000004</v>
      </c>
      <c r="U27" s="416"/>
    </row>
    <row r="28" spans="1:21" ht="56.25">
      <c r="A28" s="63">
        <v>13</v>
      </c>
      <c r="B28" s="62" t="s">
        <v>387</v>
      </c>
      <c r="C28" s="64">
        <f t="shared" si="0"/>
        <v>8957.3</v>
      </c>
      <c r="D28" s="64" t="e">
        <f>E28+F28+#REF!</f>
        <v>#REF!</v>
      </c>
      <c r="E28" s="64"/>
      <c r="F28" s="64"/>
      <c r="G28" s="64">
        <f t="shared" si="2"/>
        <v>8957.3</v>
      </c>
      <c r="H28" s="64">
        <f t="shared" si="3"/>
        <v>0</v>
      </c>
      <c r="I28" s="107"/>
      <c r="J28" s="107"/>
      <c r="K28" s="36">
        <f>'дод 14   Вода  '!E28</f>
        <v>6071.4</v>
      </c>
      <c r="L28" s="262"/>
      <c r="M28" s="107"/>
      <c r="N28" s="107"/>
      <c r="O28" s="107"/>
      <c r="P28" s="107">
        <f>'дод 14   Вода  '!F28</f>
        <v>1651.7</v>
      </c>
      <c r="Q28" s="107"/>
      <c r="R28" s="107"/>
      <c r="S28" s="107"/>
      <c r="T28" s="107">
        <f>'дод 14   Вода  '!J28</f>
        <v>1234.2</v>
      </c>
      <c r="U28" s="262"/>
    </row>
    <row r="29" spans="1:21" ht="52.5" customHeight="1">
      <c r="A29" s="63">
        <v>14</v>
      </c>
      <c r="B29" s="62" t="s">
        <v>302</v>
      </c>
      <c r="C29" s="64">
        <f t="shared" si="0"/>
        <v>1200</v>
      </c>
      <c r="D29" s="64" t="e">
        <f>E29+F29+#REF!</f>
        <v>#REF!</v>
      </c>
      <c r="E29" s="64"/>
      <c r="F29" s="64"/>
      <c r="G29" s="64">
        <f t="shared" si="2"/>
        <v>1200</v>
      </c>
      <c r="H29" s="64">
        <f t="shared" si="3"/>
        <v>0</v>
      </c>
      <c r="I29" s="107"/>
      <c r="J29" s="107"/>
      <c r="K29" s="36">
        <f>'дод 15  финпидтримка  '!E34</f>
        <v>350</v>
      </c>
      <c r="L29" s="262"/>
      <c r="M29" s="107"/>
      <c r="N29" s="107"/>
      <c r="O29" s="107"/>
      <c r="P29" s="107">
        <f>'дод 15  финпидтримка  '!F34</f>
        <v>400</v>
      </c>
      <c r="Q29" s="107"/>
      <c r="R29" s="107"/>
      <c r="S29" s="107"/>
      <c r="T29" s="107">
        <f>'дод 15  финпидтримка  '!J34</f>
        <v>450</v>
      </c>
      <c r="U29" s="262"/>
    </row>
    <row r="30" spans="1:21" ht="27.75" customHeight="1">
      <c r="A30" s="63">
        <v>15</v>
      </c>
      <c r="B30" s="62" t="s">
        <v>539</v>
      </c>
      <c r="C30" s="64">
        <f t="shared" si="0"/>
        <v>12977.8</v>
      </c>
      <c r="D30" s="64"/>
      <c r="E30" s="64"/>
      <c r="F30" s="64"/>
      <c r="G30" s="64">
        <f t="shared" si="2"/>
        <v>12977.8</v>
      </c>
      <c r="H30" s="64">
        <f t="shared" si="3"/>
        <v>0</v>
      </c>
      <c r="I30" s="107"/>
      <c r="J30" s="107"/>
      <c r="K30" s="36">
        <f>'дод 17  Енргозбер. заходи'!E20</f>
        <v>2900</v>
      </c>
      <c r="L30" s="262"/>
      <c r="M30" s="107"/>
      <c r="N30" s="107"/>
      <c r="O30" s="107"/>
      <c r="P30" s="107">
        <f>'дод 17  Енргозбер. заходи'!F20</f>
        <v>4896.5</v>
      </c>
      <c r="Q30" s="107"/>
      <c r="R30" s="107"/>
      <c r="S30" s="107"/>
      <c r="T30" s="107">
        <f>'дод 17  Енргозбер. заходи'!J20</f>
        <v>5181.3</v>
      </c>
      <c r="U30" s="262"/>
    </row>
    <row r="31" spans="1:21" ht="44.25" customHeight="1">
      <c r="A31" s="63">
        <v>16</v>
      </c>
      <c r="B31" s="62" t="s">
        <v>303</v>
      </c>
      <c r="C31" s="64">
        <f t="shared" si="0"/>
        <v>7151.6</v>
      </c>
      <c r="D31" s="64"/>
      <c r="E31" s="64"/>
      <c r="F31" s="64"/>
      <c r="G31" s="64">
        <f t="shared" si="2"/>
        <v>7151.6</v>
      </c>
      <c r="H31" s="64">
        <f t="shared" si="3"/>
        <v>0</v>
      </c>
      <c r="I31" s="107"/>
      <c r="J31" s="107"/>
      <c r="K31" s="36">
        <f>'дод 18 статут зміцн.мат.тех.'!E141</f>
        <v>7151.6</v>
      </c>
      <c r="L31" s="262"/>
      <c r="M31" s="107"/>
      <c r="N31" s="107"/>
      <c r="O31" s="107"/>
      <c r="P31" s="107">
        <f>'дод 18 статут зміцн.мат.тех.'!F141</f>
        <v>0</v>
      </c>
      <c r="Q31" s="107"/>
      <c r="R31" s="107"/>
      <c r="S31" s="107"/>
      <c r="T31" s="107">
        <f>'дод 18 статут зміцн.мат.тех.'!I141</f>
        <v>0</v>
      </c>
      <c r="U31" s="262"/>
    </row>
    <row r="32" spans="1:21" ht="56.25">
      <c r="A32" s="63">
        <v>17</v>
      </c>
      <c r="B32" s="62" t="s">
        <v>501</v>
      </c>
      <c r="C32" s="64">
        <f t="shared" si="0"/>
        <v>40000</v>
      </c>
      <c r="D32" s="64"/>
      <c r="E32" s="64"/>
      <c r="F32" s="64"/>
      <c r="G32" s="64">
        <f t="shared" si="2"/>
        <v>40000</v>
      </c>
      <c r="H32" s="64">
        <f t="shared" si="3"/>
        <v>0</v>
      </c>
      <c r="I32" s="107"/>
      <c r="J32" s="107"/>
      <c r="K32" s="36">
        <f>'дод 19  Субв. Сироватк (Крас '!E17</f>
        <v>12000</v>
      </c>
      <c r="L32" s="262"/>
      <c r="M32" s="107"/>
      <c r="N32" s="107"/>
      <c r="O32" s="107"/>
      <c r="P32" s="107">
        <f>'дод 19  Субв. Сироватк (Крас '!F17</f>
        <v>13000</v>
      </c>
      <c r="Q32" s="107"/>
      <c r="R32" s="107"/>
      <c r="S32" s="107"/>
      <c r="T32" s="107">
        <f>'дод 19  Субв. Сироватк (Крас '!J17</f>
        <v>15000</v>
      </c>
      <c r="U32" s="262"/>
    </row>
    <row r="33" spans="1:21" ht="62.25" customHeight="1">
      <c r="A33" s="63">
        <v>18</v>
      </c>
      <c r="B33" s="62" t="s">
        <v>304</v>
      </c>
      <c r="C33" s="64">
        <f t="shared" si="0"/>
        <v>770</v>
      </c>
      <c r="D33" s="64"/>
      <c r="E33" s="64"/>
      <c r="F33" s="64"/>
      <c r="G33" s="64">
        <f t="shared" si="2"/>
        <v>770</v>
      </c>
      <c r="H33" s="64">
        <f t="shared" si="3"/>
        <v>0</v>
      </c>
      <c r="I33" s="107"/>
      <c r="J33" s="107"/>
      <c r="K33" s="36">
        <f>'дод 20  паспорт дом  '!E20</f>
        <v>110</v>
      </c>
      <c r="L33" s="262"/>
      <c r="M33" s="107"/>
      <c r="N33" s="107"/>
      <c r="O33" s="107"/>
      <c r="P33" s="107">
        <f>'дод 20  паспорт дом  '!F20</f>
        <v>320</v>
      </c>
      <c r="Q33" s="107"/>
      <c r="R33" s="107"/>
      <c r="S33" s="107"/>
      <c r="T33" s="107">
        <f>'дод 20  паспорт дом  '!J20</f>
        <v>340</v>
      </c>
      <c r="U33" s="282"/>
    </row>
    <row r="34" spans="1:21" ht="30.75" customHeight="1">
      <c r="A34" s="63">
        <v>19</v>
      </c>
      <c r="B34" s="62" t="s">
        <v>50</v>
      </c>
      <c r="C34" s="64">
        <f t="shared" si="0"/>
        <v>327931.3</v>
      </c>
      <c r="D34" s="64"/>
      <c r="E34" s="64"/>
      <c r="F34" s="64"/>
      <c r="G34" s="64">
        <f t="shared" si="2"/>
        <v>274431.3</v>
      </c>
      <c r="H34" s="64">
        <f t="shared" si="3"/>
        <v>53500</v>
      </c>
      <c r="I34" s="107"/>
      <c r="J34" s="107"/>
      <c r="K34" s="107">
        <f>'дод.21 Буд.реставр. та реконстр'!E62-'дод.21 Буд.реставр. та реконстр'!E56</f>
        <v>17761.3</v>
      </c>
      <c r="L34" s="527">
        <f>'дод.21 Буд.реставр. та реконстр'!E56</f>
        <v>0</v>
      </c>
      <c r="M34" s="107"/>
      <c r="N34" s="107"/>
      <c r="O34" s="107"/>
      <c r="P34" s="107">
        <f>'дод.21 Буд.реставр. та реконстр'!F62-'дод.21 Буд.реставр. та реконстр'!F56</f>
        <v>126800</v>
      </c>
      <c r="Q34" s="107">
        <f>'дод.21 Буд.реставр. та реконстр'!F56</f>
        <v>53500</v>
      </c>
      <c r="R34" s="107"/>
      <c r="S34" s="107"/>
      <c r="T34" s="107">
        <f>'дод.21 Буд.реставр. та реконстр'!G62</f>
        <v>129870</v>
      </c>
      <c r="U34" s="444"/>
    </row>
    <row r="35" spans="1:21" ht="37.5">
      <c r="A35" s="63">
        <v>20</v>
      </c>
      <c r="B35" s="62" t="s">
        <v>443</v>
      </c>
      <c r="C35" s="64">
        <f t="shared" si="0"/>
        <v>-8179.09</v>
      </c>
      <c r="D35" s="64"/>
      <c r="E35" s="64"/>
      <c r="F35" s="64"/>
      <c r="G35" s="64">
        <f t="shared" si="2"/>
        <v>-8179.09</v>
      </c>
      <c r="H35" s="64">
        <f t="shared" si="3"/>
        <v>0</v>
      </c>
      <c r="I35" s="107"/>
      <c r="J35" s="107"/>
      <c r="K35" s="107">
        <f>'дод 22 Поверн  бюдж позичок'!E19</f>
        <v>-8179.09</v>
      </c>
      <c r="L35" s="262"/>
      <c r="M35" s="107"/>
      <c r="N35" s="107"/>
      <c r="O35" s="107"/>
      <c r="P35" s="107">
        <f>'дод 22 Поверн  бюдж позичок'!F19</f>
        <v>0</v>
      </c>
      <c r="Q35" s="107"/>
      <c r="R35" s="107"/>
      <c r="S35" s="107"/>
      <c r="T35" s="107">
        <f>'дод 22 Поверн  бюдж позичок'!J19</f>
        <v>0</v>
      </c>
      <c r="U35" s="262"/>
    </row>
    <row r="36" spans="1:21" ht="35.25" customHeight="1">
      <c r="A36" s="637" t="s">
        <v>463</v>
      </c>
      <c r="B36" s="638"/>
      <c r="C36" s="347">
        <f>E36+F36+G36+H36</f>
        <v>2197536.255</v>
      </c>
      <c r="D36" s="347" t="e">
        <f>D16+D17+D18+D20+D21+D22+D23+D24+D25+D26+D28+D29+D30+D31+D32+D33+D34+D35</f>
        <v>#REF!</v>
      </c>
      <c r="E36" s="347">
        <f>I36+N36+R36</f>
        <v>0</v>
      </c>
      <c r="F36" s="347">
        <f>J36+O36+S36</f>
        <v>0</v>
      </c>
      <c r="G36" s="347">
        <f>K36+P36+T36</f>
        <v>2143404.355</v>
      </c>
      <c r="H36" s="347">
        <f t="shared" si="3"/>
        <v>54131.9</v>
      </c>
      <c r="I36" s="347">
        <f aca="true" t="shared" si="4" ref="I36:U36">SUM(I16:I35)</f>
        <v>0</v>
      </c>
      <c r="J36" s="347">
        <f t="shared" si="4"/>
        <v>0</v>
      </c>
      <c r="K36" s="347">
        <f t="shared" si="4"/>
        <v>360362.925</v>
      </c>
      <c r="L36" s="347">
        <f t="shared" si="4"/>
        <v>124</v>
      </c>
      <c r="M36" s="347">
        <f t="shared" si="4"/>
        <v>0</v>
      </c>
      <c r="N36" s="347">
        <f t="shared" si="4"/>
        <v>0</v>
      </c>
      <c r="O36" s="347">
        <f t="shared" si="4"/>
        <v>0</v>
      </c>
      <c r="P36" s="347">
        <f>SUM(P16:P35)</f>
        <v>875463.8299999998</v>
      </c>
      <c r="Q36" s="347">
        <f t="shared" si="4"/>
        <v>53752.6</v>
      </c>
      <c r="R36" s="347">
        <f t="shared" si="4"/>
        <v>0</v>
      </c>
      <c r="S36" s="347">
        <f t="shared" si="4"/>
        <v>0</v>
      </c>
      <c r="T36" s="347">
        <f t="shared" si="4"/>
        <v>907577.6</v>
      </c>
      <c r="U36" s="347">
        <f t="shared" si="4"/>
        <v>255.3</v>
      </c>
    </row>
    <row r="37" spans="1:20" ht="15" customHeight="1">
      <c r="A37" s="114"/>
      <c r="B37" s="114"/>
      <c r="C37" s="207"/>
      <c r="D37" s="207"/>
      <c r="E37" s="207"/>
      <c r="F37" s="207"/>
      <c r="G37" s="207"/>
      <c r="H37" s="207"/>
      <c r="I37" s="207"/>
      <c r="J37" s="207"/>
      <c r="K37" s="207"/>
      <c r="L37" s="207"/>
      <c r="M37" s="207"/>
      <c r="N37" s="207"/>
      <c r="O37" s="207"/>
      <c r="P37" s="207"/>
      <c r="Q37" s="207"/>
      <c r="R37" s="207"/>
      <c r="S37" s="207"/>
      <c r="T37" s="207"/>
    </row>
    <row r="38" spans="1:20" ht="10.5" customHeight="1" hidden="1">
      <c r="A38" s="114"/>
      <c r="B38" s="114"/>
      <c r="C38" s="207"/>
      <c r="D38" s="207"/>
      <c r="E38" s="207"/>
      <c r="F38" s="207"/>
      <c r="G38" s="207"/>
      <c r="H38" s="207"/>
      <c r="I38" s="207"/>
      <c r="J38" s="207"/>
      <c r="K38" s="207"/>
      <c r="L38" s="207"/>
      <c r="M38" s="207"/>
      <c r="N38" s="207"/>
      <c r="O38" s="207"/>
      <c r="P38" s="207"/>
      <c r="Q38" s="207"/>
      <c r="R38" s="207"/>
      <c r="S38" s="207"/>
      <c r="T38" s="207"/>
    </row>
    <row r="39" spans="1:20" ht="15.75" hidden="1">
      <c r="A39" s="114"/>
      <c r="B39" s="114"/>
      <c r="C39" s="207"/>
      <c r="D39" s="207"/>
      <c r="E39" s="207"/>
      <c r="F39" s="207"/>
      <c r="G39" s="207"/>
      <c r="H39" s="207"/>
      <c r="I39" s="207"/>
      <c r="J39" s="207"/>
      <c r="K39" s="207"/>
      <c r="L39" s="207"/>
      <c r="M39" s="207"/>
      <c r="N39" s="207"/>
      <c r="O39" s="207"/>
      <c r="P39" s="207"/>
      <c r="Q39" s="207"/>
      <c r="R39" s="207"/>
      <c r="S39" s="207"/>
      <c r="T39" s="207"/>
    </row>
    <row r="40" spans="1:20" ht="15.75">
      <c r="A40" s="114"/>
      <c r="B40" s="114"/>
      <c r="C40" s="115"/>
      <c r="D40" s="115"/>
      <c r="E40" s="115"/>
      <c r="F40" s="115"/>
      <c r="G40" s="115"/>
      <c r="H40" s="115"/>
      <c r="I40" s="115"/>
      <c r="J40" s="115"/>
      <c r="K40" s="115"/>
      <c r="L40" s="115"/>
      <c r="M40" s="115"/>
      <c r="N40" s="115"/>
      <c r="O40" s="115"/>
      <c r="P40" s="207"/>
      <c r="Q40" s="208"/>
      <c r="R40" s="209"/>
      <c r="T40" s="210"/>
    </row>
    <row r="41" spans="1:21" s="360" customFormat="1" ht="15.75" customHeight="1">
      <c r="A41" s="657" t="s">
        <v>474</v>
      </c>
      <c r="B41" s="657"/>
      <c r="C41" s="349"/>
      <c r="D41" s="350"/>
      <c r="E41" s="351"/>
      <c r="F41" s="352"/>
      <c r="G41" s="353"/>
      <c r="H41" s="354"/>
      <c r="I41" s="355"/>
      <c r="J41" s="355"/>
      <c r="K41" s="355"/>
      <c r="L41" s="355"/>
      <c r="M41" s="356"/>
      <c r="N41" s="356"/>
      <c r="O41" s="356"/>
      <c r="P41" s="357"/>
      <c r="Q41" s="357"/>
      <c r="R41" s="656" t="s">
        <v>616</v>
      </c>
      <c r="S41" s="656"/>
      <c r="T41" s="358"/>
      <c r="U41" s="359"/>
    </row>
    <row r="42" spans="1:21" ht="15.75">
      <c r="A42" s="219"/>
      <c r="B42" s="219"/>
      <c r="C42" s="220"/>
      <c r="D42" s="213"/>
      <c r="F42" s="213"/>
      <c r="G42" s="213"/>
      <c r="H42" s="213"/>
      <c r="I42" s="115"/>
      <c r="J42" s="115"/>
      <c r="K42" s="115"/>
      <c r="L42" s="115"/>
      <c r="P42" s="218"/>
      <c r="R42" s="221"/>
      <c r="S42" s="221"/>
      <c r="T42" s="164"/>
      <c r="U42" s="211"/>
    </row>
    <row r="43" spans="1:21" ht="15.75" customHeight="1">
      <c r="A43" s="649" t="s">
        <v>623</v>
      </c>
      <c r="B43" s="649"/>
      <c r="C43" s="212"/>
      <c r="D43" s="213"/>
      <c r="E43" s="213"/>
      <c r="F43" s="81"/>
      <c r="G43" s="81"/>
      <c r="H43" s="81"/>
      <c r="I43" s="662"/>
      <c r="J43" s="662"/>
      <c r="K43" s="662"/>
      <c r="L43" s="662"/>
      <c r="M43" s="662"/>
      <c r="N43" s="662"/>
      <c r="O43" s="662"/>
      <c r="P43" s="662"/>
      <c r="Q43" s="259"/>
      <c r="R43" s="259"/>
      <c r="U43" s="259"/>
    </row>
    <row r="44" spans="1:20" ht="15.75">
      <c r="A44" s="214"/>
      <c r="B44" s="214"/>
      <c r="C44" s="218"/>
      <c r="D44" s="218"/>
      <c r="E44" s="218"/>
      <c r="F44" s="218"/>
      <c r="G44" s="218"/>
      <c r="H44" s="218"/>
      <c r="T44" s="222"/>
    </row>
    <row r="45" spans="1:18" ht="15.75">
      <c r="A45" s="223"/>
      <c r="B45" s="224"/>
      <c r="Q45" s="218"/>
      <c r="R45" s="218"/>
    </row>
    <row r="46" spans="1:2" ht="15">
      <c r="A46" s="223"/>
      <c r="B46" s="223"/>
    </row>
    <row r="47" spans="1:20" ht="15">
      <c r="A47" s="223"/>
      <c r="B47" s="223"/>
      <c r="E47" s="225"/>
      <c r="F47" s="225"/>
      <c r="G47" s="225"/>
      <c r="H47" s="225"/>
      <c r="I47" s="225"/>
      <c r="J47" s="225"/>
      <c r="K47" s="225"/>
      <c r="L47" s="225"/>
      <c r="M47" s="225"/>
      <c r="N47" s="225"/>
      <c r="O47" s="225"/>
      <c r="P47" s="225"/>
      <c r="Q47" s="225"/>
      <c r="R47" s="225"/>
      <c r="S47" s="225"/>
      <c r="T47" s="225"/>
    </row>
    <row r="48" spans="1:2" ht="15">
      <c r="A48" s="223"/>
      <c r="B48" s="223"/>
    </row>
    <row r="49" spans="1:2" ht="15">
      <c r="A49" s="223"/>
      <c r="B49" s="223"/>
    </row>
    <row r="50" spans="1:18" ht="15">
      <c r="A50" s="223"/>
      <c r="B50" s="223"/>
      <c r="Q50" s="218"/>
      <c r="R50" s="218"/>
    </row>
    <row r="51" spans="1:18" ht="15">
      <c r="A51" s="223"/>
      <c r="B51" s="223"/>
      <c r="C51" s="218"/>
      <c r="D51" s="218"/>
      <c r="E51" s="218"/>
      <c r="F51" s="218"/>
      <c r="G51" s="218"/>
      <c r="H51" s="218"/>
      <c r="I51" s="218"/>
      <c r="J51" s="218"/>
      <c r="K51" s="218"/>
      <c r="L51" s="218"/>
      <c r="M51" s="218"/>
      <c r="N51" s="218"/>
      <c r="O51" s="218"/>
      <c r="P51" s="218"/>
      <c r="Q51" s="218"/>
      <c r="R51" s="218"/>
    </row>
    <row r="52" spans="1:18" ht="15">
      <c r="A52" s="223"/>
      <c r="B52" s="223"/>
      <c r="C52" s="218"/>
      <c r="D52" s="218"/>
      <c r="E52" s="218"/>
      <c r="F52" s="218"/>
      <c r="G52" s="218"/>
      <c r="H52" s="218"/>
      <c r="Q52" s="218"/>
      <c r="R52" s="218"/>
    </row>
    <row r="53" spans="1:2" ht="15">
      <c r="A53" s="223"/>
      <c r="B53" s="223"/>
    </row>
    <row r="54" spans="1:2" ht="15">
      <c r="A54" s="223"/>
      <c r="B54" s="223"/>
    </row>
    <row r="55" spans="1:18" ht="15">
      <c r="A55" s="223"/>
      <c r="B55" s="223"/>
      <c r="Q55" s="218"/>
      <c r="R55" s="218"/>
    </row>
    <row r="56" spans="1:2" ht="15">
      <c r="A56" s="223"/>
      <c r="B56" s="223"/>
    </row>
    <row r="57" spans="1:18" ht="15">
      <c r="A57" s="223"/>
      <c r="B57" s="223"/>
      <c r="Q57" s="218"/>
      <c r="R57" s="218"/>
    </row>
    <row r="58" spans="1:2" ht="15">
      <c r="A58" s="223"/>
      <c r="B58" s="223"/>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spans="1:2" ht="15">
      <c r="A83" s="223"/>
      <c r="B83" s="223"/>
    </row>
    <row r="84" ht="15">
      <c r="A84" s="223"/>
    </row>
  </sheetData>
  <sheetProtection/>
  <mergeCells count="21">
    <mergeCell ref="A43:B43"/>
    <mergeCell ref="I43:P43"/>
    <mergeCell ref="H14:H15"/>
    <mergeCell ref="I14:L14"/>
    <mergeCell ref="B13:B15"/>
    <mergeCell ref="F14:F15"/>
    <mergeCell ref="E13:H13"/>
    <mergeCell ref="E3:H10"/>
    <mergeCell ref="A13:A15"/>
    <mergeCell ref="R14:U14"/>
    <mergeCell ref="E14:E15"/>
    <mergeCell ref="A36:B36"/>
    <mergeCell ref="A11:T11"/>
    <mergeCell ref="Q10:V10"/>
    <mergeCell ref="R41:S41"/>
    <mergeCell ref="C13:C15"/>
    <mergeCell ref="A41:B41"/>
    <mergeCell ref="M14:M15"/>
    <mergeCell ref="M12:T12"/>
    <mergeCell ref="I13:U13"/>
    <mergeCell ref="N14:Q14"/>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43"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1">
      <selection activeCell="E15" sqref="E15:E16"/>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64" t="s">
        <v>389</v>
      </c>
      <c r="I1" s="664"/>
      <c r="J1" s="664"/>
      <c r="K1" s="664"/>
      <c r="L1" s="664"/>
      <c r="M1" s="17"/>
    </row>
    <row r="2" spans="8:13" ht="12.75" customHeight="1">
      <c r="H2" s="12" t="s">
        <v>468</v>
      </c>
      <c r="I2" s="12"/>
      <c r="J2" s="15"/>
      <c r="K2" s="12"/>
      <c r="L2" s="12"/>
      <c r="M2" s="12"/>
    </row>
    <row r="3" spans="8:13" ht="15" customHeight="1">
      <c r="H3" s="12" t="s">
        <v>639</v>
      </c>
      <c r="I3" s="12"/>
      <c r="J3" s="15"/>
      <c r="K3" s="12"/>
      <c r="L3" s="12"/>
      <c r="M3" s="12"/>
    </row>
    <row r="4" spans="8:13" ht="15" customHeight="1">
      <c r="H4" s="17" t="s">
        <v>161</v>
      </c>
      <c r="I4" s="17"/>
      <c r="J4" s="15"/>
      <c r="K4" s="12"/>
      <c r="L4" s="12"/>
      <c r="M4" s="12"/>
    </row>
    <row r="5" spans="8:13" ht="15" customHeight="1">
      <c r="H5" s="17" t="s">
        <v>369</v>
      </c>
      <c r="I5" s="17"/>
      <c r="J5" s="15"/>
      <c r="K5" s="12"/>
      <c r="L5" s="12"/>
      <c r="M5" s="12"/>
    </row>
    <row r="6" spans="8:13" ht="15" customHeight="1">
      <c r="H6" s="17" t="s">
        <v>581</v>
      </c>
      <c r="I6" s="17"/>
      <c r="J6" s="217"/>
      <c r="K6" s="12"/>
      <c r="L6" s="12"/>
      <c r="M6" s="12"/>
    </row>
    <row r="7" spans="8:13" ht="15" customHeight="1">
      <c r="H7" s="17" t="s">
        <v>640</v>
      </c>
      <c r="I7" s="17"/>
      <c r="J7" s="217"/>
      <c r="K7" s="12"/>
      <c r="L7" s="12"/>
      <c r="M7" s="12"/>
    </row>
    <row r="8" spans="2:13" ht="15" customHeight="1">
      <c r="B8" s="15"/>
      <c r="C8" s="15"/>
      <c r="D8" s="15"/>
      <c r="H8" s="665" t="s">
        <v>641</v>
      </c>
      <c r="I8" s="665"/>
      <c r="J8" s="665"/>
      <c r="K8" s="665"/>
      <c r="L8" s="665"/>
      <c r="M8" s="665"/>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130</v>
      </c>
      <c r="I11" s="12"/>
    </row>
    <row r="12" spans="1:9" ht="17.25" customHeight="1">
      <c r="A12" s="666" t="s">
        <v>392</v>
      </c>
      <c r="B12" s="666"/>
      <c r="C12" s="666"/>
      <c r="D12" s="666"/>
      <c r="E12" s="666"/>
      <c r="F12" s="666"/>
      <c r="G12" s="666"/>
      <c r="H12" s="666"/>
      <c r="I12" s="15"/>
    </row>
    <row r="13" spans="1:9" ht="13.5" customHeight="1">
      <c r="A13" s="226"/>
      <c r="B13" s="33"/>
      <c r="C13" s="33"/>
      <c r="D13" s="33"/>
      <c r="E13" s="33"/>
      <c r="F13" s="33"/>
      <c r="G13" s="33"/>
      <c r="H13" s="265" t="s">
        <v>102</v>
      </c>
      <c r="I13" s="15"/>
    </row>
    <row r="14" spans="1:9" ht="19.5" customHeight="1">
      <c r="A14" s="667" t="s">
        <v>486</v>
      </c>
      <c r="B14" s="667" t="s">
        <v>469</v>
      </c>
      <c r="C14" s="667" t="s">
        <v>470</v>
      </c>
      <c r="D14" s="667" t="s">
        <v>104</v>
      </c>
      <c r="E14" s="674" t="s">
        <v>466</v>
      </c>
      <c r="F14" s="674"/>
      <c r="G14" s="674"/>
      <c r="H14" s="674" t="s">
        <v>472</v>
      </c>
      <c r="I14" s="15"/>
    </row>
    <row r="15" spans="1:9" ht="15.75" customHeight="1">
      <c r="A15" s="668"/>
      <c r="B15" s="668"/>
      <c r="C15" s="668"/>
      <c r="D15" s="668"/>
      <c r="E15" s="667">
        <v>2022</v>
      </c>
      <c r="F15" s="667">
        <v>2023</v>
      </c>
      <c r="G15" s="667">
        <v>2024</v>
      </c>
      <c r="H15" s="674"/>
      <c r="I15" s="15"/>
    </row>
    <row r="16" spans="1:9" ht="21" customHeight="1">
      <c r="A16" s="669"/>
      <c r="B16" s="669"/>
      <c r="C16" s="669"/>
      <c r="D16" s="669"/>
      <c r="E16" s="669"/>
      <c r="F16" s="669"/>
      <c r="G16" s="669"/>
      <c r="H16" s="674"/>
      <c r="I16" s="15"/>
    </row>
    <row r="17" spans="1:9" ht="33.75" customHeight="1" hidden="1">
      <c r="A17" s="63">
        <v>1</v>
      </c>
      <c r="B17" s="58" t="s">
        <v>487</v>
      </c>
      <c r="C17" s="35" t="s">
        <v>473</v>
      </c>
      <c r="D17" s="69" t="e">
        <f>#REF!+E17+F17+G17</f>
        <v>#REF!</v>
      </c>
      <c r="E17" s="69"/>
      <c r="F17" s="69"/>
      <c r="G17" s="69"/>
      <c r="H17" s="35" t="s">
        <v>488</v>
      </c>
      <c r="I17" s="15"/>
    </row>
    <row r="18" spans="1:14" ht="72" customHeight="1">
      <c r="A18" s="293">
        <v>1</v>
      </c>
      <c r="B18" s="283" t="s">
        <v>305</v>
      </c>
      <c r="C18" s="35" t="s">
        <v>195</v>
      </c>
      <c r="D18" s="70">
        <f aca="true" t="shared" si="0" ref="D18:D45">E18+F18+G18</f>
        <v>266623.8</v>
      </c>
      <c r="E18" s="528">
        <f>(60430-4630)+(35600-33450)</f>
        <v>57950</v>
      </c>
      <c r="F18" s="107">
        <v>101791.8</v>
      </c>
      <c r="G18" s="107">
        <v>106882</v>
      </c>
      <c r="H18" s="166" t="s">
        <v>438</v>
      </c>
      <c r="I18" s="15"/>
      <c r="N18" s="14" t="s">
        <v>306</v>
      </c>
    </row>
    <row r="19" spans="1:14" ht="52.5" customHeight="1">
      <c r="A19" s="293">
        <v>2</v>
      </c>
      <c r="B19" s="283" t="s">
        <v>502</v>
      </c>
      <c r="C19" s="35" t="s">
        <v>195</v>
      </c>
      <c r="D19" s="70">
        <f t="shared" si="0"/>
        <v>374775</v>
      </c>
      <c r="E19" s="528">
        <f>165000-50000-112300</f>
        <v>2700</v>
      </c>
      <c r="F19" s="107">
        <v>181500</v>
      </c>
      <c r="G19" s="107">
        <v>190575</v>
      </c>
      <c r="H19" s="673" t="s">
        <v>274</v>
      </c>
      <c r="I19" s="15"/>
      <c r="N19" s="408" t="s">
        <v>331</v>
      </c>
    </row>
    <row r="20" spans="1:14" s="231" customFormat="1" ht="36" customHeight="1" hidden="1">
      <c r="A20" s="417" t="s">
        <v>81</v>
      </c>
      <c r="B20" s="324" t="s">
        <v>348</v>
      </c>
      <c r="C20" s="280" t="s">
        <v>195</v>
      </c>
      <c r="D20" s="70">
        <f t="shared" si="0"/>
        <v>49455.5</v>
      </c>
      <c r="E20" s="216">
        <v>24007.5</v>
      </c>
      <c r="F20" s="216">
        <v>25448</v>
      </c>
      <c r="G20" s="216"/>
      <c r="H20" s="673"/>
      <c r="I20" s="81"/>
      <c r="N20" s="420"/>
    </row>
    <row r="21" spans="1:14" s="231" customFormat="1" ht="33.75" customHeight="1" hidden="1">
      <c r="A21" s="417" t="s">
        <v>101</v>
      </c>
      <c r="B21" s="324" t="s">
        <v>349</v>
      </c>
      <c r="C21" s="280" t="s">
        <v>195</v>
      </c>
      <c r="D21" s="70">
        <f t="shared" si="0"/>
        <v>5275.200000000001</v>
      </c>
      <c r="E21" s="216">
        <v>2560.8</v>
      </c>
      <c r="F21" s="216">
        <v>2714.4</v>
      </c>
      <c r="G21" s="216"/>
      <c r="H21" s="673"/>
      <c r="I21" s="81"/>
      <c r="N21" s="420"/>
    </row>
    <row r="22" spans="1:14" s="231" customFormat="1" ht="35.25" customHeight="1" hidden="1">
      <c r="A22" s="417" t="s">
        <v>109</v>
      </c>
      <c r="B22" s="324" t="s">
        <v>350</v>
      </c>
      <c r="C22" s="280" t="s">
        <v>195</v>
      </c>
      <c r="D22" s="70">
        <f t="shared" si="0"/>
        <v>1099</v>
      </c>
      <c r="E22" s="216">
        <v>533.5</v>
      </c>
      <c r="F22" s="216">
        <v>565.5</v>
      </c>
      <c r="G22" s="216"/>
      <c r="H22" s="673"/>
      <c r="I22" s="81"/>
      <c r="N22" s="420"/>
    </row>
    <row r="23" spans="1:14" s="231" customFormat="1" ht="32.25" customHeight="1" hidden="1">
      <c r="A23" s="417" t="s">
        <v>110</v>
      </c>
      <c r="B23" s="324" t="s">
        <v>351</v>
      </c>
      <c r="C23" s="280" t="s">
        <v>195</v>
      </c>
      <c r="D23" s="70">
        <f t="shared" si="0"/>
        <v>2198</v>
      </c>
      <c r="E23" s="216">
        <v>1067</v>
      </c>
      <c r="F23" s="216">
        <v>1131</v>
      </c>
      <c r="G23" s="216"/>
      <c r="H23" s="673"/>
      <c r="I23" s="81"/>
      <c r="N23" s="420"/>
    </row>
    <row r="24" spans="1:14" s="231" customFormat="1" ht="45.75" customHeight="1" hidden="1">
      <c r="A24" s="417" t="s">
        <v>158</v>
      </c>
      <c r="B24" s="294" t="s">
        <v>379</v>
      </c>
      <c r="C24" s="63" t="s">
        <v>495</v>
      </c>
      <c r="D24" s="70">
        <f t="shared" si="0"/>
        <v>0</v>
      </c>
      <c r="E24" s="107"/>
      <c r="F24" s="216"/>
      <c r="G24" s="216"/>
      <c r="H24" s="35" t="s">
        <v>274</v>
      </c>
      <c r="I24" s="81"/>
      <c r="N24" s="420"/>
    </row>
    <row r="25" spans="1:14" ht="75" customHeight="1">
      <c r="A25" s="63">
        <v>4</v>
      </c>
      <c r="B25" s="283" t="s">
        <v>311</v>
      </c>
      <c r="C25" s="35" t="s">
        <v>195</v>
      </c>
      <c r="D25" s="70">
        <f t="shared" si="0"/>
        <v>266868.5</v>
      </c>
      <c r="E25" s="528">
        <f>90950.6-24950.6-4225.2</f>
        <v>61774.8</v>
      </c>
      <c r="F25" s="107">
        <v>100045.7</v>
      </c>
      <c r="G25" s="107">
        <v>105048</v>
      </c>
      <c r="H25" s="670" t="s">
        <v>274</v>
      </c>
      <c r="I25" s="15"/>
      <c r="N25" s="408" t="s">
        <v>342</v>
      </c>
    </row>
    <row r="26" spans="1:14" s="231" customFormat="1" ht="36" customHeight="1" hidden="1">
      <c r="A26" s="421" t="s">
        <v>121</v>
      </c>
      <c r="B26" s="324" t="s">
        <v>348</v>
      </c>
      <c r="C26" s="280" t="s">
        <v>195</v>
      </c>
      <c r="D26" s="216">
        <f t="shared" si="0"/>
        <v>880</v>
      </c>
      <c r="E26" s="216">
        <v>427</v>
      </c>
      <c r="F26" s="216">
        <v>453</v>
      </c>
      <c r="G26" s="216"/>
      <c r="H26" s="671"/>
      <c r="I26" s="81"/>
      <c r="N26" s="420"/>
    </row>
    <row r="27" spans="1:14" s="231" customFormat="1" ht="42" customHeight="1" hidden="1">
      <c r="A27" s="421" t="s">
        <v>145</v>
      </c>
      <c r="B27" s="324" t="s">
        <v>349</v>
      </c>
      <c r="C27" s="280" t="s">
        <v>195</v>
      </c>
      <c r="D27" s="216">
        <f t="shared" si="0"/>
        <v>659.4000000000001</v>
      </c>
      <c r="E27" s="216">
        <v>320.1</v>
      </c>
      <c r="F27" s="216">
        <v>339.3</v>
      </c>
      <c r="G27" s="216"/>
      <c r="H27" s="671"/>
      <c r="I27" s="81"/>
      <c r="N27" s="420"/>
    </row>
    <row r="28" spans="1:14" s="231" customFormat="1" ht="41.25" customHeight="1" hidden="1">
      <c r="A28" s="421" t="s">
        <v>181</v>
      </c>
      <c r="B28" s="324" t="s">
        <v>350</v>
      </c>
      <c r="C28" s="280" t="s">
        <v>195</v>
      </c>
      <c r="D28" s="216">
        <f t="shared" si="0"/>
        <v>1099</v>
      </c>
      <c r="E28" s="216">
        <v>533.5</v>
      </c>
      <c r="F28" s="216">
        <v>565.5</v>
      </c>
      <c r="G28" s="216"/>
      <c r="H28" s="671"/>
      <c r="I28" s="81"/>
      <c r="N28" s="420"/>
    </row>
    <row r="29" spans="1:14" s="231" customFormat="1" ht="38.25" customHeight="1" hidden="1">
      <c r="A29" s="421" t="s">
        <v>182</v>
      </c>
      <c r="B29" s="324" t="s">
        <v>351</v>
      </c>
      <c r="C29" s="280" t="s">
        <v>195</v>
      </c>
      <c r="D29" s="216">
        <f t="shared" si="0"/>
        <v>1099</v>
      </c>
      <c r="E29" s="216">
        <v>533.5</v>
      </c>
      <c r="F29" s="216">
        <v>565.5</v>
      </c>
      <c r="G29" s="216"/>
      <c r="H29" s="672"/>
      <c r="I29" s="81"/>
      <c r="N29" s="420"/>
    </row>
    <row r="30" spans="1:14" ht="37.5">
      <c r="A30" s="63">
        <v>5</v>
      </c>
      <c r="B30" s="62" t="s">
        <v>358</v>
      </c>
      <c r="C30" s="35" t="s">
        <v>195</v>
      </c>
      <c r="D30" s="70">
        <f t="shared" si="0"/>
        <v>3504.2</v>
      </c>
      <c r="E30" s="107">
        <f>1500-1295.8</f>
        <v>204.20000000000005</v>
      </c>
      <c r="F30" s="107">
        <v>1600</v>
      </c>
      <c r="G30" s="107">
        <v>1700</v>
      </c>
      <c r="H30" s="35" t="s">
        <v>274</v>
      </c>
      <c r="I30" s="15"/>
      <c r="N30" s="14" t="s">
        <v>307</v>
      </c>
    </row>
    <row r="31" spans="1:9" ht="37.5">
      <c r="A31" s="321">
        <v>6</v>
      </c>
      <c r="B31" s="325" t="s">
        <v>273</v>
      </c>
      <c r="C31" s="35" t="s">
        <v>195</v>
      </c>
      <c r="D31" s="70">
        <f t="shared" si="0"/>
        <v>4321.4</v>
      </c>
      <c r="E31" s="107">
        <f>1595.2-740.2</f>
        <v>855</v>
      </c>
      <c r="F31" s="107">
        <v>1690.9</v>
      </c>
      <c r="G31" s="107">
        <v>1775.5</v>
      </c>
      <c r="H31" s="35" t="s">
        <v>274</v>
      </c>
      <c r="I31" s="15"/>
    </row>
    <row r="32" spans="1:9" ht="50.25" customHeight="1">
      <c r="A32" s="166">
        <v>7</v>
      </c>
      <c r="B32" s="294" t="s">
        <v>376</v>
      </c>
      <c r="C32" s="35" t="s">
        <v>195</v>
      </c>
      <c r="D32" s="107">
        <f t="shared" si="0"/>
        <v>26131.9</v>
      </c>
      <c r="E32" s="107">
        <f>7469+4000-9767.1</f>
        <v>1701.8999999999996</v>
      </c>
      <c r="F32" s="107">
        <f>7917+4000</f>
        <v>11917</v>
      </c>
      <c r="G32" s="107">
        <v>12513</v>
      </c>
      <c r="H32" s="35" t="s">
        <v>274</v>
      </c>
      <c r="I32" s="15"/>
    </row>
    <row r="33" spans="1:14" ht="56.25">
      <c r="A33" s="166">
        <v>8</v>
      </c>
      <c r="B33" s="294" t="s">
        <v>449</v>
      </c>
      <c r="C33" s="63" t="s">
        <v>195</v>
      </c>
      <c r="D33" s="107">
        <f t="shared" si="0"/>
        <v>1919.4</v>
      </c>
      <c r="E33" s="107">
        <f>894.6-894.6</f>
        <v>0</v>
      </c>
      <c r="F33" s="107">
        <v>936.3</v>
      </c>
      <c r="G33" s="107">
        <v>983.1</v>
      </c>
      <c r="H33" s="35" t="s">
        <v>274</v>
      </c>
      <c r="I33" s="15"/>
      <c r="N33" s="14" t="s">
        <v>359</v>
      </c>
    </row>
    <row r="34" spans="1:9" ht="56.25">
      <c r="A34" s="35">
        <v>9</v>
      </c>
      <c r="B34" s="294" t="s">
        <v>308</v>
      </c>
      <c r="C34" s="63" t="s">
        <v>195</v>
      </c>
      <c r="D34" s="107">
        <f t="shared" si="0"/>
        <v>5130.799999999999</v>
      </c>
      <c r="E34" s="107">
        <f>2191.7-1824</f>
        <v>367.6999999999998</v>
      </c>
      <c r="F34" s="107">
        <v>2323.1</v>
      </c>
      <c r="G34" s="107">
        <v>2440</v>
      </c>
      <c r="H34" s="35" t="s">
        <v>274</v>
      </c>
      <c r="I34" s="15"/>
    </row>
    <row r="35" spans="1:14" ht="56.25">
      <c r="A35" s="321">
        <v>10</v>
      </c>
      <c r="B35" s="294" t="s">
        <v>450</v>
      </c>
      <c r="C35" s="63" t="s">
        <v>195</v>
      </c>
      <c r="D35" s="107">
        <f t="shared" si="0"/>
        <v>9491.6</v>
      </c>
      <c r="E35" s="528">
        <f>1100+340+2667.5-2667.5-245</f>
        <v>1195</v>
      </c>
      <c r="F35" s="107">
        <f>1200+2827.6</f>
        <v>4027.6</v>
      </c>
      <c r="G35" s="107">
        <f>1300+2969</f>
        <v>4269</v>
      </c>
      <c r="H35" s="35" t="s">
        <v>274</v>
      </c>
      <c r="I35" s="15"/>
      <c r="N35" s="14" t="s">
        <v>360</v>
      </c>
    </row>
    <row r="36" spans="1:14" ht="50.25" customHeight="1" hidden="1">
      <c r="A36" s="166">
        <v>11</v>
      </c>
      <c r="B36" s="294" t="s">
        <v>361</v>
      </c>
      <c r="C36" s="63" t="s">
        <v>195</v>
      </c>
      <c r="D36" s="107">
        <f t="shared" si="0"/>
        <v>0</v>
      </c>
      <c r="E36" s="528">
        <v>0</v>
      </c>
      <c r="F36" s="107">
        <v>0</v>
      </c>
      <c r="G36" s="107">
        <v>0</v>
      </c>
      <c r="H36" s="166" t="s">
        <v>40</v>
      </c>
      <c r="I36" s="15"/>
      <c r="N36" s="14" t="s">
        <v>371</v>
      </c>
    </row>
    <row r="37" spans="1:9" ht="59.25" customHeight="1">
      <c r="A37" s="166">
        <v>12</v>
      </c>
      <c r="B37" s="62" t="s">
        <v>309</v>
      </c>
      <c r="C37" s="63" t="s">
        <v>195</v>
      </c>
      <c r="D37" s="107">
        <f t="shared" si="0"/>
        <v>49171</v>
      </c>
      <c r="E37" s="528">
        <f>21340-18540</f>
        <v>2800</v>
      </c>
      <c r="F37" s="107">
        <v>22620</v>
      </c>
      <c r="G37" s="107">
        <v>23751</v>
      </c>
      <c r="H37" s="166" t="s">
        <v>40</v>
      </c>
      <c r="I37" s="15"/>
    </row>
    <row r="38" spans="1:9" ht="37.5">
      <c r="A38" s="35">
        <v>13</v>
      </c>
      <c r="B38" s="325" t="s">
        <v>275</v>
      </c>
      <c r="C38" s="63" t="s">
        <v>195</v>
      </c>
      <c r="D38" s="107">
        <f t="shared" si="0"/>
        <v>17989.4</v>
      </c>
      <c r="E38" s="528">
        <f>7818.3-6818.3</f>
        <v>1000</v>
      </c>
      <c r="F38" s="107">
        <v>8287.4</v>
      </c>
      <c r="G38" s="107">
        <v>8702</v>
      </c>
      <c r="H38" s="166" t="s">
        <v>40</v>
      </c>
      <c r="I38" s="15"/>
    </row>
    <row r="39" spans="1:9" s="52" customFormat="1" ht="56.25">
      <c r="A39" s="321">
        <v>14</v>
      </c>
      <c r="B39" s="62" t="s">
        <v>276</v>
      </c>
      <c r="C39" s="63" t="s">
        <v>195</v>
      </c>
      <c r="D39" s="107">
        <f t="shared" si="0"/>
        <v>44628.4</v>
      </c>
      <c r="E39" s="528">
        <f>15204.8+5000-15204.8-1500-1911.6</f>
        <v>1588.4</v>
      </c>
      <c r="F39" s="107">
        <f>16117+5000</f>
        <v>21117</v>
      </c>
      <c r="G39" s="107">
        <f>16923+5000</f>
        <v>21923</v>
      </c>
      <c r="H39" s="293" t="s">
        <v>40</v>
      </c>
      <c r="I39" s="410"/>
    </row>
    <row r="40" spans="1:15" s="52" customFormat="1" ht="37.5">
      <c r="A40" s="293">
        <v>15</v>
      </c>
      <c r="B40" s="62" t="s">
        <v>310</v>
      </c>
      <c r="C40" s="63" t="s">
        <v>195</v>
      </c>
      <c r="D40" s="107">
        <f t="shared" si="0"/>
        <v>0</v>
      </c>
      <c r="E40" s="528">
        <f>2000-1500-500</f>
        <v>0</v>
      </c>
      <c r="F40" s="107"/>
      <c r="G40" s="107"/>
      <c r="H40" s="293" t="s">
        <v>40</v>
      </c>
      <c r="I40" s="410"/>
      <c r="O40" s="52" t="s">
        <v>439</v>
      </c>
    </row>
    <row r="41" spans="1:14" ht="45.75" customHeight="1">
      <c r="A41" s="166">
        <v>16</v>
      </c>
      <c r="B41" s="62" t="s">
        <v>333</v>
      </c>
      <c r="C41" s="35" t="s">
        <v>195</v>
      </c>
      <c r="D41" s="107">
        <f t="shared" si="0"/>
        <v>0</v>
      </c>
      <c r="E41" s="528">
        <f>5000-5000</f>
        <v>0</v>
      </c>
      <c r="F41" s="107"/>
      <c r="G41" s="107"/>
      <c r="H41" s="166" t="s">
        <v>40</v>
      </c>
      <c r="I41" s="15"/>
      <c r="N41" s="14" t="s">
        <v>312</v>
      </c>
    </row>
    <row r="42" spans="1:9" ht="37.5">
      <c r="A42" s="166">
        <v>17</v>
      </c>
      <c r="B42" s="62" t="s">
        <v>334</v>
      </c>
      <c r="C42" s="35" t="s">
        <v>195</v>
      </c>
      <c r="D42" s="107">
        <f t="shared" si="0"/>
        <v>0</v>
      </c>
      <c r="E42" s="528">
        <f>5000-4000-1000</f>
        <v>0</v>
      </c>
      <c r="F42" s="107"/>
      <c r="G42" s="107"/>
      <c r="H42" s="166" t="s">
        <v>40</v>
      </c>
      <c r="I42" s="15"/>
    </row>
    <row r="43" spans="1:9" s="52" customFormat="1" ht="23.25" customHeight="1" hidden="1">
      <c r="A43" s="466">
        <v>18</v>
      </c>
      <c r="B43" s="505" t="s">
        <v>332</v>
      </c>
      <c r="C43" s="506" t="s">
        <v>195</v>
      </c>
      <c r="D43" s="504">
        <f t="shared" si="0"/>
        <v>0</v>
      </c>
      <c r="E43" s="504">
        <f>1000-1000+50-50</f>
        <v>0</v>
      </c>
      <c r="F43" s="465"/>
      <c r="G43" s="465"/>
      <c r="H43" s="466" t="s">
        <v>40</v>
      </c>
      <c r="I43" s="410"/>
    </row>
    <row r="44" spans="1:9" ht="50.25" customHeight="1">
      <c r="A44" s="166">
        <v>18</v>
      </c>
      <c r="B44" s="62" t="s">
        <v>451</v>
      </c>
      <c r="C44" s="35" t="s">
        <v>195</v>
      </c>
      <c r="D44" s="107">
        <f t="shared" si="0"/>
        <v>13500</v>
      </c>
      <c r="E44" s="107">
        <f>7000-7000</f>
        <v>0</v>
      </c>
      <c r="F44" s="107">
        <v>7500</v>
      </c>
      <c r="G44" s="107">
        <v>6000</v>
      </c>
      <c r="H44" s="166" t="s">
        <v>40</v>
      </c>
      <c r="I44" s="15"/>
    </row>
    <row r="45" spans="1:9" ht="56.25">
      <c r="A45" s="166">
        <v>19</v>
      </c>
      <c r="B45" s="294" t="s">
        <v>580</v>
      </c>
      <c r="C45" s="35" t="s">
        <v>195</v>
      </c>
      <c r="D45" s="107">
        <f t="shared" si="0"/>
        <v>42100</v>
      </c>
      <c r="E45" s="107">
        <f>50000-7900</f>
        <v>42100</v>
      </c>
      <c r="F45" s="107"/>
      <c r="G45" s="107"/>
      <c r="H45" s="166" t="s">
        <v>40</v>
      </c>
      <c r="I45" s="15"/>
    </row>
    <row r="46" spans="1:9" ht="28.5" customHeight="1">
      <c r="A46" s="326"/>
      <c r="B46" s="72" t="s">
        <v>463</v>
      </c>
      <c r="C46" s="72"/>
      <c r="D46" s="59">
        <f>E46+F46+G46</f>
        <v>1126155.4</v>
      </c>
      <c r="E46" s="59">
        <f>E18+E19+E25+E30+E31+E32+E33+E34+E35+E36+E37+E38+E39+E40+E41+E42+E43+E44+E45+E24</f>
        <v>174237</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1" customFormat="1" ht="20.25" customHeight="1">
      <c r="B51" s="657" t="s">
        <v>150</v>
      </c>
      <c r="C51" s="657"/>
      <c r="D51" s="348"/>
      <c r="E51" s="350"/>
      <c r="F51" s="351"/>
      <c r="H51" s="362" t="s">
        <v>616</v>
      </c>
      <c r="J51" s="363"/>
      <c r="K51" s="364"/>
    </row>
    <row r="52" spans="2:11" s="226" customFormat="1" ht="18.75">
      <c r="B52" s="234"/>
      <c r="C52" s="234"/>
      <c r="D52" s="234"/>
      <c r="E52" s="22"/>
      <c r="F52" s="142"/>
      <c r="H52" s="169"/>
      <c r="J52" s="23"/>
      <c r="K52" s="24"/>
    </row>
    <row r="53" spans="2:9" s="226" customFormat="1" ht="18.75">
      <c r="B53" s="648" t="s">
        <v>159</v>
      </c>
      <c r="C53" s="648"/>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D14:D16"/>
    <mergeCell ref="E14:G14"/>
    <mergeCell ref="H14:H16"/>
    <mergeCell ref="E15:E16"/>
    <mergeCell ref="F15:F16"/>
    <mergeCell ref="G15:G16"/>
    <mergeCell ref="B51:C51"/>
    <mergeCell ref="B53:C53"/>
    <mergeCell ref="H1:L1"/>
    <mergeCell ref="H8:M8"/>
    <mergeCell ref="A12:H12"/>
    <mergeCell ref="A14:A16"/>
    <mergeCell ref="B14:B16"/>
    <mergeCell ref="H25:H29"/>
    <mergeCell ref="C14:C16"/>
    <mergeCell ref="H19:H23"/>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F2" sqref="F2:K8"/>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64" t="s">
        <v>622</v>
      </c>
      <c r="G1" s="664"/>
      <c r="H1" s="664"/>
      <c r="I1" s="664"/>
      <c r="J1" s="664"/>
      <c r="K1" s="17"/>
    </row>
    <row r="2" spans="2:11" ht="15" customHeight="1">
      <c r="B2" s="15"/>
      <c r="C2" s="15"/>
      <c r="D2" s="15"/>
      <c r="E2" s="15"/>
      <c r="F2" s="12" t="s">
        <v>468</v>
      </c>
      <c r="G2" s="12"/>
      <c r="H2" s="15"/>
      <c r="I2" s="12"/>
      <c r="J2" s="12"/>
      <c r="K2" s="12"/>
    </row>
    <row r="3" spans="2:11" ht="15" customHeight="1">
      <c r="B3" s="15"/>
      <c r="C3" s="15"/>
      <c r="D3" s="15"/>
      <c r="E3" s="15"/>
      <c r="F3" s="12" t="s">
        <v>639</v>
      </c>
      <c r="G3" s="12"/>
      <c r="H3" s="15"/>
      <c r="I3" s="12"/>
      <c r="J3" s="12"/>
      <c r="K3" s="12"/>
    </row>
    <row r="4" spans="2:11" ht="16.5" customHeight="1">
      <c r="B4" s="15"/>
      <c r="C4" s="15"/>
      <c r="D4" s="15"/>
      <c r="E4" s="15"/>
      <c r="F4" s="17" t="s">
        <v>161</v>
      </c>
      <c r="G4" s="17"/>
      <c r="H4" s="15"/>
      <c r="I4" s="12"/>
      <c r="J4" s="12"/>
      <c r="K4" s="12"/>
    </row>
    <row r="5" spans="2:11" ht="15" customHeight="1">
      <c r="B5" s="15"/>
      <c r="C5" s="15"/>
      <c r="D5" s="15"/>
      <c r="E5" s="15"/>
      <c r="F5" s="17" t="s">
        <v>369</v>
      </c>
      <c r="G5" s="17"/>
      <c r="H5" s="15"/>
      <c r="I5" s="12"/>
      <c r="J5" s="12"/>
      <c r="K5" s="12"/>
    </row>
    <row r="6" spans="2:11" ht="16.5" customHeight="1">
      <c r="B6" s="15"/>
      <c r="C6" s="15"/>
      <c r="D6" s="15"/>
      <c r="E6" s="15"/>
      <c r="F6" s="17" t="s">
        <v>581</v>
      </c>
      <c r="G6" s="17"/>
      <c r="H6" s="217"/>
      <c r="I6" s="12"/>
      <c r="J6" s="12"/>
      <c r="K6" s="12"/>
    </row>
    <row r="7" spans="2:11" ht="16.5" customHeight="1">
      <c r="B7" s="15"/>
      <c r="C7" s="15"/>
      <c r="D7" s="15"/>
      <c r="E7" s="15"/>
      <c r="F7" s="17" t="s">
        <v>640</v>
      </c>
      <c r="G7" s="17"/>
      <c r="H7" s="217"/>
      <c r="I7" s="12"/>
      <c r="J7" s="12"/>
      <c r="K7" s="12"/>
    </row>
    <row r="8" spans="2:11" ht="16.5" customHeight="1">
      <c r="B8" s="15"/>
      <c r="C8" s="15"/>
      <c r="D8" s="15"/>
      <c r="E8" s="15"/>
      <c r="F8" s="665" t="s">
        <v>641</v>
      </c>
      <c r="G8" s="665"/>
      <c r="H8" s="665"/>
      <c r="I8" s="665"/>
      <c r="J8" s="665"/>
      <c r="K8" s="665"/>
    </row>
    <row r="9" spans="2:11" ht="9.75" customHeight="1">
      <c r="B9" s="15"/>
      <c r="C9" s="15"/>
      <c r="D9" s="15"/>
      <c r="E9" s="15"/>
      <c r="F9" s="665"/>
      <c r="G9" s="665"/>
      <c r="H9" s="665"/>
      <c r="I9" s="665"/>
      <c r="J9" s="665"/>
      <c r="K9" s="665"/>
    </row>
    <row r="10" spans="2:11" ht="9" customHeight="1">
      <c r="B10" s="15"/>
      <c r="C10" s="15"/>
      <c r="D10" s="15"/>
      <c r="E10" s="15"/>
      <c r="F10" s="15"/>
      <c r="G10" s="15"/>
      <c r="H10" s="15"/>
      <c r="I10" s="15"/>
      <c r="J10" s="15"/>
      <c r="K10" s="15"/>
    </row>
    <row r="11" spans="2:11" ht="37.5" customHeight="1">
      <c r="B11" s="666" t="s">
        <v>393</v>
      </c>
      <c r="C11" s="666"/>
      <c r="D11" s="666"/>
      <c r="E11" s="666"/>
      <c r="F11" s="666"/>
      <c r="G11" s="666"/>
      <c r="H11" s="666"/>
      <c r="I11" s="666"/>
      <c r="J11" s="666"/>
      <c r="K11" s="666"/>
    </row>
    <row r="12" spans="2:11" ht="15.75">
      <c r="B12" s="15"/>
      <c r="C12" s="15"/>
      <c r="D12" s="676"/>
      <c r="E12" s="676"/>
      <c r="F12" s="676"/>
      <c r="G12" s="676"/>
      <c r="H12" s="676"/>
      <c r="I12" s="15"/>
      <c r="J12" s="15"/>
      <c r="K12" s="34" t="s">
        <v>480</v>
      </c>
    </row>
    <row r="13" spans="1:11" ht="15.75" customHeight="1">
      <c r="A13" s="667" t="s">
        <v>464</v>
      </c>
      <c r="B13" s="667" t="s">
        <v>469</v>
      </c>
      <c r="C13" s="667" t="s">
        <v>470</v>
      </c>
      <c r="D13" s="667" t="s">
        <v>104</v>
      </c>
      <c r="E13" s="677" t="s">
        <v>466</v>
      </c>
      <c r="F13" s="677"/>
      <c r="G13" s="677"/>
      <c r="H13" s="677"/>
      <c r="I13" s="677"/>
      <c r="J13" s="677"/>
      <c r="K13" s="674" t="s">
        <v>472</v>
      </c>
    </row>
    <row r="14" spans="1:11" ht="15.75" customHeight="1">
      <c r="A14" s="668"/>
      <c r="B14" s="668"/>
      <c r="C14" s="668"/>
      <c r="D14" s="668"/>
      <c r="E14" s="667">
        <v>2022</v>
      </c>
      <c r="F14" s="667">
        <v>2023</v>
      </c>
      <c r="G14" s="667" t="s">
        <v>481</v>
      </c>
      <c r="H14" s="667" t="s">
        <v>482</v>
      </c>
      <c r="I14" s="667" t="s">
        <v>483</v>
      </c>
      <c r="J14" s="674">
        <v>2024</v>
      </c>
      <c r="K14" s="674"/>
    </row>
    <row r="15" spans="1:11" ht="18" customHeight="1">
      <c r="A15" s="669"/>
      <c r="B15" s="669"/>
      <c r="C15" s="669"/>
      <c r="D15" s="669"/>
      <c r="E15" s="669"/>
      <c r="F15" s="669"/>
      <c r="G15" s="669"/>
      <c r="H15" s="669"/>
      <c r="I15" s="669"/>
      <c r="J15" s="674"/>
      <c r="K15" s="674"/>
    </row>
    <row r="16" spans="1:11" s="292" customFormat="1" ht="69" customHeight="1">
      <c r="A16" s="166">
        <v>1</v>
      </c>
      <c r="B16" s="283" t="s">
        <v>362</v>
      </c>
      <c r="C16" s="166" t="s">
        <v>195</v>
      </c>
      <c r="D16" s="371">
        <f aca="true" t="shared" si="0" ref="D16:D25">SUM(E16:J16)</f>
        <v>96041.70000000001</v>
      </c>
      <c r="E16" s="430">
        <f>38738-1000-50-460.6-20000-2100-1263.4</f>
        <v>13864.000000000002</v>
      </c>
      <c r="F16" s="431">
        <f>41062.3-1000</f>
        <v>40062.3</v>
      </c>
      <c r="G16" s="430"/>
      <c r="H16" s="430"/>
      <c r="I16" s="430"/>
      <c r="J16" s="430">
        <f>43115.4-1000</f>
        <v>42115.4</v>
      </c>
      <c r="K16" s="670" t="s">
        <v>40</v>
      </c>
    </row>
    <row r="17" spans="1:11" ht="30" customHeight="1" hidden="1">
      <c r="A17" s="422" t="s">
        <v>41</v>
      </c>
      <c r="B17" s="324" t="s">
        <v>348</v>
      </c>
      <c r="C17" s="678" t="s">
        <v>195</v>
      </c>
      <c r="D17" s="432">
        <f t="shared" si="0"/>
        <v>826.8</v>
      </c>
      <c r="E17" s="99">
        <v>400</v>
      </c>
      <c r="F17" s="100">
        <v>426.8</v>
      </c>
      <c r="G17" s="99"/>
      <c r="H17" s="99"/>
      <c r="I17" s="99"/>
      <c r="J17" s="99"/>
      <c r="K17" s="671"/>
    </row>
    <row r="18" spans="1:11" ht="32.25" customHeight="1" hidden="1">
      <c r="A18" s="422" t="s">
        <v>45</v>
      </c>
      <c r="B18" s="324" t="s">
        <v>349</v>
      </c>
      <c r="C18" s="679"/>
      <c r="D18" s="432">
        <f t="shared" si="0"/>
        <v>310.1</v>
      </c>
      <c r="E18" s="99">
        <v>150</v>
      </c>
      <c r="F18" s="100">
        <v>160.1</v>
      </c>
      <c r="G18" s="99"/>
      <c r="H18" s="99"/>
      <c r="I18" s="99"/>
      <c r="J18" s="99"/>
      <c r="K18" s="671"/>
    </row>
    <row r="19" spans="1:11" ht="33.75" customHeight="1" hidden="1">
      <c r="A19" s="422" t="s">
        <v>46</v>
      </c>
      <c r="B19" s="324" t="s">
        <v>350</v>
      </c>
      <c r="C19" s="679"/>
      <c r="D19" s="432">
        <f t="shared" si="0"/>
        <v>310.1</v>
      </c>
      <c r="E19" s="99">
        <v>150</v>
      </c>
      <c r="F19" s="100">
        <v>160.1</v>
      </c>
      <c r="G19" s="99"/>
      <c r="H19" s="99"/>
      <c r="I19" s="99"/>
      <c r="J19" s="99"/>
      <c r="K19" s="671"/>
    </row>
    <row r="20" spans="1:11" ht="30" customHeight="1" hidden="1">
      <c r="A20" s="422" t="s">
        <v>47</v>
      </c>
      <c r="B20" s="324" t="s">
        <v>351</v>
      </c>
      <c r="C20" s="680"/>
      <c r="D20" s="432">
        <f t="shared" si="0"/>
        <v>310.1</v>
      </c>
      <c r="E20" s="99">
        <v>150</v>
      </c>
      <c r="F20" s="100">
        <v>160.1</v>
      </c>
      <c r="G20" s="99"/>
      <c r="H20" s="99"/>
      <c r="I20" s="99"/>
      <c r="J20" s="99"/>
      <c r="K20" s="672"/>
    </row>
    <row r="21" spans="1:11" s="292" customFormat="1" ht="60.75" customHeight="1">
      <c r="A21" s="166">
        <v>2</v>
      </c>
      <c r="B21" s="283" t="s">
        <v>363</v>
      </c>
      <c r="C21" s="166" t="s">
        <v>195</v>
      </c>
      <c r="D21" s="430">
        <f t="shared" si="0"/>
        <v>44985</v>
      </c>
      <c r="E21" s="96">
        <f>18267-5602.3-27.7-7287-60</f>
        <v>5290</v>
      </c>
      <c r="F21" s="95">
        <v>19363</v>
      </c>
      <c r="G21" s="95"/>
      <c r="H21" s="95"/>
      <c r="I21" s="95"/>
      <c r="J21" s="95">
        <v>20332</v>
      </c>
      <c r="K21" s="670" t="s">
        <v>40</v>
      </c>
    </row>
    <row r="22" spans="1:11" ht="33.75" customHeight="1" hidden="1">
      <c r="A22" s="422" t="s">
        <v>81</v>
      </c>
      <c r="B22" s="324" t="s">
        <v>348</v>
      </c>
      <c r="C22" s="678" t="s">
        <v>195</v>
      </c>
      <c r="D22" s="433">
        <f t="shared" si="0"/>
        <v>310.1</v>
      </c>
      <c r="E22" s="100">
        <v>150</v>
      </c>
      <c r="F22" s="100">
        <v>160.1</v>
      </c>
      <c r="G22" s="99"/>
      <c r="H22" s="99"/>
      <c r="I22" s="99"/>
      <c r="J22" s="99"/>
      <c r="K22" s="671"/>
    </row>
    <row r="23" spans="1:11" ht="31.5" customHeight="1" hidden="1">
      <c r="A23" s="422" t="s">
        <v>101</v>
      </c>
      <c r="B23" s="324" t="s">
        <v>349</v>
      </c>
      <c r="C23" s="679"/>
      <c r="D23" s="433">
        <f t="shared" si="0"/>
        <v>660.1</v>
      </c>
      <c r="E23" s="100">
        <v>500</v>
      </c>
      <c r="F23" s="100">
        <v>160.1</v>
      </c>
      <c r="G23" s="99"/>
      <c r="H23" s="99"/>
      <c r="I23" s="99"/>
      <c r="J23" s="99"/>
      <c r="K23" s="671"/>
    </row>
    <row r="24" spans="1:11" ht="29.25" customHeight="1" hidden="1">
      <c r="A24" s="422" t="s">
        <v>109</v>
      </c>
      <c r="B24" s="324" t="s">
        <v>350</v>
      </c>
      <c r="C24" s="679"/>
      <c r="D24" s="433">
        <f t="shared" si="0"/>
        <v>310.1</v>
      </c>
      <c r="E24" s="100">
        <v>150</v>
      </c>
      <c r="F24" s="100">
        <v>160.1</v>
      </c>
      <c r="G24" s="99"/>
      <c r="H24" s="99"/>
      <c r="I24" s="99"/>
      <c r="J24" s="99"/>
      <c r="K24" s="671"/>
    </row>
    <row r="25" spans="1:11" ht="31.5" customHeight="1" hidden="1">
      <c r="A25" s="422" t="s">
        <v>110</v>
      </c>
      <c r="B25" s="324" t="s">
        <v>351</v>
      </c>
      <c r="C25" s="680"/>
      <c r="D25" s="433">
        <f t="shared" si="0"/>
        <v>1034</v>
      </c>
      <c r="E25" s="100">
        <v>500</v>
      </c>
      <c r="F25" s="100">
        <v>534</v>
      </c>
      <c r="G25" s="99"/>
      <c r="H25" s="99"/>
      <c r="I25" s="99"/>
      <c r="J25" s="99"/>
      <c r="K25" s="672"/>
    </row>
    <row r="26" spans="1:11" s="292" customFormat="1" ht="62.25" customHeight="1">
      <c r="A26" s="166">
        <v>3</v>
      </c>
      <c r="B26" s="283" t="s">
        <v>598</v>
      </c>
      <c r="C26" s="166" t="s">
        <v>195</v>
      </c>
      <c r="D26" s="430">
        <f>E26+F26+J26</f>
        <v>126037</v>
      </c>
      <c r="E26" s="96">
        <f>37170+1000+5602.3+27.7</f>
        <v>43800</v>
      </c>
      <c r="F26" s="95">
        <f>39140+1000</f>
        <v>40140</v>
      </c>
      <c r="G26" s="95"/>
      <c r="H26" s="95"/>
      <c r="I26" s="95"/>
      <c r="J26" s="95">
        <f>41097+1000</f>
        <v>42097</v>
      </c>
      <c r="K26" s="670" t="s">
        <v>40</v>
      </c>
    </row>
    <row r="27" spans="1:11" ht="27" customHeight="1" hidden="1">
      <c r="A27" s="422" t="s">
        <v>121</v>
      </c>
      <c r="B27" s="324" t="s">
        <v>348</v>
      </c>
      <c r="C27" s="678" t="s">
        <v>195</v>
      </c>
      <c r="D27" s="98">
        <f>E27+F27+J27</f>
        <v>1600</v>
      </c>
      <c r="E27" s="100">
        <v>500</v>
      </c>
      <c r="F27" s="100">
        <v>534</v>
      </c>
      <c r="G27" s="99"/>
      <c r="H27" s="99"/>
      <c r="I27" s="99"/>
      <c r="J27" s="99">
        <v>566</v>
      </c>
      <c r="K27" s="671"/>
    </row>
    <row r="28" spans="1:11" ht="27" customHeight="1" hidden="1">
      <c r="A28" s="422" t="s">
        <v>145</v>
      </c>
      <c r="B28" s="324" t="s">
        <v>349</v>
      </c>
      <c r="C28" s="679"/>
      <c r="D28" s="98">
        <f>E28+F28+J28</f>
        <v>319.7</v>
      </c>
      <c r="E28" s="100">
        <v>100</v>
      </c>
      <c r="F28" s="99">
        <v>106.7</v>
      </c>
      <c r="G28" s="99"/>
      <c r="H28" s="99"/>
      <c r="I28" s="99"/>
      <c r="J28" s="99">
        <v>113</v>
      </c>
      <c r="K28" s="671"/>
    </row>
    <row r="29" spans="1:11" ht="29.25" customHeight="1" hidden="1">
      <c r="A29" s="422" t="s">
        <v>145</v>
      </c>
      <c r="B29" s="324" t="s">
        <v>350</v>
      </c>
      <c r="C29" s="679"/>
      <c r="D29" s="98">
        <f>E29+F29+J29</f>
        <v>959.4000000000001</v>
      </c>
      <c r="E29" s="100">
        <v>300</v>
      </c>
      <c r="F29" s="99">
        <v>320.1</v>
      </c>
      <c r="G29" s="99"/>
      <c r="H29" s="99"/>
      <c r="I29" s="99"/>
      <c r="J29" s="99">
        <v>339.3</v>
      </c>
      <c r="K29" s="671"/>
    </row>
    <row r="30" spans="1:11" ht="30.75" customHeight="1" hidden="1">
      <c r="A30" s="422" t="s">
        <v>181</v>
      </c>
      <c r="B30" s="324" t="s">
        <v>351</v>
      </c>
      <c r="C30" s="680"/>
      <c r="D30" s="98">
        <f>E30+F30+J30</f>
        <v>1600</v>
      </c>
      <c r="E30" s="100">
        <v>500</v>
      </c>
      <c r="F30" s="100">
        <v>534</v>
      </c>
      <c r="G30" s="99"/>
      <c r="H30" s="99"/>
      <c r="I30" s="99"/>
      <c r="J30" s="99">
        <v>566</v>
      </c>
      <c r="K30" s="672"/>
    </row>
    <row r="31" spans="1:11" ht="32.25" customHeight="1">
      <c r="A31" s="66"/>
      <c r="B31" s="57" t="s">
        <v>463</v>
      </c>
      <c r="C31" s="67"/>
      <c r="D31" s="94">
        <f>D26+D21+D16</f>
        <v>267063.7</v>
      </c>
      <c r="E31" s="120">
        <f aca="true" t="shared" si="1" ref="E31:J31">E16+E21+E26</f>
        <v>62954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48" t="s">
        <v>150</v>
      </c>
      <c r="C36" s="648"/>
      <c r="D36" s="234"/>
      <c r="E36" s="22"/>
      <c r="F36" s="22"/>
      <c r="G36" s="16"/>
      <c r="H36" s="16"/>
      <c r="I36" s="16"/>
      <c r="J36" s="16"/>
      <c r="K36" s="362" t="s">
        <v>616</v>
      </c>
    </row>
    <row r="37" spans="2:11" ht="15.75" customHeight="1">
      <c r="B37" s="234"/>
      <c r="C37" s="234"/>
      <c r="D37" s="234"/>
      <c r="E37" s="22"/>
      <c r="F37" s="22"/>
      <c r="G37" s="16"/>
      <c r="H37" s="16"/>
      <c r="I37" s="16"/>
      <c r="J37" s="16"/>
      <c r="K37" s="23"/>
    </row>
    <row r="38" spans="2:11" ht="18.75">
      <c r="B38" s="675" t="s">
        <v>159</v>
      </c>
      <c r="C38" s="675"/>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5">
    <mergeCell ref="C27:C30"/>
    <mergeCell ref="K26:K30"/>
    <mergeCell ref="I14:I15"/>
    <mergeCell ref="J14:J15"/>
    <mergeCell ref="K16:K20"/>
    <mergeCell ref="C17:C20"/>
    <mergeCell ref="C22:C25"/>
    <mergeCell ref="K21:K25"/>
    <mergeCell ref="G14:G15"/>
    <mergeCell ref="H14:H15"/>
    <mergeCell ref="B11:K11"/>
    <mergeCell ref="D12:H12"/>
    <mergeCell ref="A13:A15"/>
    <mergeCell ref="B13:B15"/>
    <mergeCell ref="C13:C15"/>
    <mergeCell ref="D13:D15"/>
    <mergeCell ref="E13:J13"/>
    <mergeCell ref="F8:K8"/>
    <mergeCell ref="B38:C38"/>
    <mergeCell ref="B36:C36"/>
    <mergeCell ref="F1:J1"/>
    <mergeCell ref="F9:K9"/>
    <mergeCell ref="K13:K15"/>
    <mergeCell ref="E14:E15"/>
    <mergeCell ref="F14:F15"/>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1">
      <selection activeCell="K2" sqref="K2:P8"/>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251</v>
      </c>
      <c r="L1" s="297"/>
      <c r="M1" s="2"/>
    </row>
    <row r="2" spans="11:16" ht="15.75">
      <c r="K2" s="12" t="s">
        <v>468</v>
      </c>
      <c r="L2" s="12"/>
      <c r="M2" s="15"/>
      <c r="N2" s="12"/>
      <c r="O2" s="12"/>
      <c r="P2" s="12"/>
    </row>
    <row r="3" spans="11:16" ht="15.75">
      <c r="K3" s="12" t="s">
        <v>639</v>
      </c>
      <c r="L3" s="12"/>
      <c r="M3" s="15"/>
      <c r="N3" s="12"/>
      <c r="O3" s="12"/>
      <c r="P3" s="12"/>
    </row>
    <row r="4" spans="11:16" ht="15.75">
      <c r="K4" s="17" t="s">
        <v>161</v>
      </c>
      <c r="L4" s="17"/>
      <c r="M4" s="15"/>
      <c r="N4" s="12"/>
      <c r="O4" s="12"/>
      <c r="P4" s="12"/>
    </row>
    <row r="5" spans="2:16" ht="15.75">
      <c r="B5" s="1"/>
      <c r="C5" s="1"/>
      <c r="D5" s="1"/>
      <c r="E5" s="189"/>
      <c r="F5" s="1"/>
      <c r="G5" s="1"/>
      <c r="H5" s="1"/>
      <c r="I5" s="1"/>
      <c r="J5" s="2" t="s">
        <v>500</v>
      </c>
      <c r="K5" s="17" t="s">
        <v>369</v>
      </c>
      <c r="L5" s="17"/>
      <c r="M5" s="15"/>
      <c r="N5" s="12"/>
      <c r="O5" s="12"/>
      <c r="P5" s="12"/>
    </row>
    <row r="6" spans="2:16" ht="15.75" customHeight="1">
      <c r="B6" s="1"/>
      <c r="C6" s="1"/>
      <c r="D6" s="1"/>
      <c r="E6" s="189"/>
      <c r="F6" s="1"/>
      <c r="G6" s="1"/>
      <c r="H6" s="1"/>
      <c r="I6" s="1"/>
      <c r="J6" s="2"/>
      <c r="K6" s="17" t="s">
        <v>581</v>
      </c>
      <c r="L6" s="17"/>
      <c r="M6" s="217"/>
      <c r="N6" s="12"/>
      <c r="O6" s="12"/>
      <c r="P6" s="12"/>
    </row>
    <row r="7" spans="2:16" ht="15.75">
      <c r="B7" s="1"/>
      <c r="C7" s="1"/>
      <c r="D7" s="1"/>
      <c r="E7" s="189"/>
      <c r="F7" s="1"/>
      <c r="G7" s="1"/>
      <c r="H7" s="1"/>
      <c r="I7" s="9"/>
      <c r="J7" s="3" t="s">
        <v>503</v>
      </c>
      <c r="K7" s="17" t="s">
        <v>640</v>
      </c>
      <c r="L7" s="17"/>
      <c r="M7" s="217"/>
      <c r="N7" s="12"/>
      <c r="O7" s="12"/>
      <c r="P7" s="12"/>
    </row>
    <row r="8" spans="2:16" ht="15.75">
      <c r="B8" s="1"/>
      <c r="C8" s="1"/>
      <c r="D8" s="1"/>
      <c r="E8" s="189"/>
      <c r="F8" s="1"/>
      <c r="G8" s="1"/>
      <c r="H8" s="1"/>
      <c r="I8" s="9"/>
      <c r="J8" s="3"/>
      <c r="K8" s="665" t="s">
        <v>641</v>
      </c>
      <c r="L8" s="665"/>
      <c r="M8" s="665"/>
      <c r="N8" s="665"/>
      <c r="O8" s="665"/>
      <c r="P8" s="665"/>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688" t="s">
        <v>397</v>
      </c>
      <c r="C11" s="688"/>
      <c r="D11" s="688"/>
      <c r="E11" s="688"/>
      <c r="F11" s="688"/>
      <c r="G11" s="688"/>
      <c r="H11" s="688"/>
      <c r="I11" s="688"/>
      <c r="J11" s="688"/>
      <c r="K11" s="688"/>
    </row>
    <row r="12" spans="1:11" ht="15.75">
      <c r="A12" s="327"/>
      <c r="B12" s="1"/>
      <c r="C12" s="1"/>
      <c r="D12" s="1"/>
      <c r="E12" s="189"/>
      <c r="F12" s="1"/>
      <c r="G12" s="1"/>
      <c r="H12" s="1"/>
      <c r="I12" s="1"/>
      <c r="J12" s="1"/>
      <c r="K12" s="44" t="s">
        <v>114</v>
      </c>
    </row>
    <row r="13" spans="1:11" ht="18.75">
      <c r="A13" s="689" t="s">
        <v>504</v>
      </c>
      <c r="B13" s="691" t="s">
        <v>469</v>
      </c>
      <c r="C13" s="691" t="s">
        <v>470</v>
      </c>
      <c r="D13" s="691" t="s">
        <v>104</v>
      </c>
      <c r="E13" s="692" t="s">
        <v>466</v>
      </c>
      <c r="F13" s="692"/>
      <c r="G13" s="692"/>
      <c r="H13" s="692"/>
      <c r="I13" s="692"/>
      <c r="J13" s="692"/>
      <c r="K13" s="691" t="s">
        <v>472</v>
      </c>
    </row>
    <row r="14" spans="1:11" ht="40.5" customHeight="1">
      <c r="A14" s="690"/>
      <c r="B14" s="691"/>
      <c r="C14" s="691"/>
      <c r="D14" s="691"/>
      <c r="E14" s="178">
        <v>2022</v>
      </c>
      <c r="F14" s="54">
        <v>2023</v>
      </c>
      <c r="G14" s="54">
        <v>2024</v>
      </c>
      <c r="H14" s="144" t="s">
        <v>481</v>
      </c>
      <c r="I14" s="144" t="s">
        <v>482</v>
      </c>
      <c r="J14" s="144" t="s">
        <v>483</v>
      </c>
      <c r="K14" s="691"/>
    </row>
    <row r="15" spans="1:13" s="469" customFormat="1" ht="124.5" customHeight="1">
      <c r="A15" s="681">
        <v>1</v>
      </c>
      <c r="B15" s="167" t="s">
        <v>373</v>
      </c>
      <c r="C15" s="681" t="s">
        <v>252</v>
      </c>
      <c r="D15" s="180">
        <f>E15+F15+G15</f>
        <v>16186</v>
      </c>
      <c r="E15" s="525">
        <f>3500.5+2000-1055.5</f>
        <v>4445</v>
      </c>
      <c r="F15" s="525">
        <f>3776+2000</f>
        <v>5776</v>
      </c>
      <c r="G15" s="180">
        <f>3965+2000</f>
        <v>5965</v>
      </c>
      <c r="H15" s="468">
        <f>H16+H17</f>
        <v>0</v>
      </c>
      <c r="I15" s="468">
        <f>I16+I17</f>
        <v>0</v>
      </c>
      <c r="J15" s="468">
        <f>J16+J17</f>
        <v>0</v>
      </c>
      <c r="K15" s="685" t="s">
        <v>40</v>
      </c>
      <c r="M15" s="469" t="s">
        <v>313</v>
      </c>
    </row>
    <row r="16" spans="1:12" s="393" customFormat="1" ht="32.25" customHeight="1" hidden="1">
      <c r="A16" s="681"/>
      <c r="B16" s="395" t="s">
        <v>142</v>
      </c>
      <c r="C16" s="681"/>
      <c r="D16" s="180">
        <f aca="true" t="shared" si="0" ref="D16:D25">E16+F16+G16</f>
        <v>3846.6</v>
      </c>
      <c r="E16" s="525">
        <v>1867.3</v>
      </c>
      <c r="F16" s="525">
        <v>1979.3</v>
      </c>
      <c r="G16" s="180"/>
      <c r="H16" s="396"/>
      <c r="I16" s="396"/>
      <c r="J16" s="396"/>
      <c r="K16" s="686"/>
      <c r="L16" s="392"/>
    </row>
    <row r="17" spans="1:11" s="393" customFormat="1" ht="41.25" customHeight="1" hidden="1">
      <c r="A17" s="681"/>
      <c r="B17" s="395" t="s">
        <v>5</v>
      </c>
      <c r="C17" s="681"/>
      <c r="D17" s="180">
        <f t="shared" si="0"/>
        <v>2778.7</v>
      </c>
      <c r="E17" s="525">
        <f>1210+113.2</f>
        <v>1323.2</v>
      </c>
      <c r="F17" s="525">
        <f>124.5+1331</f>
        <v>1455.5</v>
      </c>
      <c r="G17" s="180"/>
      <c r="H17" s="396"/>
      <c r="I17" s="396"/>
      <c r="J17" s="396"/>
      <c r="K17" s="686"/>
    </row>
    <row r="18" spans="1:11" s="393" customFormat="1" ht="19.5" customHeight="1" hidden="1">
      <c r="A18" s="681"/>
      <c r="B18" s="395" t="s">
        <v>24</v>
      </c>
      <c r="C18" s="681"/>
      <c r="D18" s="180">
        <f t="shared" si="0"/>
        <v>143</v>
      </c>
      <c r="E18" s="525">
        <v>68</v>
      </c>
      <c r="F18" s="525">
        <v>75</v>
      </c>
      <c r="G18" s="180"/>
      <c r="H18" s="396"/>
      <c r="I18" s="396"/>
      <c r="J18" s="396"/>
      <c r="K18" s="686"/>
    </row>
    <row r="19" spans="1:11" s="393" customFormat="1" ht="19.5" customHeight="1" hidden="1">
      <c r="A19" s="681"/>
      <c r="B19" s="395" t="s">
        <v>508</v>
      </c>
      <c r="C19" s="681"/>
      <c r="D19" s="180">
        <f t="shared" si="0"/>
        <v>369</v>
      </c>
      <c r="E19" s="525">
        <v>175.7</v>
      </c>
      <c r="F19" s="525">
        <v>193.3</v>
      </c>
      <c r="G19" s="180"/>
      <c r="H19" s="396"/>
      <c r="I19" s="396"/>
      <c r="J19" s="396"/>
      <c r="K19" s="686"/>
    </row>
    <row r="20" spans="1:11" s="393" customFormat="1" ht="19.5" customHeight="1" hidden="1">
      <c r="A20" s="681"/>
      <c r="B20" s="395" t="s">
        <v>268</v>
      </c>
      <c r="C20" s="681"/>
      <c r="D20" s="180">
        <f t="shared" si="0"/>
        <v>70.3</v>
      </c>
      <c r="E20" s="525">
        <v>33.5</v>
      </c>
      <c r="F20" s="525">
        <v>36.8</v>
      </c>
      <c r="G20" s="180"/>
      <c r="H20" s="396"/>
      <c r="I20" s="396"/>
      <c r="J20" s="396"/>
      <c r="K20" s="686"/>
    </row>
    <row r="21" spans="1:11" s="393" customFormat="1" ht="19.5" customHeight="1" hidden="1">
      <c r="A21" s="681"/>
      <c r="B21" s="395" t="s">
        <v>254</v>
      </c>
      <c r="C21" s="681"/>
      <c r="D21" s="180">
        <f t="shared" si="0"/>
        <v>68.9</v>
      </c>
      <c r="E21" s="525">
        <v>32.8</v>
      </c>
      <c r="F21" s="525">
        <v>36.1</v>
      </c>
      <c r="G21" s="180"/>
      <c r="H21" s="396"/>
      <c r="I21" s="396"/>
      <c r="J21" s="396"/>
      <c r="K21" s="687"/>
    </row>
    <row r="22" spans="1:11" s="393" customFormat="1" ht="19.5" customHeight="1" hidden="1">
      <c r="A22" s="423" t="s">
        <v>41</v>
      </c>
      <c r="B22" s="424" t="s">
        <v>348</v>
      </c>
      <c r="C22" s="682" t="s">
        <v>252</v>
      </c>
      <c r="D22" s="407">
        <f t="shared" si="0"/>
        <v>439.6</v>
      </c>
      <c r="E22" s="566">
        <v>213.4</v>
      </c>
      <c r="F22" s="566">
        <v>226.2</v>
      </c>
      <c r="G22" s="407"/>
      <c r="H22" s="396"/>
      <c r="I22" s="396"/>
      <c r="J22" s="396"/>
      <c r="K22" s="418"/>
    </row>
    <row r="23" spans="1:11" s="393" customFormat="1" ht="19.5" customHeight="1" hidden="1">
      <c r="A23" s="423" t="s">
        <v>45</v>
      </c>
      <c r="B23" s="424" t="s">
        <v>349</v>
      </c>
      <c r="C23" s="683"/>
      <c r="D23" s="407">
        <f t="shared" si="0"/>
        <v>219.8</v>
      </c>
      <c r="E23" s="566">
        <v>106.7</v>
      </c>
      <c r="F23" s="566">
        <v>113.1</v>
      </c>
      <c r="G23" s="407"/>
      <c r="H23" s="396"/>
      <c r="I23" s="396"/>
      <c r="J23" s="396"/>
      <c r="K23" s="418"/>
    </row>
    <row r="24" spans="1:11" s="393" customFormat="1" ht="19.5" customHeight="1" hidden="1">
      <c r="A24" s="423" t="s">
        <v>46</v>
      </c>
      <c r="B24" s="424" t="s">
        <v>350</v>
      </c>
      <c r="C24" s="683"/>
      <c r="D24" s="407">
        <f t="shared" si="0"/>
        <v>439.6</v>
      </c>
      <c r="E24" s="566">
        <v>213.4</v>
      </c>
      <c r="F24" s="566">
        <v>226.2</v>
      </c>
      <c r="G24" s="407"/>
      <c r="H24" s="396"/>
      <c r="I24" s="396"/>
      <c r="J24" s="396"/>
      <c r="K24" s="418"/>
    </row>
    <row r="25" spans="1:11" s="393" customFormat="1" ht="19.5" customHeight="1" hidden="1">
      <c r="A25" s="423" t="s">
        <v>47</v>
      </c>
      <c r="B25" s="424" t="s">
        <v>351</v>
      </c>
      <c r="C25" s="684"/>
      <c r="D25" s="407">
        <f t="shared" si="0"/>
        <v>439.6</v>
      </c>
      <c r="E25" s="566">
        <v>213.4</v>
      </c>
      <c r="F25" s="566">
        <v>226.2</v>
      </c>
      <c r="G25" s="407"/>
      <c r="H25" s="396"/>
      <c r="I25" s="396"/>
      <c r="J25" s="396"/>
      <c r="K25" s="418"/>
    </row>
    <row r="26" spans="1:13" s="391" customFormat="1" ht="112.5">
      <c r="A26" s="681">
        <v>2</v>
      </c>
      <c r="B26" s="167" t="s">
        <v>599</v>
      </c>
      <c r="C26" s="681" t="s">
        <v>252</v>
      </c>
      <c r="D26" s="180">
        <f aca="true" t="shared" si="1" ref="D26:D59">E26+F26+G26</f>
        <v>25730</v>
      </c>
      <c r="E26" s="525">
        <f>10053.4+384.1-4547.5</f>
        <v>5890</v>
      </c>
      <c r="F26" s="525">
        <v>7800</v>
      </c>
      <c r="G26" s="180">
        <v>12040</v>
      </c>
      <c r="H26" s="394" t="e">
        <f>H27+H28+#REF!+H29</f>
        <v>#REF!</v>
      </c>
      <c r="I26" s="394" t="e">
        <f>I27+I28+#REF!+I29</f>
        <v>#REF!</v>
      </c>
      <c r="J26" s="394" t="e">
        <f>J27+J28+#REF!+J29</f>
        <v>#REF!</v>
      </c>
      <c r="K26" s="685" t="s">
        <v>40</v>
      </c>
      <c r="M26" s="391" t="s">
        <v>314</v>
      </c>
    </row>
    <row r="27" spans="1:11" s="393" customFormat="1" ht="33.75" customHeight="1" hidden="1">
      <c r="A27" s="681"/>
      <c r="B27" s="397" t="s">
        <v>139</v>
      </c>
      <c r="C27" s="681"/>
      <c r="D27" s="180">
        <f t="shared" si="1"/>
        <v>9025.8</v>
      </c>
      <c r="E27" s="525">
        <v>4298</v>
      </c>
      <c r="F27" s="525">
        <v>4727.8</v>
      </c>
      <c r="G27" s="180"/>
      <c r="H27" s="396"/>
      <c r="I27" s="396"/>
      <c r="J27" s="396"/>
      <c r="K27" s="686"/>
    </row>
    <row r="28" spans="1:11" s="393" customFormat="1" ht="19.5" customHeight="1" hidden="1">
      <c r="A28" s="681"/>
      <c r="B28" s="395" t="s">
        <v>509</v>
      </c>
      <c r="C28" s="681"/>
      <c r="D28" s="180">
        <f t="shared" si="1"/>
        <v>8790.900000000001</v>
      </c>
      <c r="E28" s="525">
        <v>4186.1</v>
      </c>
      <c r="F28" s="525">
        <v>4604.8</v>
      </c>
      <c r="G28" s="180"/>
      <c r="H28" s="396"/>
      <c r="I28" s="396"/>
      <c r="J28" s="396"/>
      <c r="K28" s="686"/>
    </row>
    <row r="29" spans="1:11" s="393" customFormat="1" ht="20.25" customHeight="1" hidden="1">
      <c r="A29" s="681"/>
      <c r="B29" s="395" t="s">
        <v>510</v>
      </c>
      <c r="C29" s="681"/>
      <c r="D29" s="180">
        <f t="shared" si="1"/>
        <v>3296.2</v>
      </c>
      <c r="E29" s="525">
        <v>1569.3</v>
      </c>
      <c r="F29" s="525">
        <v>1726.9</v>
      </c>
      <c r="G29" s="180"/>
      <c r="H29" s="396"/>
      <c r="I29" s="396"/>
      <c r="J29" s="396"/>
      <c r="K29" s="687"/>
    </row>
    <row r="30" spans="1:11" s="393" customFormat="1" ht="15" customHeight="1" hidden="1">
      <c r="A30" s="398"/>
      <c r="B30" s="395" t="s">
        <v>511</v>
      </c>
      <c r="C30" s="168" t="s">
        <v>473</v>
      </c>
      <c r="D30" s="180">
        <f t="shared" si="1"/>
        <v>0</v>
      </c>
      <c r="E30" s="525"/>
      <c r="F30" s="617"/>
      <c r="G30" s="322"/>
      <c r="H30" s="399"/>
      <c r="I30" s="396"/>
      <c r="J30" s="396"/>
      <c r="K30" s="168" t="s">
        <v>512</v>
      </c>
    </row>
    <row r="31" spans="1:11" s="393" customFormat="1" ht="15" customHeight="1" hidden="1">
      <c r="A31" s="398"/>
      <c r="B31" s="395" t="s">
        <v>513</v>
      </c>
      <c r="C31" s="168" t="s">
        <v>473</v>
      </c>
      <c r="D31" s="180">
        <f t="shared" si="1"/>
        <v>0</v>
      </c>
      <c r="E31" s="525">
        <v>0</v>
      </c>
      <c r="F31" s="617">
        <v>0</v>
      </c>
      <c r="G31" s="322"/>
      <c r="H31" s="400"/>
      <c r="I31" s="400"/>
      <c r="J31" s="400"/>
      <c r="K31" s="168" t="s">
        <v>512</v>
      </c>
    </row>
    <row r="32" spans="1:11" s="391" customFormat="1" ht="114" customHeight="1">
      <c r="A32" s="681">
        <v>3</v>
      </c>
      <c r="B32" s="167" t="s">
        <v>365</v>
      </c>
      <c r="C32" s="681" t="s">
        <v>252</v>
      </c>
      <c r="D32" s="180">
        <f t="shared" si="1"/>
        <v>27567.5</v>
      </c>
      <c r="E32" s="525">
        <f>6328.6+4000-933.6+240.1</f>
        <v>9635.1</v>
      </c>
      <c r="F32" s="597">
        <v>10625.6</v>
      </c>
      <c r="G32" s="180">
        <v>7306.8</v>
      </c>
      <c r="H32" s="394">
        <f>H33+H34+H35</f>
        <v>0</v>
      </c>
      <c r="I32" s="394">
        <f>I33+I34+I35</f>
        <v>0</v>
      </c>
      <c r="J32" s="394">
        <f>J33+J34+J35</f>
        <v>0</v>
      </c>
      <c r="K32" s="681" t="s">
        <v>40</v>
      </c>
    </row>
    <row r="33" spans="1:11" ht="53.25" customHeight="1" hidden="1">
      <c r="A33" s="681"/>
      <c r="B33" s="395" t="s">
        <v>270</v>
      </c>
      <c r="C33" s="681"/>
      <c r="D33" s="180">
        <f t="shared" si="1"/>
        <v>14982.7</v>
      </c>
      <c r="E33" s="525">
        <f>1927.3+2754.8</f>
        <v>4682.1</v>
      </c>
      <c r="F33" s="180">
        <f>2120+3030.3</f>
        <v>5150.3</v>
      </c>
      <c r="G33" s="180">
        <f>2120+3030.3</f>
        <v>5150.3</v>
      </c>
      <c r="H33" s="396"/>
      <c r="I33" s="396"/>
      <c r="J33" s="396"/>
      <c r="K33" s="681"/>
    </row>
    <row r="34" spans="1:11" ht="19.5" customHeight="1" hidden="1">
      <c r="A34" s="681"/>
      <c r="B34" s="395" t="s">
        <v>514</v>
      </c>
      <c r="C34" s="681"/>
      <c r="D34" s="180">
        <f t="shared" si="1"/>
        <v>0</v>
      </c>
      <c r="E34" s="525"/>
      <c r="F34" s="180"/>
      <c r="G34" s="180"/>
      <c r="H34" s="396"/>
      <c r="I34" s="396"/>
      <c r="J34" s="396"/>
      <c r="K34" s="681"/>
    </row>
    <row r="35" spans="1:11" ht="24.75" customHeight="1" hidden="1">
      <c r="A35" s="681"/>
      <c r="B35" s="395" t="s">
        <v>515</v>
      </c>
      <c r="C35" s="681"/>
      <c r="D35" s="180">
        <f t="shared" si="1"/>
        <v>264.1</v>
      </c>
      <c r="E35" s="525">
        <v>82.5</v>
      </c>
      <c r="F35" s="180">
        <v>90.8</v>
      </c>
      <c r="G35" s="180">
        <v>90.8</v>
      </c>
      <c r="H35" s="396"/>
      <c r="I35" s="396"/>
      <c r="J35" s="396"/>
      <c r="K35" s="681"/>
    </row>
    <row r="36" spans="1:11" ht="2.25" customHeight="1" hidden="1">
      <c r="A36" s="681"/>
      <c r="B36" s="395" t="s">
        <v>516</v>
      </c>
      <c r="C36" s="681"/>
      <c r="D36" s="180">
        <f t="shared" si="1"/>
        <v>0</v>
      </c>
      <c r="E36" s="525"/>
      <c r="F36" s="180"/>
      <c r="G36" s="180"/>
      <c r="H36" s="396"/>
      <c r="I36" s="396"/>
      <c r="J36" s="396"/>
      <c r="K36" s="681"/>
    </row>
    <row r="37" spans="1:11" ht="19.5" customHeight="1" hidden="1">
      <c r="A37" s="681"/>
      <c r="B37" s="395" t="s">
        <v>517</v>
      </c>
      <c r="C37" s="681"/>
      <c r="D37" s="180">
        <f t="shared" si="1"/>
        <v>360.5</v>
      </c>
      <c r="E37" s="525">
        <v>112.7</v>
      </c>
      <c r="F37" s="180">
        <v>123.9</v>
      </c>
      <c r="G37" s="180">
        <v>123.9</v>
      </c>
      <c r="H37" s="396"/>
      <c r="I37" s="396"/>
      <c r="J37" s="396"/>
      <c r="K37" s="681"/>
    </row>
    <row r="38" spans="1:11" ht="19.5" customHeight="1" hidden="1">
      <c r="A38" s="681"/>
      <c r="B38" s="395" t="s">
        <v>140</v>
      </c>
      <c r="C38" s="681"/>
      <c r="D38" s="180">
        <f t="shared" si="1"/>
        <v>422.4</v>
      </c>
      <c r="E38" s="525">
        <v>132</v>
      </c>
      <c r="F38" s="180">
        <v>145.2</v>
      </c>
      <c r="G38" s="180">
        <v>145.2</v>
      </c>
      <c r="H38" s="396"/>
      <c r="I38" s="396"/>
      <c r="J38" s="396"/>
      <c r="K38" s="681"/>
    </row>
    <row r="39" spans="1:11" ht="36" customHeight="1" hidden="1">
      <c r="A39" s="681"/>
      <c r="B39" s="395" t="s">
        <v>141</v>
      </c>
      <c r="C39" s="681"/>
      <c r="D39" s="180">
        <f t="shared" si="1"/>
        <v>4055.8999999999996</v>
      </c>
      <c r="E39" s="525">
        <v>1267.5</v>
      </c>
      <c r="F39" s="180">
        <v>1394.2</v>
      </c>
      <c r="G39" s="180">
        <v>1394.2</v>
      </c>
      <c r="H39" s="396"/>
      <c r="I39" s="396"/>
      <c r="J39" s="396"/>
      <c r="K39" s="681"/>
    </row>
    <row r="40" spans="1:11" ht="30" customHeight="1" hidden="1">
      <c r="A40" s="681"/>
      <c r="B40" s="395" t="s">
        <v>257</v>
      </c>
      <c r="C40" s="681"/>
      <c r="D40" s="180">
        <f t="shared" si="1"/>
        <v>160.8</v>
      </c>
      <c r="E40" s="525">
        <v>51.8</v>
      </c>
      <c r="F40" s="180">
        <v>54.5</v>
      </c>
      <c r="G40" s="180">
        <v>54.5</v>
      </c>
      <c r="H40" s="396"/>
      <c r="I40" s="396"/>
      <c r="J40" s="396"/>
      <c r="K40" s="681"/>
    </row>
    <row r="41" spans="1:11" ht="30.75" customHeight="1" hidden="1">
      <c r="A41" s="693">
        <v>4</v>
      </c>
      <c r="B41" s="695" t="s">
        <v>143</v>
      </c>
      <c r="C41" s="168" t="s">
        <v>473</v>
      </c>
      <c r="D41" s="180">
        <f t="shared" si="1"/>
        <v>0</v>
      </c>
      <c r="E41" s="525"/>
      <c r="F41" s="180"/>
      <c r="G41" s="180"/>
      <c r="H41" s="396"/>
      <c r="I41" s="396"/>
      <c r="J41" s="396"/>
      <c r="K41" s="685" t="s">
        <v>505</v>
      </c>
    </row>
    <row r="42" spans="1:11" ht="25.5" customHeight="1" hidden="1">
      <c r="A42" s="693"/>
      <c r="B42" s="695"/>
      <c r="C42" s="168" t="s">
        <v>156</v>
      </c>
      <c r="D42" s="180">
        <f t="shared" si="1"/>
        <v>0</v>
      </c>
      <c r="E42" s="525"/>
      <c r="F42" s="180"/>
      <c r="G42" s="180"/>
      <c r="H42" s="396"/>
      <c r="I42" s="396"/>
      <c r="J42" s="396"/>
      <c r="K42" s="687"/>
    </row>
    <row r="43" spans="1:11" ht="24" customHeight="1" hidden="1">
      <c r="A43" s="681">
        <v>5</v>
      </c>
      <c r="B43" s="401" t="s">
        <v>518</v>
      </c>
      <c r="C43" s="681" t="s">
        <v>157</v>
      </c>
      <c r="D43" s="180">
        <f t="shared" si="1"/>
        <v>0</v>
      </c>
      <c r="E43" s="525">
        <f>E44+E45+E46+E47+E48+E49</f>
        <v>0</v>
      </c>
      <c r="F43" s="180">
        <f>F44+F45+F46+F47+F48+F49</f>
        <v>0</v>
      </c>
      <c r="G43" s="180">
        <f>G44+G45+G46+G47+G48+G49</f>
        <v>0</v>
      </c>
      <c r="H43" s="394" t="e">
        <f>H44+H45+H46+H47+H48+#REF!+H49+#REF!+#REF!+#REF!</f>
        <v>#REF!</v>
      </c>
      <c r="I43" s="394" t="e">
        <f>I44+I45+I46+I47+I48+#REF!+I49+#REF!+#REF!+#REF!</f>
        <v>#REF!</v>
      </c>
      <c r="J43" s="394" t="e">
        <f>J44+J45+J46+J47+J48+#REF!+J49+#REF!+#REF!+#REF!</f>
        <v>#REF!</v>
      </c>
      <c r="K43" s="685" t="s">
        <v>40</v>
      </c>
    </row>
    <row r="44" spans="1:11" ht="33.75" customHeight="1" hidden="1">
      <c r="A44" s="681"/>
      <c r="B44" s="167" t="s">
        <v>519</v>
      </c>
      <c r="C44" s="681"/>
      <c r="D44" s="180">
        <f t="shared" si="1"/>
        <v>0</v>
      </c>
      <c r="E44" s="525"/>
      <c r="F44" s="180"/>
      <c r="G44" s="180"/>
      <c r="H44" s="396"/>
      <c r="I44" s="396"/>
      <c r="J44" s="396"/>
      <c r="K44" s="686"/>
    </row>
    <row r="45" spans="1:11" ht="20.25" customHeight="1" hidden="1">
      <c r="A45" s="681"/>
      <c r="B45" s="167" t="s">
        <v>506</v>
      </c>
      <c r="C45" s="681"/>
      <c r="D45" s="180">
        <f t="shared" si="1"/>
        <v>0</v>
      </c>
      <c r="E45" s="525"/>
      <c r="F45" s="180"/>
      <c r="G45" s="180"/>
      <c r="H45" s="396"/>
      <c r="I45" s="396"/>
      <c r="J45" s="396"/>
      <c r="K45" s="686"/>
    </row>
    <row r="46" spans="1:11" ht="20.25" customHeight="1" hidden="1">
      <c r="A46" s="681"/>
      <c r="B46" s="167" t="s">
        <v>507</v>
      </c>
      <c r="C46" s="681"/>
      <c r="D46" s="180">
        <f t="shared" si="1"/>
        <v>0</v>
      </c>
      <c r="E46" s="525"/>
      <c r="F46" s="180"/>
      <c r="G46" s="180"/>
      <c r="H46" s="396"/>
      <c r="I46" s="396"/>
      <c r="J46" s="396"/>
      <c r="K46" s="686"/>
    </row>
    <row r="47" spans="1:11" ht="22.5" customHeight="1" hidden="1">
      <c r="A47" s="681"/>
      <c r="B47" s="167" t="s">
        <v>520</v>
      </c>
      <c r="C47" s="681"/>
      <c r="D47" s="180">
        <f t="shared" si="1"/>
        <v>0</v>
      </c>
      <c r="E47" s="525"/>
      <c r="F47" s="180"/>
      <c r="G47" s="180"/>
      <c r="H47" s="396"/>
      <c r="I47" s="396"/>
      <c r="J47" s="396"/>
      <c r="K47" s="686"/>
    </row>
    <row r="48" spans="1:11" ht="20.25" customHeight="1" hidden="1">
      <c r="A48" s="681"/>
      <c r="B48" s="167" t="s">
        <v>509</v>
      </c>
      <c r="C48" s="681"/>
      <c r="D48" s="180">
        <f t="shared" si="1"/>
        <v>0</v>
      </c>
      <c r="E48" s="525"/>
      <c r="F48" s="180"/>
      <c r="G48" s="180"/>
      <c r="H48" s="396"/>
      <c r="I48" s="396"/>
      <c r="J48" s="396"/>
      <c r="K48" s="686"/>
    </row>
    <row r="49" spans="1:11" ht="18.75" customHeight="1" hidden="1">
      <c r="A49" s="681"/>
      <c r="B49" s="167" t="s">
        <v>521</v>
      </c>
      <c r="C49" s="681"/>
      <c r="D49" s="180">
        <f t="shared" si="1"/>
        <v>0</v>
      </c>
      <c r="E49" s="525"/>
      <c r="F49" s="180"/>
      <c r="G49" s="180"/>
      <c r="H49" s="396"/>
      <c r="I49" s="396"/>
      <c r="J49" s="396"/>
      <c r="K49" s="686"/>
    </row>
    <row r="50" spans="1:11" ht="18.75" customHeight="1" hidden="1">
      <c r="A50" s="423" t="s">
        <v>121</v>
      </c>
      <c r="B50" s="424" t="s">
        <v>348</v>
      </c>
      <c r="C50" s="682" t="s">
        <v>252</v>
      </c>
      <c r="D50" s="407">
        <f t="shared" si="1"/>
        <v>166.6</v>
      </c>
      <c r="E50" s="566">
        <v>53.4</v>
      </c>
      <c r="F50" s="407">
        <v>56.6</v>
      </c>
      <c r="G50" s="407">
        <v>56.6</v>
      </c>
      <c r="H50" s="396"/>
      <c r="I50" s="396"/>
      <c r="J50" s="396"/>
      <c r="K50" s="686"/>
    </row>
    <row r="51" spans="1:11" ht="18.75" customHeight="1" hidden="1">
      <c r="A51" s="423" t="s">
        <v>145</v>
      </c>
      <c r="B51" s="424" t="s">
        <v>349</v>
      </c>
      <c r="C51" s="683"/>
      <c r="D51" s="407">
        <f t="shared" si="1"/>
        <v>166.6</v>
      </c>
      <c r="E51" s="566">
        <v>53.4</v>
      </c>
      <c r="F51" s="407">
        <v>56.6</v>
      </c>
      <c r="G51" s="407">
        <v>56.6</v>
      </c>
      <c r="H51" s="396"/>
      <c r="I51" s="396"/>
      <c r="J51" s="396"/>
      <c r="K51" s="686"/>
    </row>
    <row r="52" spans="1:11" ht="18.75" customHeight="1" hidden="1">
      <c r="A52" s="423" t="s">
        <v>181</v>
      </c>
      <c r="B52" s="424" t="s">
        <v>350</v>
      </c>
      <c r="C52" s="683"/>
      <c r="D52" s="407">
        <f t="shared" si="1"/>
        <v>166.6</v>
      </c>
      <c r="E52" s="566">
        <v>53.4</v>
      </c>
      <c r="F52" s="407">
        <v>56.6</v>
      </c>
      <c r="G52" s="407">
        <v>56.6</v>
      </c>
      <c r="H52" s="396"/>
      <c r="I52" s="396"/>
      <c r="J52" s="396"/>
      <c r="K52" s="686"/>
    </row>
    <row r="53" spans="1:11" ht="18.75" customHeight="1" hidden="1">
      <c r="A53" s="423" t="s">
        <v>182</v>
      </c>
      <c r="B53" s="424" t="s">
        <v>351</v>
      </c>
      <c r="C53" s="684"/>
      <c r="D53" s="407">
        <f t="shared" si="1"/>
        <v>166.6</v>
      </c>
      <c r="E53" s="566">
        <v>53.4</v>
      </c>
      <c r="F53" s="407">
        <v>56.6</v>
      </c>
      <c r="G53" s="407">
        <v>56.6</v>
      </c>
      <c r="H53" s="396"/>
      <c r="I53" s="396"/>
      <c r="J53" s="396"/>
      <c r="K53" s="686"/>
    </row>
    <row r="54" spans="1:11" s="391" customFormat="1" ht="36" customHeight="1">
      <c r="A54" s="168">
        <v>4</v>
      </c>
      <c r="B54" s="167" t="s">
        <v>372</v>
      </c>
      <c r="C54" s="168" t="s">
        <v>252</v>
      </c>
      <c r="D54" s="180">
        <f t="shared" si="1"/>
        <v>4320.8</v>
      </c>
      <c r="E54" s="525">
        <f>1650-1050</f>
        <v>600</v>
      </c>
      <c r="F54" s="180">
        <v>1815</v>
      </c>
      <c r="G54" s="180">
        <v>1905.8</v>
      </c>
      <c r="H54" s="394"/>
      <c r="I54" s="394"/>
      <c r="J54" s="394"/>
      <c r="K54" s="686"/>
    </row>
    <row r="55" spans="1:11" s="391" customFormat="1" ht="63" customHeight="1">
      <c r="A55" s="398">
        <v>5</v>
      </c>
      <c r="B55" s="167" t="s">
        <v>269</v>
      </c>
      <c r="C55" s="168" t="s">
        <v>252</v>
      </c>
      <c r="D55" s="180">
        <f t="shared" si="1"/>
        <v>10849.3</v>
      </c>
      <c r="E55" s="525">
        <f>3792.4-1495.1</f>
        <v>2297.3</v>
      </c>
      <c r="F55" s="180">
        <v>4171.7</v>
      </c>
      <c r="G55" s="180">
        <v>4380.3</v>
      </c>
      <c r="H55" s="394"/>
      <c r="I55" s="394"/>
      <c r="J55" s="394"/>
      <c r="K55" s="686"/>
    </row>
    <row r="56" spans="1:11" ht="51" customHeight="1" hidden="1">
      <c r="A56" s="693">
        <v>8</v>
      </c>
      <c r="B56" s="681" t="s">
        <v>522</v>
      </c>
      <c r="C56" s="168" t="s">
        <v>252</v>
      </c>
      <c r="D56" s="180">
        <f t="shared" si="1"/>
        <v>0</v>
      </c>
      <c r="E56" s="525"/>
      <c r="F56" s="180"/>
      <c r="G56" s="180"/>
      <c r="H56" s="396"/>
      <c r="I56" s="396"/>
      <c r="J56" s="396"/>
      <c r="K56" s="686"/>
    </row>
    <row r="57" spans="1:11" ht="18.75" customHeight="1" hidden="1">
      <c r="A57" s="693"/>
      <c r="B57" s="681"/>
      <c r="C57" s="168" t="s">
        <v>252</v>
      </c>
      <c r="D57" s="180">
        <f t="shared" si="1"/>
        <v>0</v>
      </c>
      <c r="E57" s="525"/>
      <c r="F57" s="180"/>
      <c r="G57" s="180"/>
      <c r="H57" s="396"/>
      <c r="I57" s="396"/>
      <c r="J57" s="396"/>
      <c r="K57" s="686"/>
    </row>
    <row r="58" spans="1:11" s="393" customFormat="1" ht="28.5" customHeight="1">
      <c r="A58" s="398">
        <v>6</v>
      </c>
      <c r="B58" s="167" t="s">
        <v>271</v>
      </c>
      <c r="C58" s="168" t="s">
        <v>252</v>
      </c>
      <c r="D58" s="180">
        <f t="shared" si="1"/>
        <v>1458.3000000000002</v>
      </c>
      <c r="E58" s="525">
        <f>529.2-55-214.2+5</f>
        <v>265.00000000000006</v>
      </c>
      <c r="F58" s="180">
        <v>582.1</v>
      </c>
      <c r="G58" s="180">
        <v>611.2</v>
      </c>
      <c r="H58" s="396"/>
      <c r="I58" s="396"/>
      <c r="J58" s="396"/>
      <c r="K58" s="687"/>
    </row>
    <row r="59" spans="1:11" s="467" customFormat="1" ht="32.25" customHeight="1">
      <c r="A59" s="693">
        <v>7</v>
      </c>
      <c r="B59" s="694" t="s">
        <v>36</v>
      </c>
      <c r="C59" s="168" t="s">
        <v>35</v>
      </c>
      <c r="D59" s="180">
        <f t="shared" si="1"/>
        <v>524</v>
      </c>
      <c r="E59" s="525">
        <f>200-76</f>
        <v>124</v>
      </c>
      <c r="F59" s="180">
        <f>F60</f>
        <v>200</v>
      </c>
      <c r="G59" s="180">
        <v>200</v>
      </c>
      <c r="H59" s="396"/>
      <c r="I59" s="396"/>
      <c r="J59" s="396"/>
      <c r="K59" s="685" t="s">
        <v>40</v>
      </c>
    </row>
    <row r="60" spans="1:11" s="467" customFormat="1" ht="33" customHeight="1">
      <c r="A60" s="693"/>
      <c r="B60" s="694"/>
      <c r="C60" s="168" t="s">
        <v>252</v>
      </c>
      <c r="D60" s="180">
        <f aca="true" t="shared" si="2" ref="D60:D74">E60+F60+G60</f>
        <v>524</v>
      </c>
      <c r="E60" s="525">
        <f>200-76</f>
        <v>124</v>
      </c>
      <c r="F60" s="180">
        <v>200</v>
      </c>
      <c r="G60" s="180">
        <v>200</v>
      </c>
      <c r="H60" s="396"/>
      <c r="I60" s="396"/>
      <c r="J60" s="396"/>
      <c r="K60" s="686"/>
    </row>
    <row r="61" spans="1:11" ht="56.25" customHeight="1" hidden="1">
      <c r="A61" s="693">
        <v>10</v>
      </c>
      <c r="B61" s="681" t="s">
        <v>144</v>
      </c>
      <c r="C61" s="168" t="s">
        <v>473</v>
      </c>
      <c r="D61" s="180">
        <f t="shared" si="2"/>
        <v>0</v>
      </c>
      <c r="E61" s="180"/>
      <c r="F61" s="180"/>
      <c r="G61" s="180"/>
      <c r="H61" s="396"/>
      <c r="I61" s="396"/>
      <c r="J61" s="396"/>
      <c r="K61" s="685" t="s">
        <v>523</v>
      </c>
    </row>
    <row r="62" spans="1:11" ht="18.75" hidden="1">
      <c r="A62" s="693"/>
      <c r="B62" s="681"/>
      <c r="C62" s="168" t="s">
        <v>156</v>
      </c>
      <c r="D62" s="180">
        <f t="shared" si="2"/>
        <v>0</v>
      </c>
      <c r="E62" s="180"/>
      <c r="F62" s="180"/>
      <c r="G62" s="180"/>
      <c r="H62" s="396"/>
      <c r="I62" s="396"/>
      <c r="J62" s="396"/>
      <c r="K62" s="687"/>
    </row>
    <row r="63" spans="1:11" s="391" customFormat="1" ht="23.25" customHeight="1">
      <c r="A63" s="681">
        <v>8</v>
      </c>
      <c r="B63" s="167" t="s">
        <v>524</v>
      </c>
      <c r="C63" s="681" t="s">
        <v>252</v>
      </c>
      <c r="D63" s="180">
        <f t="shared" si="2"/>
        <v>1827.7999999999997</v>
      </c>
      <c r="E63" s="180">
        <f>E64+E65+E66+E69+E71+E68</f>
        <v>625</v>
      </c>
      <c r="F63" s="180">
        <f>F64+F65+F66+F69+F71+F68</f>
        <v>587.6999999999999</v>
      </c>
      <c r="G63" s="180">
        <f>G64+G65+G66+G69+G71+G68</f>
        <v>615.1</v>
      </c>
      <c r="H63" s="394"/>
      <c r="I63" s="394"/>
      <c r="J63" s="394"/>
      <c r="K63" s="685" t="s">
        <v>596</v>
      </c>
    </row>
    <row r="64" spans="1:11" ht="21.75" customHeight="1">
      <c r="A64" s="681"/>
      <c r="B64" s="520" t="s">
        <v>589</v>
      </c>
      <c r="C64" s="681"/>
      <c r="D64" s="456">
        <f t="shared" si="2"/>
        <v>825.7</v>
      </c>
      <c r="E64" s="456">
        <f>244.2+50.8</f>
        <v>295</v>
      </c>
      <c r="F64" s="456">
        <v>258.9</v>
      </c>
      <c r="G64" s="456">
        <v>271.8</v>
      </c>
      <c r="H64" s="396"/>
      <c r="I64" s="396"/>
      <c r="J64" s="396"/>
      <c r="K64" s="686"/>
    </row>
    <row r="65" spans="1:11" ht="21.75" customHeight="1">
      <c r="A65" s="681"/>
      <c r="B65" s="520" t="s">
        <v>255</v>
      </c>
      <c r="C65" s="681"/>
      <c r="D65" s="456">
        <f t="shared" si="2"/>
        <v>477.7</v>
      </c>
      <c r="E65" s="524">
        <f>117.4+40-17.4</f>
        <v>140</v>
      </c>
      <c r="F65" s="456">
        <f>125.7+40</f>
        <v>165.7</v>
      </c>
      <c r="G65" s="456">
        <f>132+40</f>
        <v>172</v>
      </c>
      <c r="H65" s="396"/>
      <c r="I65" s="396"/>
      <c r="J65" s="396"/>
      <c r="K65" s="686"/>
    </row>
    <row r="66" spans="1:11" ht="36" customHeight="1">
      <c r="A66" s="681"/>
      <c r="B66" s="520" t="s">
        <v>585</v>
      </c>
      <c r="C66" s="681"/>
      <c r="D66" s="456">
        <f t="shared" si="2"/>
        <v>137</v>
      </c>
      <c r="E66" s="524">
        <f>32+30+75</f>
        <v>137</v>
      </c>
      <c r="F66" s="456">
        <v>0</v>
      </c>
      <c r="G66" s="456">
        <v>0</v>
      </c>
      <c r="H66" s="396"/>
      <c r="I66" s="396"/>
      <c r="J66" s="396"/>
      <c r="K66" s="686"/>
    </row>
    <row r="67" spans="1:11" ht="18.75" hidden="1">
      <c r="A67" s="681"/>
      <c r="B67" s="406" t="s">
        <v>8</v>
      </c>
      <c r="C67" s="681"/>
      <c r="D67" s="456">
        <f t="shared" si="2"/>
        <v>0</v>
      </c>
      <c r="E67" s="524"/>
      <c r="F67" s="456"/>
      <c r="G67" s="456"/>
      <c r="H67" s="396"/>
      <c r="I67" s="396"/>
      <c r="J67" s="396"/>
      <c r="K67" s="686"/>
    </row>
    <row r="68" spans="1:11" ht="18.75">
      <c r="A68" s="681"/>
      <c r="B68" s="406" t="s">
        <v>586</v>
      </c>
      <c r="C68" s="681"/>
      <c r="D68" s="456">
        <f t="shared" si="2"/>
        <v>69.5</v>
      </c>
      <c r="E68" s="524">
        <f>32-32</f>
        <v>0</v>
      </c>
      <c r="F68" s="456">
        <v>33.9</v>
      </c>
      <c r="G68" s="456">
        <v>35.6</v>
      </c>
      <c r="H68" s="396"/>
      <c r="I68" s="396"/>
      <c r="J68" s="396"/>
      <c r="K68" s="686"/>
    </row>
    <row r="69" spans="1:11" ht="18.75">
      <c r="A69" s="681"/>
      <c r="B69" s="404" t="s">
        <v>329</v>
      </c>
      <c r="C69" s="681"/>
      <c r="D69" s="456">
        <f t="shared" si="2"/>
        <v>152.5</v>
      </c>
      <c r="E69" s="524">
        <v>50</v>
      </c>
      <c r="F69" s="456">
        <v>50</v>
      </c>
      <c r="G69" s="456">
        <v>52.5</v>
      </c>
      <c r="H69" s="396"/>
      <c r="I69" s="396"/>
      <c r="J69" s="396"/>
      <c r="K69" s="686"/>
    </row>
    <row r="70" spans="1:11" ht="18.75" hidden="1">
      <c r="A70" s="681"/>
      <c r="B70" s="404"/>
      <c r="C70" s="681"/>
      <c r="D70" s="456">
        <f t="shared" si="2"/>
        <v>0</v>
      </c>
      <c r="E70" s="524"/>
      <c r="F70" s="456"/>
      <c r="G70" s="456"/>
      <c r="H70" s="396"/>
      <c r="I70" s="396"/>
      <c r="J70" s="396"/>
      <c r="K70" s="686"/>
    </row>
    <row r="71" spans="1:11" ht="27.75" customHeight="1">
      <c r="A71" s="681"/>
      <c r="B71" s="404" t="s">
        <v>330</v>
      </c>
      <c r="C71" s="681"/>
      <c r="D71" s="456">
        <f t="shared" si="2"/>
        <v>165.4</v>
      </c>
      <c r="E71" s="524">
        <f>74.7-39.7-32</f>
        <v>3</v>
      </c>
      <c r="F71" s="456">
        <v>79.2</v>
      </c>
      <c r="G71" s="456">
        <v>83.2</v>
      </c>
      <c r="H71" s="396"/>
      <c r="I71" s="396"/>
      <c r="J71" s="396"/>
      <c r="K71" s="687"/>
    </row>
    <row r="72" spans="1:11" ht="37.5" customHeight="1" hidden="1">
      <c r="A72" s="681">
        <v>12</v>
      </c>
      <c r="B72" s="681" t="s">
        <v>6</v>
      </c>
      <c r="C72" s="168" t="s">
        <v>473</v>
      </c>
      <c r="D72" s="180">
        <f t="shared" si="2"/>
        <v>0</v>
      </c>
      <c r="E72" s="525"/>
      <c r="F72" s="180"/>
      <c r="G72" s="180"/>
      <c r="H72" s="396"/>
      <c r="I72" s="396"/>
      <c r="J72" s="396"/>
      <c r="K72" s="685" t="s">
        <v>7</v>
      </c>
    </row>
    <row r="73" spans="1:11" ht="21.75" customHeight="1" hidden="1">
      <c r="A73" s="681"/>
      <c r="B73" s="681"/>
      <c r="C73" s="168" t="s">
        <v>156</v>
      </c>
      <c r="D73" s="180">
        <f t="shared" si="2"/>
        <v>0</v>
      </c>
      <c r="E73" s="525"/>
      <c r="F73" s="180"/>
      <c r="G73" s="180"/>
      <c r="H73" s="396"/>
      <c r="I73" s="396"/>
      <c r="J73" s="396"/>
      <c r="K73" s="687"/>
    </row>
    <row r="74" spans="1:11" ht="41.25" customHeight="1">
      <c r="A74" s="168">
        <v>9</v>
      </c>
      <c r="B74" s="167" t="s">
        <v>327</v>
      </c>
      <c r="C74" s="168" t="s">
        <v>252</v>
      </c>
      <c r="D74" s="180">
        <f t="shared" si="2"/>
        <v>338.2</v>
      </c>
      <c r="E74" s="525">
        <f>128-68</f>
        <v>60</v>
      </c>
      <c r="F74" s="180">
        <v>135.7</v>
      </c>
      <c r="G74" s="180">
        <v>142.5</v>
      </c>
      <c r="H74" s="396"/>
      <c r="I74" s="396"/>
      <c r="J74" s="396"/>
      <c r="K74" s="375" t="s">
        <v>595</v>
      </c>
    </row>
    <row r="75" spans="1:11" s="391" customFormat="1" ht="36" customHeight="1">
      <c r="A75" s="168">
        <v>10</v>
      </c>
      <c r="B75" s="167" t="s">
        <v>9</v>
      </c>
      <c r="C75" s="168" t="s">
        <v>252</v>
      </c>
      <c r="D75" s="180">
        <f aca="true" t="shared" si="3" ref="D75:D84">E75+F75+G75</f>
        <v>2786.2</v>
      </c>
      <c r="E75" s="525">
        <f>1038.1-25.6-112.5-369.6</f>
        <v>530.3999999999999</v>
      </c>
      <c r="F75" s="180">
        <v>1100.4</v>
      </c>
      <c r="G75" s="180">
        <v>1155.4</v>
      </c>
      <c r="H75" s="394"/>
      <c r="I75" s="394"/>
      <c r="J75" s="394"/>
      <c r="K75" s="375" t="s">
        <v>595</v>
      </c>
    </row>
    <row r="76" spans="1:11" ht="37.5" hidden="1">
      <c r="A76" s="681">
        <v>14</v>
      </c>
      <c r="B76" s="694" t="s">
        <v>26</v>
      </c>
      <c r="C76" s="168" t="s">
        <v>473</v>
      </c>
      <c r="D76" s="180">
        <f t="shared" si="3"/>
        <v>0</v>
      </c>
      <c r="E76" s="525"/>
      <c r="F76" s="180"/>
      <c r="G76" s="180"/>
      <c r="H76" s="396"/>
      <c r="I76" s="396"/>
      <c r="J76" s="396"/>
      <c r="K76" s="685" t="s">
        <v>7</v>
      </c>
    </row>
    <row r="77" spans="1:11" ht="18.75" hidden="1">
      <c r="A77" s="681"/>
      <c r="B77" s="694"/>
      <c r="C77" s="168" t="s">
        <v>156</v>
      </c>
      <c r="D77" s="180">
        <f t="shared" si="3"/>
        <v>0</v>
      </c>
      <c r="E77" s="525"/>
      <c r="F77" s="180"/>
      <c r="G77" s="180"/>
      <c r="H77" s="396"/>
      <c r="I77" s="396"/>
      <c r="J77" s="396"/>
      <c r="K77" s="687"/>
    </row>
    <row r="78" spans="1:11" ht="37.5" hidden="1">
      <c r="A78" s="168">
        <v>15</v>
      </c>
      <c r="B78" s="62" t="s">
        <v>39</v>
      </c>
      <c r="C78" s="63" t="s">
        <v>473</v>
      </c>
      <c r="D78" s="180">
        <f t="shared" si="3"/>
        <v>0</v>
      </c>
      <c r="E78" s="565"/>
      <c r="F78" s="199"/>
      <c r="G78" s="199"/>
      <c r="H78" s="402"/>
      <c r="I78" s="402"/>
      <c r="J78" s="402"/>
      <c r="K78" s="63" t="s">
        <v>40</v>
      </c>
    </row>
    <row r="79" spans="1:11" s="391" customFormat="1" ht="42" customHeight="1">
      <c r="A79" s="398">
        <v>11</v>
      </c>
      <c r="B79" s="62" t="s">
        <v>82</v>
      </c>
      <c r="C79" s="63" t="s">
        <v>252</v>
      </c>
      <c r="D79" s="180">
        <f t="shared" si="3"/>
        <v>997.5</v>
      </c>
      <c r="E79" s="565">
        <f>459.1-459.1</f>
        <v>0</v>
      </c>
      <c r="F79" s="199">
        <v>486.6</v>
      </c>
      <c r="G79" s="199">
        <v>510.9</v>
      </c>
      <c r="H79" s="389"/>
      <c r="I79" s="389"/>
      <c r="J79" s="389"/>
      <c r="K79" s="285" t="s">
        <v>40</v>
      </c>
    </row>
    <row r="80" spans="1:11" ht="0.75" customHeight="1" hidden="1">
      <c r="A80" s="398">
        <v>18</v>
      </c>
      <c r="B80" s="62" t="s">
        <v>92</v>
      </c>
      <c r="C80" s="63" t="s">
        <v>473</v>
      </c>
      <c r="D80" s="180">
        <f t="shared" si="3"/>
        <v>0</v>
      </c>
      <c r="E80" s="565"/>
      <c r="F80" s="199"/>
      <c r="G80" s="199"/>
      <c r="H80" s="402"/>
      <c r="I80" s="402"/>
      <c r="J80" s="402"/>
      <c r="K80" s="285" t="s">
        <v>40</v>
      </c>
    </row>
    <row r="81" spans="1:11" s="391" customFormat="1" ht="42" customHeight="1">
      <c r="A81" s="398">
        <v>12</v>
      </c>
      <c r="B81" s="62" t="s">
        <v>253</v>
      </c>
      <c r="C81" s="63" t="s">
        <v>252</v>
      </c>
      <c r="D81" s="180">
        <f t="shared" si="3"/>
        <v>2662.5</v>
      </c>
      <c r="E81" s="565">
        <f>760+55+105</f>
        <v>920</v>
      </c>
      <c r="F81" s="199">
        <v>850</v>
      </c>
      <c r="G81" s="199">
        <v>892.5</v>
      </c>
      <c r="H81" s="389"/>
      <c r="I81" s="389"/>
      <c r="J81" s="389"/>
      <c r="K81" s="293" t="s">
        <v>40</v>
      </c>
    </row>
    <row r="82" spans="1:11" s="390" customFormat="1" ht="36" customHeight="1" hidden="1">
      <c r="A82" s="398">
        <v>12</v>
      </c>
      <c r="B82" s="62" t="s">
        <v>256</v>
      </c>
      <c r="C82" s="168" t="s">
        <v>195</v>
      </c>
      <c r="D82" s="180">
        <f t="shared" si="3"/>
        <v>791.3199999999999</v>
      </c>
      <c r="E82" s="565">
        <v>384.12</v>
      </c>
      <c r="F82" s="199">
        <v>407.2</v>
      </c>
      <c r="G82" s="199"/>
      <c r="H82" s="389"/>
      <c r="I82" s="389"/>
      <c r="J82" s="389"/>
      <c r="K82" s="293" t="s">
        <v>40</v>
      </c>
    </row>
    <row r="83" spans="1:14" s="391" customFormat="1" ht="36" customHeight="1">
      <c r="A83" s="398">
        <v>13</v>
      </c>
      <c r="B83" s="62" t="s">
        <v>326</v>
      </c>
      <c r="C83" s="168" t="s">
        <v>195</v>
      </c>
      <c r="D83" s="180">
        <f t="shared" si="3"/>
        <v>1931.8000000000002</v>
      </c>
      <c r="E83" s="565">
        <f>693.6-269</f>
        <v>424.6</v>
      </c>
      <c r="F83" s="199">
        <v>735.2</v>
      </c>
      <c r="G83" s="199">
        <v>772</v>
      </c>
      <c r="H83" s="389"/>
      <c r="I83" s="389"/>
      <c r="J83" s="389"/>
      <c r="K83" s="293" t="s">
        <v>40</v>
      </c>
      <c r="N83" s="391" t="s">
        <v>315</v>
      </c>
    </row>
    <row r="84" spans="1:14" s="469" customFormat="1" ht="36" customHeight="1">
      <c r="A84" s="398">
        <v>14</v>
      </c>
      <c r="B84" s="62" t="s">
        <v>328</v>
      </c>
      <c r="C84" s="168" t="s">
        <v>195</v>
      </c>
      <c r="D84" s="180">
        <f t="shared" si="3"/>
        <v>44947.7</v>
      </c>
      <c r="E84" s="199">
        <f>10000+10000-4000-8238.8-3000-1400</f>
        <v>3361.2000000000007</v>
      </c>
      <c r="F84" s="199">
        <f>10530+10000</f>
        <v>20530</v>
      </c>
      <c r="G84" s="199">
        <f>11056.5+10000</f>
        <v>21056.5</v>
      </c>
      <c r="H84" s="389"/>
      <c r="I84" s="389"/>
      <c r="J84" s="389"/>
      <c r="K84" s="293" t="s">
        <v>40</v>
      </c>
      <c r="N84" s="469" t="s">
        <v>316</v>
      </c>
    </row>
    <row r="85" spans="1:11" ht="35.25" customHeight="1">
      <c r="A85" s="329"/>
      <c r="B85" s="696" t="s">
        <v>463</v>
      </c>
      <c r="C85" s="697"/>
      <c r="D85" s="470">
        <f>E85+F85+G85</f>
        <v>142651.59999999998</v>
      </c>
      <c r="E85" s="470">
        <f>E15+E26+E32+E54+E55+E58+E59+E60+E63+E74+E75+E79+E81+E83+E84</f>
        <v>29301.6</v>
      </c>
      <c r="F85" s="470">
        <f>F15+F26+F32+F54+F55+F58+F59+F60+F63+F74+F75+F79+F81+F83+F84</f>
        <v>55595.99999999999</v>
      </c>
      <c r="G85" s="470">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698" t="s">
        <v>474</v>
      </c>
      <c r="C89" s="698"/>
      <c r="D89" s="365"/>
      <c r="E89" s="366"/>
      <c r="F89" s="367"/>
      <c r="G89" s="367"/>
      <c r="H89" s="367"/>
      <c r="I89" s="367"/>
      <c r="J89" s="367"/>
      <c r="K89" s="362" t="s">
        <v>616</v>
      </c>
      <c r="L89" s="148"/>
      <c r="M89" s="148"/>
    </row>
    <row r="90" spans="1:12" ht="18.75">
      <c r="A90" s="327"/>
      <c r="B90" s="244"/>
      <c r="C90" s="47"/>
      <c r="D90" s="330"/>
      <c r="E90" s="245"/>
      <c r="F90" s="246"/>
      <c r="G90" s="246"/>
      <c r="H90" s="246"/>
      <c r="I90" s="246"/>
      <c r="J90" s="246"/>
      <c r="K90" s="47"/>
      <c r="L90" s="1"/>
    </row>
    <row r="91" spans="1:12" ht="18.75">
      <c r="A91" s="327"/>
      <c r="B91" s="271" t="s">
        <v>160</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4">
    <mergeCell ref="B85:C85"/>
    <mergeCell ref="B89:C89"/>
    <mergeCell ref="C15:C21"/>
    <mergeCell ref="C32:C40"/>
    <mergeCell ref="C26:C29"/>
    <mergeCell ref="K76:K77"/>
    <mergeCell ref="K32:K40"/>
    <mergeCell ref="K72:K73"/>
    <mergeCell ref="K59:K60"/>
    <mergeCell ref="K43:K58"/>
    <mergeCell ref="A76:A77"/>
    <mergeCell ref="B76:B77"/>
    <mergeCell ref="C63:C71"/>
    <mergeCell ref="A43:A49"/>
    <mergeCell ref="K41:K42"/>
    <mergeCell ref="A26:A29"/>
    <mergeCell ref="A41:A42"/>
    <mergeCell ref="B41:B42"/>
    <mergeCell ref="A72:A73"/>
    <mergeCell ref="B72:B73"/>
    <mergeCell ref="A61:A62"/>
    <mergeCell ref="B61:B62"/>
    <mergeCell ref="K61:K62"/>
    <mergeCell ref="A63:A71"/>
    <mergeCell ref="K63:K71"/>
    <mergeCell ref="A56:A57"/>
    <mergeCell ref="B56:B57"/>
    <mergeCell ref="A59:A60"/>
    <mergeCell ref="B59:B60"/>
    <mergeCell ref="C43:C49"/>
    <mergeCell ref="C50:C53"/>
    <mergeCell ref="K26:K29"/>
    <mergeCell ref="B11:K11"/>
    <mergeCell ref="A13:A14"/>
    <mergeCell ref="B13:B14"/>
    <mergeCell ref="C13:C14"/>
    <mergeCell ref="D13:D14"/>
    <mergeCell ref="E13:J13"/>
    <mergeCell ref="K13:K14"/>
    <mergeCell ref="K8:P8"/>
    <mergeCell ref="A15:A21"/>
    <mergeCell ref="A32:A40"/>
    <mergeCell ref="C22:C25"/>
    <mergeCell ref="K15:K21"/>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6">
      <selection activeCell="E23" sqref="E2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411</v>
      </c>
      <c r="J1" s="12"/>
    </row>
    <row r="2" spans="9:12" ht="15.75">
      <c r="I2" s="12" t="s">
        <v>617</v>
      </c>
      <c r="J2" s="12"/>
      <c r="K2" s="12"/>
      <c r="L2" s="12"/>
    </row>
    <row r="3" spans="9:14" ht="15.75">
      <c r="I3" s="12" t="s">
        <v>456</v>
      </c>
      <c r="J3" s="12"/>
      <c r="K3" s="15"/>
      <c r="L3" s="12"/>
      <c r="M3" s="12"/>
      <c r="N3" s="12"/>
    </row>
    <row r="4" spans="9:14" ht="15.75">
      <c r="I4" s="17" t="s">
        <v>161</v>
      </c>
      <c r="J4" s="17"/>
      <c r="K4" s="15"/>
      <c r="L4" s="12"/>
      <c r="M4" s="12"/>
      <c r="N4" s="12"/>
    </row>
    <row r="5" spans="9:14" ht="15.75">
      <c r="I5" s="17" t="s">
        <v>369</v>
      </c>
      <c r="J5" s="17"/>
      <c r="K5" s="15"/>
      <c r="L5" s="12"/>
      <c r="M5" s="12"/>
      <c r="N5" s="12"/>
    </row>
    <row r="6" spans="2:14" ht="15.75">
      <c r="B6" s="15"/>
      <c r="C6" s="15"/>
      <c r="D6" s="15"/>
      <c r="I6" s="665" t="s">
        <v>453</v>
      </c>
      <c r="J6" s="665"/>
      <c r="K6" s="665"/>
      <c r="L6" s="665"/>
      <c r="M6" s="665"/>
      <c r="N6" s="665"/>
    </row>
    <row r="7" spans="2:14" ht="15.75" customHeight="1">
      <c r="B7" s="15"/>
      <c r="C7" s="15"/>
      <c r="D7" s="15"/>
      <c r="I7" s="665" t="s">
        <v>454</v>
      </c>
      <c r="J7" s="665"/>
      <c r="K7" s="665"/>
      <c r="L7" s="665"/>
      <c r="M7" s="665"/>
      <c r="N7" s="665"/>
    </row>
    <row r="8" spans="2:14" ht="15.75" customHeight="1">
      <c r="B8" s="15"/>
      <c r="C8" s="15"/>
      <c r="D8" s="15"/>
      <c r="I8" s="665" t="s">
        <v>396</v>
      </c>
      <c r="J8" s="665"/>
      <c r="K8" s="665"/>
      <c r="L8" s="665"/>
      <c r="M8" s="665"/>
      <c r="N8" s="665"/>
    </row>
    <row r="9" spans="2:9" ht="20.25" customHeight="1">
      <c r="B9" s="15"/>
      <c r="C9" s="15"/>
      <c r="D9" s="15"/>
      <c r="E9" s="15"/>
      <c r="F9" s="410"/>
      <c r="G9" s="15"/>
      <c r="H9" s="15"/>
      <c r="I9" s="12"/>
    </row>
    <row r="10" spans="2:9" ht="17.25" customHeight="1">
      <c r="B10" s="700" t="s">
        <v>401</v>
      </c>
      <c r="C10" s="700"/>
      <c r="D10" s="700"/>
      <c r="E10" s="700"/>
      <c r="F10" s="700"/>
      <c r="G10" s="700"/>
      <c r="H10" s="700"/>
      <c r="I10" s="700"/>
    </row>
    <row r="11" spans="2:9" ht="16.5" customHeight="1">
      <c r="B11" s="33"/>
      <c r="C11" s="33"/>
      <c r="D11" s="33"/>
      <c r="E11" s="33"/>
      <c r="F11" s="411"/>
      <c r="G11" s="33"/>
      <c r="H11" s="33"/>
      <c r="I11" s="265" t="s">
        <v>114</v>
      </c>
    </row>
    <row r="12" spans="1:9" ht="19.5" customHeight="1">
      <c r="A12" s="667" t="s">
        <v>486</v>
      </c>
      <c r="B12" s="667" t="s">
        <v>469</v>
      </c>
      <c r="C12" s="667" t="s">
        <v>470</v>
      </c>
      <c r="D12" s="667" t="s">
        <v>107</v>
      </c>
      <c r="E12" s="674" t="s">
        <v>466</v>
      </c>
      <c r="F12" s="674"/>
      <c r="G12" s="674"/>
      <c r="H12" s="674"/>
      <c r="I12" s="674" t="s">
        <v>472</v>
      </c>
    </row>
    <row r="13" spans="1:9" ht="15.75" customHeight="1">
      <c r="A13" s="668"/>
      <c r="B13" s="668"/>
      <c r="C13" s="668"/>
      <c r="D13" s="668"/>
      <c r="E13" s="646">
        <v>2022</v>
      </c>
      <c r="F13" s="412"/>
      <c r="G13" s="646">
        <v>2023</v>
      </c>
      <c r="H13" s="646">
        <v>2024</v>
      </c>
      <c r="I13" s="674"/>
    </row>
    <row r="14" spans="1:9" ht="29.25" customHeight="1">
      <c r="A14" s="669"/>
      <c r="B14" s="669"/>
      <c r="C14" s="669"/>
      <c r="D14" s="669"/>
      <c r="E14" s="647"/>
      <c r="F14" s="415"/>
      <c r="G14" s="647"/>
      <c r="H14" s="647"/>
      <c r="I14" s="674"/>
    </row>
    <row r="15" spans="1:9" ht="33.75" customHeight="1" hidden="1">
      <c r="A15" s="63">
        <v>1</v>
      </c>
      <c r="B15" s="58" t="s">
        <v>487</v>
      </c>
      <c r="C15" s="35" t="s">
        <v>473</v>
      </c>
      <c r="D15" s="69" t="e">
        <f>#REF!+E15+G15+H15</f>
        <v>#REF!</v>
      </c>
      <c r="E15" s="97"/>
      <c r="F15" s="409"/>
      <c r="G15" s="97"/>
      <c r="H15" s="97"/>
      <c r="I15" s="35" t="s">
        <v>488</v>
      </c>
    </row>
    <row r="16" spans="1:9" ht="54" customHeight="1">
      <c r="A16" s="293">
        <v>1</v>
      </c>
      <c r="B16" s="294" t="s">
        <v>2</v>
      </c>
      <c r="C16" s="63" t="s">
        <v>195</v>
      </c>
      <c r="D16" s="172">
        <f aca="true" t="shared" si="0" ref="D16:D26">E16+G16+H16</f>
        <v>2219.5</v>
      </c>
      <c r="E16" s="509">
        <f>593+162.3-247.8</f>
        <v>507.49999999999994</v>
      </c>
      <c r="F16" s="409" t="s">
        <v>340</v>
      </c>
      <c r="G16" s="173">
        <f>663+172</f>
        <v>835</v>
      </c>
      <c r="H16" s="173">
        <v>877</v>
      </c>
      <c r="I16" s="293" t="s">
        <v>40</v>
      </c>
    </row>
    <row r="17" spans="1:9" ht="68.25" customHeight="1">
      <c r="A17" s="293">
        <v>2</v>
      </c>
      <c r="B17" s="294" t="s">
        <v>277</v>
      </c>
      <c r="C17" s="63" t="s">
        <v>195</v>
      </c>
      <c r="D17" s="172">
        <f t="shared" si="0"/>
        <v>453.79999999999995</v>
      </c>
      <c r="E17" s="509">
        <f>159.3-49.3</f>
        <v>110.00000000000001</v>
      </c>
      <c r="F17" s="409" t="s">
        <v>338</v>
      </c>
      <c r="G17" s="173">
        <v>167.7</v>
      </c>
      <c r="H17" s="173">
        <v>176.1</v>
      </c>
      <c r="I17" s="293" t="s">
        <v>40</v>
      </c>
    </row>
    <row r="18" spans="1:9" ht="50.25" customHeight="1">
      <c r="A18" s="293">
        <v>3</v>
      </c>
      <c r="B18" s="294" t="s">
        <v>378</v>
      </c>
      <c r="C18" s="63" t="s">
        <v>195</v>
      </c>
      <c r="D18" s="172">
        <f t="shared" si="0"/>
        <v>172.60000000000002</v>
      </c>
      <c r="E18" s="509">
        <f>79.4-79.4</f>
        <v>0</v>
      </c>
      <c r="F18" s="409" t="s">
        <v>339</v>
      </c>
      <c r="G18" s="173">
        <v>84.2</v>
      </c>
      <c r="H18" s="173">
        <v>88.4</v>
      </c>
      <c r="I18" s="293" t="s">
        <v>40</v>
      </c>
    </row>
    <row r="19" spans="1:87" ht="48" customHeight="1">
      <c r="A19" s="166">
        <v>4</v>
      </c>
      <c r="B19" s="294" t="s">
        <v>3</v>
      </c>
      <c r="C19" s="63" t="s">
        <v>195</v>
      </c>
      <c r="D19" s="172">
        <f t="shared" si="0"/>
        <v>10547</v>
      </c>
      <c r="E19" s="509">
        <f>693.6+124.8+62.4+1106.6+199.2+174.6+249.7+37.5+238.7+400+92.3+370.4+62.3-1612.9</f>
        <v>2199.2</v>
      </c>
      <c r="F19" s="409" t="s">
        <v>345</v>
      </c>
      <c r="G19" s="173">
        <f>735.2+132.3+66.2+1168.1+222.7+183.8+264.7+39.7+253+450+97.8+392.6+66</f>
        <v>4072.1</v>
      </c>
      <c r="H19" s="173">
        <v>4275.7</v>
      </c>
      <c r="I19" s="293" t="s">
        <v>40</v>
      </c>
      <c r="J19" s="14" t="s">
        <v>367</v>
      </c>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row>
    <row r="20" spans="1:9" ht="38.25" customHeight="1">
      <c r="A20" s="166">
        <v>5</v>
      </c>
      <c r="B20" s="294" t="s">
        <v>496</v>
      </c>
      <c r="C20" s="63" t="s">
        <v>195</v>
      </c>
      <c r="D20" s="172">
        <f t="shared" si="0"/>
        <v>6330.5</v>
      </c>
      <c r="E20" s="509">
        <f>298.8+143.6+201.9+147.5+186+62.9+32+32+64+37+10.7+1000-579.8</f>
        <v>1636.6000000000001</v>
      </c>
      <c r="F20" s="409" t="s">
        <v>336</v>
      </c>
      <c r="G20" s="173">
        <f>316.7+152.2+214+156.4+197.2+66.6+33.9+33.9+67.9+39.6+11.3+1000</f>
        <v>2289.7</v>
      </c>
      <c r="H20" s="173">
        <v>2404.2</v>
      </c>
      <c r="I20" s="293" t="s">
        <v>40</v>
      </c>
    </row>
    <row r="21" spans="1:9" ht="43.5" customHeight="1">
      <c r="A21" s="166">
        <v>6</v>
      </c>
      <c r="B21" s="294" t="s">
        <v>497</v>
      </c>
      <c r="C21" s="63" t="s">
        <v>195</v>
      </c>
      <c r="D21" s="172">
        <f t="shared" si="0"/>
        <v>1740</v>
      </c>
      <c r="E21" s="509">
        <f>550-40</f>
        <v>510</v>
      </c>
      <c r="F21" s="409" t="s">
        <v>341</v>
      </c>
      <c r="G21" s="173">
        <v>600</v>
      </c>
      <c r="H21" s="173">
        <v>630</v>
      </c>
      <c r="I21" s="293" t="s">
        <v>40</v>
      </c>
    </row>
    <row r="22" spans="1:9" ht="47.25" customHeight="1">
      <c r="A22" s="166">
        <v>7</v>
      </c>
      <c r="B22" s="294" t="s">
        <v>319</v>
      </c>
      <c r="C22" s="63" t="s">
        <v>195</v>
      </c>
      <c r="D22" s="172">
        <f t="shared" si="0"/>
        <v>9834.6</v>
      </c>
      <c r="E22" s="509">
        <f>2423.2+2100+45.8</f>
        <v>4569</v>
      </c>
      <c r="F22" s="409" t="s">
        <v>337</v>
      </c>
      <c r="G22" s="173">
        <v>2568.6</v>
      </c>
      <c r="H22" s="173">
        <v>2697</v>
      </c>
      <c r="I22" s="293" t="s">
        <v>40</v>
      </c>
    </row>
    <row r="23" spans="1:9" ht="44.25" customHeight="1">
      <c r="A23" s="35">
        <v>8</v>
      </c>
      <c r="B23" s="62" t="s">
        <v>343</v>
      </c>
      <c r="C23" s="63" t="s">
        <v>195</v>
      </c>
      <c r="D23" s="172">
        <f t="shared" si="0"/>
        <v>1183</v>
      </c>
      <c r="E23" s="509">
        <f>350+73</f>
        <v>423</v>
      </c>
      <c r="F23" s="173">
        <v>350</v>
      </c>
      <c r="G23" s="173">
        <v>370</v>
      </c>
      <c r="H23" s="173">
        <v>390</v>
      </c>
      <c r="I23" s="293" t="s">
        <v>40</v>
      </c>
    </row>
    <row r="24" spans="1:9" ht="0.75" customHeight="1">
      <c r="A24" s="166"/>
      <c r="B24" s="62"/>
      <c r="C24" s="63"/>
      <c r="D24" s="172"/>
      <c r="E24" s="509"/>
      <c r="F24" s="409"/>
      <c r="G24" s="173"/>
      <c r="H24" s="173"/>
      <c r="I24" s="293"/>
    </row>
    <row r="25" spans="1:9" ht="44.25" customHeight="1">
      <c r="A25" s="166">
        <v>9</v>
      </c>
      <c r="B25" s="62" t="s">
        <v>527</v>
      </c>
      <c r="C25" s="63" t="s">
        <v>195</v>
      </c>
      <c r="D25" s="172">
        <f t="shared" si="0"/>
        <v>1278.1999999999998</v>
      </c>
      <c r="E25" s="509">
        <f>504.7-73-309.8</f>
        <v>121.89999999999998</v>
      </c>
      <c r="F25" s="409" t="s">
        <v>335</v>
      </c>
      <c r="G25" s="173">
        <v>564.3</v>
      </c>
      <c r="H25" s="173">
        <v>592</v>
      </c>
      <c r="I25" s="293" t="s">
        <v>40</v>
      </c>
    </row>
    <row r="26" spans="1:10" ht="44.25" customHeight="1">
      <c r="A26" s="166">
        <v>10</v>
      </c>
      <c r="B26" s="62" t="s">
        <v>366</v>
      </c>
      <c r="C26" s="63" t="s">
        <v>195</v>
      </c>
      <c r="D26" s="172">
        <f t="shared" si="0"/>
        <v>1123.3</v>
      </c>
      <c r="E26" s="509">
        <f>363-23</f>
        <v>340</v>
      </c>
      <c r="F26" s="409" t="s">
        <v>346</v>
      </c>
      <c r="G26" s="173">
        <v>382.1</v>
      </c>
      <c r="H26" s="173">
        <v>401.2</v>
      </c>
      <c r="I26" s="293" t="s">
        <v>40</v>
      </c>
      <c r="J26" s="14" t="s">
        <v>344</v>
      </c>
    </row>
    <row r="27" spans="1:9" s="231" customFormat="1" ht="44.25" customHeight="1">
      <c r="A27" s="293">
        <v>11</v>
      </c>
      <c r="B27" s="62" t="s">
        <v>191</v>
      </c>
      <c r="C27" s="63" t="s">
        <v>195</v>
      </c>
      <c r="D27" s="172">
        <f>E27+G27+H27</f>
        <v>0</v>
      </c>
      <c r="E27" s="509">
        <f>1000-1000</f>
        <v>0</v>
      </c>
      <c r="F27" s="200"/>
      <c r="G27" s="173"/>
      <c r="H27" s="173"/>
      <c r="I27" s="293" t="s">
        <v>40</v>
      </c>
    </row>
    <row r="28" spans="1:9" ht="18.75">
      <c r="A28" s="71"/>
      <c r="B28" s="72" t="s">
        <v>463</v>
      </c>
      <c r="C28" s="72"/>
      <c r="D28" s="94">
        <f>E28+G28+H28</f>
        <v>34882.5</v>
      </c>
      <c r="E28" s="568">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10"/>
      <c r="G29" s="15"/>
      <c r="H29" s="15"/>
      <c r="I29" s="15"/>
    </row>
    <row r="30" spans="2:10" ht="22.5" customHeight="1">
      <c r="B30" s="699" t="s">
        <v>474</v>
      </c>
      <c r="C30" s="699"/>
      <c r="D30" s="234"/>
      <c r="E30" s="22"/>
      <c r="F30" s="413"/>
      <c r="G30" s="22"/>
      <c r="H30" s="16"/>
      <c r="I30" s="362" t="s">
        <v>616</v>
      </c>
      <c r="J30" s="24"/>
    </row>
    <row r="31" spans="2:10" ht="12.75" customHeight="1">
      <c r="B31" s="234"/>
      <c r="C31" s="234"/>
      <c r="D31" s="234"/>
      <c r="E31" s="22"/>
      <c r="F31" s="413"/>
      <c r="G31" s="22"/>
      <c r="H31" s="16"/>
      <c r="I31" s="169"/>
      <c r="J31" s="24"/>
    </row>
    <row r="32" spans="2:10" ht="18.75">
      <c r="B32" s="675" t="s">
        <v>159</v>
      </c>
      <c r="C32" s="675"/>
      <c r="D32" s="25"/>
      <c r="E32" s="26"/>
      <c r="F32" s="414"/>
      <c r="G32" s="26"/>
      <c r="H32" s="26"/>
      <c r="I32" s="26"/>
      <c r="J32" s="15"/>
    </row>
    <row r="33" spans="2:10" ht="15.75">
      <c r="B33" s="27"/>
      <c r="C33" s="27"/>
      <c r="D33" s="26"/>
      <c r="E33" s="26"/>
      <c r="F33" s="414"/>
      <c r="G33" s="26"/>
      <c r="H33" s="26"/>
      <c r="I33" s="26"/>
      <c r="J33" s="15"/>
    </row>
    <row r="34" spans="2:9" ht="15.75">
      <c r="B34" s="15"/>
      <c r="C34" s="15"/>
      <c r="D34" s="15"/>
      <c r="E34" s="15"/>
      <c r="F34" s="410"/>
      <c r="G34" s="15"/>
      <c r="H34" s="15"/>
      <c r="I34" s="15"/>
    </row>
    <row r="35" spans="2:9" ht="15.75">
      <c r="B35" s="15"/>
      <c r="C35" s="15"/>
      <c r="D35" s="15"/>
      <c r="E35" s="15"/>
      <c r="F35" s="410"/>
      <c r="G35" s="15"/>
      <c r="H35" s="15"/>
      <c r="I35" s="15"/>
    </row>
    <row r="36" spans="2:9" ht="15.75">
      <c r="B36" s="15"/>
      <c r="C36" s="15"/>
      <c r="D36" s="15"/>
      <c r="E36" s="15"/>
      <c r="F36" s="410"/>
      <c r="G36" s="15"/>
      <c r="H36" s="15"/>
      <c r="I36" s="15"/>
    </row>
    <row r="37" spans="2:9" ht="15.75">
      <c r="B37" s="15"/>
      <c r="C37" s="15"/>
      <c r="D37" s="15"/>
      <c r="E37" s="15"/>
      <c r="F37" s="410"/>
      <c r="G37" s="15"/>
      <c r="H37" s="15"/>
      <c r="I37" s="15"/>
    </row>
    <row r="38" spans="2:9" ht="15.75">
      <c r="B38" s="15"/>
      <c r="C38" s="15"/>
      <c r="D38" s="15"/>
      <c r="E38" s="15"/>
      <c r="F38" s="410"/>
      <c r="G38" s="15"/>
      <c r="H38" s="15"/>
      <c r="I38" s="15"/>
    </row>
    <row r="39" spans="2:9" ht="15.75">
      <c r="B39" s="15"/>
      <c r="C39" s="15"/>
      <c r="D39" s="15"/>
      <c r="E39" s="15"/>
      <c r="F39" s="410"/>
      <c r="G39" s="15"/>
      <c r="H39" s="15"/>
      <c r="I39" s="15"/>
    </row>
    <row r="40" spans="2:9" ht="15.75">
      <c r="B40" s="15"/>
      <c r="C40" s="15"/>
      <c r="D40" s="15"/>
      <c r="E40" s="15"/>
      <c r="F40" s="410"/>
      <c r="G40" s="15"/>
      <c r="H40" s="15"/>
      <c r="I40" s="15"/>
    </row>
    <row r="41" spans="2:9" ht="15.75">
      <c r="B41" s="15"/>
      <c r="C41" s="15"/>
      <c r="D41" s="15"/>
      <c r="E41" s="15"/>
      <c r="F41" s="410"/>
      <c r="G41" s="15"/>
      <c r="H41" s="15"/>
      <c r="I41" s="15"/>
    </row>
    <row r="42" spans="2:9" ht="15.75">
      <c r="B42" s="15"/>
      <c r="C42" s="15"/>
      <c r="D42" s="15"/>
      <c r="E42" s="15"/>
      <c r="F42" s="410"/>
      <c r="G42" s="15"/>
      <c r="H42" s="15"/>
      <c r="I42" s="15"/>
    </row>
    <row r="43" spans="2:9" ht="15.75">
      <c r="B43" s="15"/>
      <c r="C43" s="15"/>
      <c r="D43" s="15"/>
      <c r="E43" s="15"/>
      <c r="F43" s="410"/>
      <c r="G43" s="15"/>
      <c r="H43" s="15"/>
      <c r="I43" s="15"/>
    </row>
    <row r="44" spans="2:9" ht="15.75">
      <c r="B44" s="15"/>
      <c r="C44" s="15"/>
      <c r="D44" s="15"/>
      <c r="E44" s="15"/>
      <c r="F44" s="410"/>
      <c r="G44" s="15"/>
      <c r="H44" s="15"/>
      <c r="I44" s="15"/>
    </row>
    <row r="45" spans="2:9" ht="15.75">
      <c r="B45" s="15"/>
      <c r="C45" s="15"/>
      <c r="D45" s="15"/>
      <c r="E45" s="15"/>
      <c r="F45" s="410"/>
      <c r="G45" s="15"/>
      <c r="H45" s="15"/>
      <c r="I45" s="15"/>
    </row>
    <row r="46" spans="2:9" ht="15.75">
      <c r="B46" s="15"/>
      <c r="C46" s="15"/>
      <c r="D46" s="15"/>
      <c r="E46" s="15"/>
      <c r="F46" s="410"/>
      <c r="G46" s="15"/>
      <c r="H46" s="15"/>
      <c r="I46" s="15"/>
    </row>
    <row r="47" spans="2:9" ht="15.75">
      <c r="B47" s="15"/>
      <c r="C47" s="15"/>
      <c r="D47" s="15"/>
      <c r="E47" s="15"/>
      <c r="F47" s="410"/>
      <c r="G47" s="15"/>
      <c r="H47" s="15"/>
      <c r="I47" s="15"/>
    </row>
    <row r="48" spans="2:9" ht="15.75">
      <c r="B48" s="15"/>
      <c r="C48" s="15"/>
      <c r="D48" s="15"/>
      <c r="E48" s="15"/>
      <c r="F48" s="410"/>
      <c r="G48" s="15"/>
      <c r="H48" s="15"/>
      <c r="I48" s="15"/>
    </row>
    <row r="49" spans="2:9" ht="15.75">
      <c r="B49" s="15"/>
      <c r="C49" s="15"/>
      <c r="D49" s="15"/>
      <c r="E49" s="15"/>
      <c r="F49" s="410"/>
      <c r="G49" s="15"/>
      <c r="H49" s="15"/>
      <c r="I49" s="15"/>
    </row>
    <row r="50" spans="2:9" ht="15.75">
      <c r="B50" s="15"/>
      <c r="C50" s="15"/>
      <c r="D50" s="15"/>
      <c r="E50" s="15"/>
      <c r="F50" s="410"/>
      <c r="G50" s="15"/>
      <c r="H50" s="15"/>
      <c r="I50" s="15"/>
    </row>
    <row r="51" spans="2:9" ht="15.75">
      <c r="B51" s="15"/>
      <c r="C51" s="15"/>
      <c r="D51" s="15"/>
      <c r="E51" s="15"/>
      <c r="F51" s="410"/>
      <c r="G51" s="15"/>
      <c r="H51" s="15"/>
      <c r="I51" s="15"/>
    </row>
    <row r="52" spans="2:9" ht="15.75">
      <c r="B52" s="15"/>
      <c r="C52" s="15"/>
      <c r="D52" s="15"/>
      <c r="E52" s="15"/>
      <c r="F52" s="410"/>
      <c r="G52" s="15"/>
      <c r="H52" s="15"/>
      <c r="I52" s="15"/>
    </row>
    <row r="53" spans="2:9" ht="15.75">
      <c r="B53" s="15"/>
      <c r="C53" s="15"/>
      <c r="D53" s="15"/>
      <c r="E53" s="15"/>
      <c r="F53" s="410"/>
      <c r="G53" s="15"/>
      <c r="H53" s="15"/>
      <c r="I53" s="15"/>
    </row>
    <row r="54" spans="2:9" ht="15.75">
      <c r="B54" s="15"/>
      <c r="C54" s="15"/>
      <c r="D54" s="15"/>
      <c r="E54" s="15"/>
      <c r="F54" s="410"/>
      <c r="G54" s="15"/>
      <c r="H54" s="15"/>
      <c r="I54" s="15"/>
    </row>
    <row r="55" spans="2:9" ht="15.75">
      <c r="B55" s="15"/>
      <c r="C55" s="15"/>
      <c r="D55" s="15"/>
      <c r="E55" s="15"/>
      <c r="F55" s="410"/>
      <c r="G55" s="15"/>
      <c r="H55" s="15"/>
      <c r="I55" s="15"/>
    </row>
    <row r="56" spans="2:9" ht="15.75">
      <c r="B56" s="15"/>
      <c r="C56" s="15"/>
      <c r="D56" s="15"/>
      <c r="E56" s="15"/>
      <c r="F56" s="410"/>
      <c r="G56" s="15"/>
      <c r="H56" s="15"/>
      <c r="I56" s="15"/>
    </row>
    <row r="57" spans="2:9" ht="15.75">
      <c r="B57" s="15"/>
      <c r="C57" s="15"/>
      <c r="D57" s="15"/>
      <c r="E57" s="15"/>
      <c r="F57" s="410"/>
      <c r="G57" s="15"/>
      <c r="H57" s="15"/>
      <c r="I57" s="15"/>
    </row>
    <row r="58" spans="2:9" ht="15.75">
      <c r="B58" s="15"/>
      <c r="C58" s="15"/>
      <c r="D58" s="15"/>
      <c r="E58" s="15"/>
      <c r="F58" s="410"/>
      <c r="G58" s="15"/>
      <c r="H58" s="15"/>
      <c r="I58" s="15"/>
    </row>
    <row r="59" spans="2:9" ht="15.75">
      <c r="B59" s="15"/>
      <c r="C59" s="15"/>
      <c r="D59" s="15"/>
      <c r="E59" s="15"/>
      <c r="F59" s="410"/>
      <c r="G59" s="15"/>
      <c r="H59" s="15"/>
      <c r="I59" s="15"/>
    </row>
    <row r="60" spans="2:9" ht="15.75">
      <c r="B60" s="15"/>
      <c r="C60" s="15"/>
      <c r="D60" s="15"/>
      <c r="E60" s="15"/>
      <c r="F60" s="410"/>
      <c r="G60" s="15"/>
      <c r="H60" s="15"/>
      <c r="I60" s="15"/>
    </row>
    <row r="61" spans="2:9" ht="15.75">
      <c r="B61" s="15"/>
      <c r="C61" s="15"/>
      <c r="D61" s="15"/>
      <c r="E61" s="15"/>
      <c r="F61" s="410"/>
      <c r="G61" s="15"/>
      <c r="H61" s="15"/>
      <c r="I61" s="15"/>
    </row>
    <row r="62" spans="2:9" ht="15.75">
      <c r="B62" s="15"/>
      <c r="C62" s="15"/>
      <c r="D62" s="15"/>
      <c r="E62" s="15"/>
      <c r="F62" s="410"/>
      <c r="G62" s="15"/>
      <c r="H62" s="15"/>
      <c r="I62" s="15"/>
    </row>
    <row r="63" spans="2:9" ht="15.75">
      <c r="B63" s="15"/>
      <c r="C63" s="15"/>
      <c r="D63" s="15"/>
      <c r="E63" s="15"/>
      <c r="F63" s="410"/>
      <c r="G63" s="15"/>
      <c r="H63" s="15"/>
      <c r="I63" s="15"/>
    </row>
    <row r="64" spans="2:9" ht="15.75">
      <c r="B64" s="15"/>
      <c r="C64" s="15"/>
      <c r="D64" s="15"/>
      <c r="E64" s="15"/>
      <c r="F64" s="410"/>
      <c r="G64" s="15"/>
      <c r="H64" s="15"/>
      <c r="I64" s="15"/>
    </row>
    <row r="65" spans="2:9" ht="15.75">
      <c r="B65" s="15"/>
      <c r="C65" s="15"/>
      <c r="D65" s="15"/>
      <c r="E65" s="15"/>
      <c r="F65" s="410"/>
      <c r="G65" s="15"/>
      <c r="H65" s="15"/>
      <c r="I65" s="15"/>
    </row>
    <row r="66" spans="2:9" ht="15.75">
      <c r="B66" s="15"/>
      <c r="C66" s="15"/>
      <c r="D66" s="15"/>
      <c r="E66" s="15"/>
      <c r="F66" s="410"/>
      <c r="G66" s="15"/>
      <c r="H66" s="15"/>
      <c r="I66" s="15"/>
    </row>
    <row r="67" spans="2:9" ht="15.75">
      <c r="B67" s="15"/>
      <c r="C67" s="15"/>
      <c r="D67" s="15"/>
      <c r="E67" s="15"/>
      <c r="F67" s="410"/>
      <c r="G67" s="15"/>
      <c r="H67" s="15"/>
      <c r="I67" s="15"/>
    </row>
    <row r="68" spans="2:9" ht="15.75">
      <c r="B68" s="15"/>
      <c r="C68" s="15"/>
      <c r="D68" s="15"/>
      <c r="E68" s="15"/>
      <c r="F68" s="410"/>
      <c r="G68" s="15"/>
      <c r="H68" s="15"/>
      <c r="I68" s="15"/>
    </row>
    <row r="69" spans="2:9" ht="15.75">
      <c r="B69" s="15"/>
      <c r="C69" s="15"/>
      <c r="D69" s="15"/>
      <c r="E69" s="15"/>
      <c r="F69" s="410"/>
      <c r="G69" s="15"/>
      <c r="H69" s="15"/>
      <c r="I69" s="15"/>
    </row>
    <row r="70" spans="2:9" ht="15.75">
      <c r="B70" s="15"/>
      <c r="C70" s="15"/>
      <c r="D70" s="15"/>
      <c r="E70" s="15"/>
      <c r="F70" s="410"/>
      <c r="G70" s="15"/>
      <c r="H70" s="15"/>
      <c r="I70" s="15"/>
    </row>
    <row r="71" spans="2:9" ht="15.75">
      <c r="B71" s="15"/>
      <c r="C71" s="15"/>
      <c r="D71" s="15"/>
      <c r="E71" s="15"/>
      <c r="F71" s="410"/>
      <c r="G71" s="15"/>
      <c r="H71" s="15"/>
      <c r="I71" s="15"/>
    </row>
    <row r="72" spans="2:9" ht="15.75">
      <c r="B72" s="15"/>
      <c r="C72" s="15"/>
      <c r="D72" s="15"/>
      <c r="E72" s="15"/>
      <c r="F72" s="410"/>
      <c r="G72" s="15"/>
      <c r="H72" s="15"/>
      <c r="I72" s="15"/>
    </row>
    <row r="73" spans="2:9" ht="15.75">
      <c r="B73" s="15"/>
      <c r="C73" s="15"/>
      <c r="D73" s="15"/>
      <c r="E73" s="15"/>
      <c r="F73" s="410"/>
      <c r="G73" s="15"/>
      <c r="H73" s="15"/>
      <c r="I73" s="15"/>
    </row>
    <row r="74" spans="2:9" ht="15.75">
      <c r="B74" s="15"/>
      <c r="C74" s="15"/>
      <c r="D74" s="15"/>
      <c r="E74" s="15"/>
      <c r="F74" s="410"/>
      <c r="G74" s="15"/>
      <c r="H74" s="15"/>
      <c r="I74" s="15"/>
    </row>
    <row r="75" spans="2:9" ht="15.75">
      <c r="B75" s="15"/>
      <c r="C75" s="15"/>
      <c r="D75" s="15"/>
      <c r="E75" s="15"/>
      <c r="F75" s="410"/>
      <c r="G75" s="15"/>
      <c r="H75" s="15"/>
      <c r="I75" s="15"/>
    </row>
    <row r="76" spans="2:9" ht="15.75">
      <c r="B76" s="15"/>
      <c r="C76" s="15"/>
      <c r="D76" s="15"/>
      <c r="E76" s="15"/>
      <c r="F76" s="410"/>
      <c r="G76" s="15"/>
      <c r="H76" s="15"/>
      <c r="I76" s="15"/>
    </row>
    <row r="77" spans="2:9" ht="15.75">
      <c r="B77" s="15"/>
      <c r="C77" s="15"/>
      <c r="D77" s="15"/>
      <c r="E77" s="15"/>
      <c r="F77" s="410"/>
      <c r="G77" s="15"/>
      <c r="H77" s="15"/>
      <c r="I77" s="15"/>
    </row>
    <row r="78" spans="2:9" ht="15.75">
      <c r="B78" s="15"/>
      <c r="C78" s="15"/>
      <c r="D78" s="15"/>
      <c r="E78" s="15"/>
      <c r="F78" s="410"/>
      <c r="G78" s="15"/>
      <c r="H78" s="15"/>
      <c r="I78" s="15"/>
    </row>
    <row r="79" spans="2:9" ht="15.75">
      <c r="B79" s="15"/>
      <c r="C79" s="15"/>
      <c r="D79" s="15"/>
      <c r="E79" s="15"/>
      <c r="F79" s="410"/>
      <c r="G79" s="15"/>
      <c r="H79" s="15"/>
      <c r="I79" s="15"/>
    </row>
    <row r="80" spans="2:9" ht="15.75">
      <c r="B80" s="15"/>
      <c r="C80" s="15"/>
      <c r="D80" s="15"/>
      <c r="E80" s="15"/>
      <c r="F80" s="410"/>
      <c r="G80" s="15"/>
      <c r="H80" s="15"/>
      <c r="I80" s="15"/>
    </row>
    <row r="81" spans="2:9" ht="15.75">
      <c r="B81" s="15"/>
      <c r="C81" s="15"/>
      <c r="D81" s="15"/>
      <c r="E81" s="15"/>
      <c r="F81" s="410"/>
      <c r="G81" s="15"/>
      <c r="H81" s="15"/>
      <c r="I81" s="15"/>
    </row>
    <row r="82" spans="2:9" ht="15.75">
      <c r="B82" s="15"/>
      <c r="C82" s="15"/>
      <c r="D82" s="15"/>
      <c r="E82" s="15"/>
      <c r="F82" s="410"/>
      <c r="G82" s="15"/>
      <c r="H82" s="15"/>
      <c r="I82" s="15"/>
    </row>
    <row r="83" spans="2:9" ht="15.75">
      <c r="B83" s="15"/>
      <c r="C83" s="15"/>
      <c r="D83" s="15"/>
      <c r="E83" s="15"/>
      <c r="F83" s="410"/>
      <c r="G83" s="15"/>
      <c r="H83" s="15"/>
      <c r="I83" s="15"/>
    </row>
    <row r="84" spans="2:9" ht="15.75">
      <c r="B84" s="15"/>
      <c r="C84" s="15"/>
      <c r="D84" s="15"/>
      <c r="E84" s="15"/>
      <c r="F84" s="410"/>
      <c r="G84" s="15"/>
      <c r="H84" s="15"/>
      <c r="I84" s="15"/>
    </row>
    <row r="85" spans="2:9" ht="15.75">
      <c r="B85" s="15"/>
      <c r="C85" s="15"/>
      <c r="D85" s="15"/>
      <c r="E85" s="15"/>
      <c r="F85" s="410"/>
      <c r="G85" s="15"/>
      <c r="H85" s="15"/>
      <c r="I85" s="15"/>
    </row>
    <row r="86" spans="2:9" ht="15.75">
      <c r="B86" s="15"/>
      <c r="C86" s="15"/>
      <c r="D86" s="15"/>
      <c r="E86" s="15"/>
      <c r="F86" s="410"/>
      <c r="G86" s="15"/>
      <c r="H86" s="15"/>
      <c r="I86" s="15"/>
    </row>
    <row r="87" spans="2:9" ht="15.75">
      <c r="B87" s="15"/>
      <c r="C87" s="15"/>
      <c r="D87" s="15"/>
      <c r="E87" s="15"/>
      <c r="F87" s="410"/>
      <c r="G87" s="15"/>
      <c r="H87" s="15"/>
      <c r="I87" s="15"/>
    </row>
    <row r="88" spans="2:9" ht="15.75">
      <c r="B88" s="15"/>
      <c r="C88" s="15"/>
      <c r="D88" s="15"/>
      <c r="E88" s="15"/>
      <c r="F88" s="410"/>
      <c r="G88" s="15"/>
      <c r="H88" s="15"/>
      <c r="I88" s="15"/>
    </row>
    <row r="89" spans="2:9" ht="15.75">
      <c r="B89" s="15"/>
      <c r="C89" s="15"/>
      <c r="D89" s="15"/>
      <c r="E89" s="15"/>
      <c r="F89" s="410"/>
      <c r="G89" s="15"/>
      <c r="H89" s="15"/>
      <c r="I89" s="15"/>
    </row>
    <row r="90" spans="2:9" ht="15.75">
      <c r="B90" s="15"/>
      <c r="C90" s="15"/>
      <c r="D90" s="15"/>
      <c r="E90" s="15"/>
      <c r="F90" s="410"/>
      <c r="G90" s="15"/>
      <c r="H90" s="15"/>
      <c r="I90" s="15"/>
    </row>
    <row r="91" spans="2:9" ht="15.75">
      <c r="B91" s="15"/>
      <c r="C91" s="15"/>
      <c r="D91" s="15"/>
      <c r="E91" s="15"/>
      <c r="F91" s="410"/>
      <c r="G91" s="15"/>
      <c r="H91" s="15"/>
      <c r="I91" s="15"/>
    </row>
    <row r="92" spans="2:9" ht="15.75">
      <c r="B92" s="15"/>
      <c r="C92" s="15"/>
      <c r="D92" s="15"/>
      <c r="E92" s="15"/>
      <c r="F92" s="410"/>
      <c r="G92" s="15"/>
      <c r="H92" s="15"/>
      <c r="I92" s="15"/>
    </row>
    <row r="93" spans="2:9" ht="15.75">
      <c r="B93" s="15"/>
      <c r="C93" s="15"/>
      <c r="D93" s="15"/>
      <c r="E93" s="15"/>
      <c r="F93" s="410"/>
      <c r="G93" s="15"/>
      <c r="H93" s="15"/>
      <c r="I93" s="15"/>
    </row>
    <row r="94" spans="2:9" ht="15.75">
      <c r="B94" s="15"/>
      <c r="C94" s="15"/>
      <c r="D94" s="15"/>
      <c r="E94" s="15"/>
      <c r="F94" s="410"/>
      <c r="G94" s="15"/>
      <c r="H94" s="15"/>
      <c r="I94" s="15"/>
    </row>
    <row r="95" spans="2:9" ht="15.75">
      <c r="B95" s="15"/>
      <c r="C95" s="15"/>
      <c r="D95" s="15"/>
      <c r="E95" s="15"/>
      <c r="F95" s="410"/>
      <c r="G95" s="15"/>
      <c r="H95" s="15"/>
      <c r="I95" s="15"/>
    </row>
    <row r="96" spans="2:9" ht="15.75">
      <c r="B96" s="15"/>
      <c r="C96" s="15"/>
      <c r="D96" s="15"/>
      <c r="E96" s="15"/>
      <c r="F96" s="410"/>
      <c r="G96" s="15"/>
      <c r="H96" s="15"/>
      <c r="I96" s="15"/>
    </row>
    <row r="97" spans="2:9" ht="15.75">
      <c r="B97" s="15"/>
      <c r="C97" s="15"/>
      <c r="D97" s="15"/>
      <c r="E97" s="15"/>
      <c r="F97" s="410"/>
      <c r="G97" s="15"/>
      <c r="H97" s="15"/>
      <c r="I97" s="15"/>
    </row>
    <row r="98" spans="2:9" ht="15.75">
      <c r="B98" s="15"/>
      <c r="C98" s="15"/>
      <c r="D98" s="15"/>
      <c r="E98" s="15"/>
      <c r="F98" s="410"/>
      <c r="G98" s="15"/>
      <c r="H98" s="15"/>
      <c r="I98" s="15"/>
    </row>
    <row r="99" spans="2:9" ht="15.75">
      <c r="B99" s="15"/>
      <c r="C99" s="15"/>
      <c r="D99" s="15"/>
      <c r="E99" s="15"/>
      <c r="F99" s="410"/>
      <c r="G99" s="15"/>
      <c r="H99" s="15"/>
      <c r="I99" s="15"/>
    </row>
    <row r="100" spans="2:9" ht="15.75">
      <c r="B100" s="15"/>
      <c r="C100" s="15"/>
      <c r="D100" s="15"/>
      <c r="E100" s="15"/>
      <c r="F100" s="410"/>
      <c r="G100" s="15"/>
      <c r="H100" s="15"/>
      <c r="I100" s="15"/>
    </row>
    <row r="101" spans="2:9" ht="15.75">
      <c r="B101" s="15"/>
      <c r="C101" s="15"/>
      <c r="D101" s="15"/>
      <c r="E101" s="15"/>
      <c r="F101" s="410"/>
      <c r="G101" s="15"/>
      <c r="H101" s="15"/>
      <c r="I101" s="15"/>
    </row>
    <row r="102" spans="2:9" ht="15.75">
      <c r="B102" s="15"/>
      <c r="C102" s="15"/>
      <c r="D102" s="15"/>
      <c r="E102" s="15"/>
      <c r="F102" s="410"/>
      <c r="G102" s="15"/>
      <c r="H102" s="15"/>
      <c r="I102" s="15"/>
    </row>
    <row r="103" spans="2:9" ht="15.75">
      <c r="B103" s="15"/>
      <c r="C103" s="15"/>
      <c r="D103" s="15"/>
      <c r="E103" s="15"/>
      <c r="F103" s="410"/>
      <c r="G103" s="15"/>
      <c r="H103" s="15"/>
      <c r="I103" s="15"/>
    </row>
    <row r="104" spans="2:9" ht="15.75">
      <c r="B104" s="15"/>
      <c r="C104" s="15"/>
      <c r="D104" s="15"/>
      <c r="E104" s="15"/>
      <c r="F104" s="410"/>
      <c r="G104" s="15"/>
      <c r="H104" s="15"/>
      <c r="I104" s="15"/>
    </row>
    <row r="105" spans="2:9" ht="15.75">
      <c r="B105" s="15"/>
      <c r="C105" s="15"/>
      <c r="D105" s="15"/>
      <c r="E105" s="15"/>
      <c r="F105" s="410"/>
      <c r="G105" s="15"/>
      <c r="H105" s="15"/>
      <c r="I105" s="15"/>
    </row>
    <row r="106" spans="2:9" ht="15.75">
      <c r="B106" s="15"/>
      <c r="C106" s="15"/>
      <c r="D106" s="15"/>
      <c r="E106" s="15"/>
      <c r="F106" s="410"/>
      <c r="G106" s="15"/>
      <c r="H106" s="15"/>
      <c r="I106" s="15"/>
    </row>
    <row r="107" spans="2:9" ht="15.75">
      <c r="B107" s="15"/>
      <c r="C107" s="15"/>
      <c r="D107" s="15"/>
      <c r="E107" s="15"/>
      <c r="F107" s="410"/>
      <c r="G107" s="15"/>
      <c r="H107" s="15"/>
      <c r="I107" s="15"/>
    </row>
    <row r="108" spans="2:9" ht="15.75">
      <c r="B108" s="15"/>
      <c r="C108" s="15"/>
      <c r="D108" s="15"/>
      <c r="E108" s="15"/>
      <c r="F108" s="410"/>
      <c r="G108" s="15"/>
      <c r="H108" s="15"/>
      <c r="I108" s="15"/>
    </row>
    <row r="109" spans="2:9" ht="15.75">
      <c r="B109" s="15"/>
      <c r="C109" s="15"/>
      <c r="D109" s="15"/>
      <c r="E109" s="15"/>
      <c r="F109" s="410"/>
      <c r="G109" s="15"/>
      <c r="H109" s="15"/>
      <c r="I109" s="15"/>
    </row>
    <row r="110" spans="2:9" ht="15.75">
      <c r="B110" s="15"/>
      <c r="C110" s="15"/>
      <c r="D110" s="15"/>
      <c r="E110" s="15"/>
      <c r="F110" s="410"/>
      <c r="G110" s="15"/>
      <c r="H110" s="15"/>
      <c r="I110" s="15"/>
    </row>
    <row r="111" spans="2:9" ht="15.75">
      <c r="B111" s="15"/>
      <c r="C111" s="15"/>
      <c r="D111" s="15"/>
      <c r="E111" s="15"/>
      <c r="F111" s="410"/>
      <c r="G111" s="15"/>
      <c r="H111" s="15"/>
      <c r="I111" s="15"/>
    </row>
    <row r="112" spans="2:9" ht="15.75">
      <c r="B112" s="15"/>
      <c r="C112" s="15"/>
      <c r="D112" s="15"/>
      <c r="E112" s="15"/>
      <c r="F112" s="410"/>
      <c r="G112" s="15"/>
      <c r="H112" s="15"/>
      <c r="I112" s="15"/>
    </row>
    <row r="113" spans="2:9" ht="15.75">
      <c r="B113" s="15"/>
      <c r="C113" s="15"/>
      <c r="D113" s="15"/>
      <c r="E113" s="15"/>
      <c r="F113" s="410"/>
      <c r="G113" s="15"/>
      <c r="H113" s="15"/>
      <c r="I113" s="15"/>
    </row>
    <row r="114" spans="2:9" ht="15.75">
      <c r="B114" s="15"/>
      <c r="C114" s="15"/>
      <c r="D114" s="15"/>
      <c r="E114" s="15"/>
      <c r="F114" s="410"/>
      <c r="G114" s="15"/>
      <c r="H114" s="15"/>
      <c r="I114" s="15"/>
    </row>
    <row r="115" spans="2:9" ht="15.75">
      <c r="B115" s="15"/>
      <c r="C115" s="15"/>
      <c r="D115" s="15"/>
      <c r="E115" s="15"/>
      <c r="F115" s="410"/>
      <c r="G115" s="15"/>
      <c r="H115" s="15"/>
      <c r="I115" s="15"/>
    </row>
    <row r="116" spans="2:9" ht="15.75">
      <c r="B116" s="15"/>
      <c r="C116" s="15"/>
      <c r="D116" s="15"/>
      <c r="E116" s="15"/>
      <c r="F116" s="410"/>
      <c r="G116" s="15"/>
      <c r="H116" s="15"/>
      <c r="I116" s="15"/>
    </row>
    <row r="117" spans="2:9" ht="15.75">
      <c r="B117" s="15"/>
      <c r="C117" s="15"/>
      <c r="D117" s="15"/>
      <c r="E117" s="15"/>
      <c r="F117" s="410"/>
      <c r="G117" s="15"/>
      <c r="H117" s="15"/>
      <c r="I117" s="15"/>
    </row>
    <row r="118" spans="2:9" ht="15.75">
      <c r="B118" s="15"/>
      <c r="C118" s="15"/>
      <c r="D118" s="15"/>
      <c r="E118" s="15"/>
      <c r="F118" s="410"/>
      <c r="G118" s="15"/>
      <c r="H118" s="15"/>
      <c r="I118" s="15"/>
    </row>
    <row r="119" spans="2:9" ht="15.75">
      <c r="B119" s="15"/>
      <c r="C119" s="15"/>
      <c r="D119" s="15"/>
      <c r="E119" s="15"/>
      <c r="F119" s="410"/>
      <c r="G119" s="15"/>
      <c r="H119" s="15"/>
      <c r="I119" s="15"/>
    </row>
    <row r="120" spans="2:9" ht="15.75">
      <c r="B120" s="15"/>
      <c r="C120" s="15"/>
      <c r="D120" s="15"/>
      <c r="E120" s="15"/>
      <c r="F120" s="410"/>
      <c r="G120" s="15"/>
      <c r="H120" s="15"/>
      <c r="I120" s="15"/>
    </row>
    <row r="121" spans="2:9" ht="15.75">
      <c r="B121" s="15"/>
      <c r="C121" s="15"/>
      <c r="D121" s="15"/>
      <c r="E121" s="15"/>
      <c r="F121" s="410"/>
      <c r="G121" s="15"/>
      <c r="H121" s="15"/>
      <c r="I121" s="15"/>
    </row>
    <row r="122" spans="2:9" ht="15.75">
      <c r="B122" s="15"/>
      <c r="C122" s="15"/>
      <c r="D122" s="15"/>
      <c r="E122" s="15"/>
      <c r="F122" s="410"/>
      <c r="G122" s="15"/>
      <c r="H122" s="15"/>
      <c r="I122" s="15"/>
    </row>
    <row r="123" spans="2:9" ht="15.75">
      <c r="B123" s="15"/>
      <c r="C123" s="15"/>
      <c r="D123" s="15"/>
      <c r="E123" s="15"/>
      <c r="F123" s="410"/>
      <c r="G123" s="15"/>
      <c r="H123" s="15"/>
      <c r="I123" s="15"/>
    </row>
    <row r="124" spans="2:9" ht="15.75">
      <c r="B124" s="15"/>
      <c r="C124" s="15"/>
      <c r="D124" s="15"/>
      <c r="E124" s="15"/>
      <c r="F124" s="410"/>
      <c r="G124" s="15"/>
      <c r="H124" s="15"/>
      <c r="I124" s="15"/>
    </row>
    <row r="125" spans="2:9" ht="15.75">
      <c r="B125" s="15"/>
      <c r="C125" s="15"/>
      <c r="D125" s="15"/>
      <c r="E125" s="15"/>
      <c r="F125" s="410"/>
      <c r="G125" s="15"/>
      <c r="H125" s="15"/>
      <c r="I125" s="15"/>
    </row>
    <row r="126" spans="2:9" ht="15.75">
      <c r="B126" s="15"/>
      <c r="C126" s="15"/>
      <c r="D126" s="15"/>
      <c r="E126" s="15"/>
      <c r="F126" s="410"/>
      <c r="G126" s="15"/>
      <c r="H126" s="15"/>
      <c r="I126" s="15"/>
    </row>
    <row r="127" spans="2:9" ht="15.75">
      <c r="B127" s="15"/>
      <c r="C127" s="15"/>
      <c r="D127" s="15"/>
      <c r="E127" s="15"/>
      <c r="F127" s="410"/>
      <c r="G127" s="15"/>
      <c r="H127" s="15"/>
      <c r="I127" s="15"/>
    </row>
    <row r="128" spans="2:9" ht="15.75">
      <c r="B128" s="15"/>
      <c r="C128" s="15"/>
      <c r="D128" s="15"/>
      <c r="E128" s="15"/>
      <c r="F128" s="410"/>
      <c r="G128" s="15"/>
      <c r="H128" s="15"/>
      <c r="I128" s="15"/>
    </row>
    <row r="129" spans="2:9" ht="15.75">
      <c r="B129" s="15"/>
      <c r="C129" s="15"/>
      <c r="D129" s="15"/>
      <c r="E129" s="15"/>
      <c r="F129" s="410"/>
      <c r="G129" s="15"/>
      <c r="H129" s="15"/>
      <c r="I129" s="15"/>
    </row>
    <row r="130" spans="2:9" ht="15.75">
      <c r="B130" s="15"/>
      <c r="C130" s="15"/>
      <c r="D130" s="15"/>
      <c r="E130" s="15"/>
      <c r="F130" s="410"/>
      <c r="G130" s="15"/>
      <c r="H130" s="15"/>
      <c r="I130" s="15"/>
    </row>
  </sheetData>
  <sheetProtection/>
  <mergeCells count="15">
    <mergeCell ref="A12:A14"/>
    <mergeCell ref="B12:B14"/>
    <mergeCell ref="C12:C14"/>
    <mergeCell ref="D12:D14"/>
    <mergeCell ref="E12:H12"/>
    <mergeCell ref="I12:I14"/>
    <mergeCell ref="E13:E14"/>
    <mergeCell ref="G13:G14"/>
    <mergeCell ref="H13:H14"/>
    <mergeCell ref="B30:C30"/>
    <mergeCell ref="B32:C32"/>
    <mergeCell ref="B10:I10"/>
    <mergeCell ref="I6:N6"/>
    <mergeCell ref="I8:N8"/>
    <mergeCell ref="I7:N7"/>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K19" sqref="K1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475</v>
      </c>
      <c r="J1" s="1" t="s">
        <v>267</v>
      </c>
      <c r="K1" s="297"/>
      <c r="L1" s="2" t="s">
        <v>475</v>
      </c>
    </row>
    <row r="2" spans="2:15" ht="15.75">
      <c r="B2" s="1"/>
      <c r="C2" s="1"/>
      <c r="D2" s="1"/>
      <c r="E2" s="1"/>
      <c r="F2" s="1"/>
      <c r="G2" s="1"/>
      <c r="H2" s="1"/>
      <c r="I2" s="3" t="s">
        <v>468</v>
      </c>
      <c r="J2" s="12" t="s">
        <v>615</v>
      </c>
      <c r="K2" s="12"/>
      <c r="L2" s="15"/>
      <c r="M2" s="12"/>
      <c r="N2" s="12"/>
      <c r="O2" s="12"/>
    </row>
    <row r="3" spans="2:15" ht="15.75">
      <c r="B3" s="1"/>
      <c r="C3" s="1"/>
      <c r="D3" s="1"/>
      <c r="E3" s="1"/>
      <c r="F3" s="1"/>
      <c r="G3" s="1"/>
      <c r="H3" s="1"/>
      <c r="I3" s="3"/>
      <c r="J3" s="12" t="s">
        <v>456</v>
      </c>
      <c r="K3" s="12"/>
      <c r="L3" s="15"/>
      <c r="M3" s="12"/>
      <c r="N3" s="12"/>
      <c r="O3" s="12"/>
    </row>
    <row r="4" spans="2:15" ht="15.75">
      <c r="B4" s="1"/>
      <c r="C4" s="1"/>
      <c r="D4" s="1"/>
      <c r="E4" s="1"/>
      <c r="F4" s="1"/>
      <c r="G4" s="1"/>
      <c r="H4" s="1"/>
      <c r="I4" s="3" t="s">
        <v>476</v>
      </c>
      <c r="J4" s="17" t="s">
        <v>161</v>
      </c>
      <c r="K4" s="17"/>
      <c r="L4" s="15"/>
      <c r="M4" s="12"/>
      <c r="N4" s="12"/>
      <c r="O4" s="12"/>
    </row>
    <row r="5" spans="2:15" ht="15.75">
      <c r="B5" s="1"/>
      <c r="C5" s="1"/>
      <c r="D5" s="1"/>
      <c r="E5" s="1"/>
      <c r="F5" s="1"/>
      <c r="G5" s="1"/>
      <c r="H5" s="1"/>
      <c r="I5" s="3" t="s">
        <v>477</v>
      </c>
      <c r="J5" s="17" t="s">
        <v>369</v>
      </c>
      <c r="K5" s="17"/>
      <c r="L5" s="15"/>
      <c r="M5" s="12"/>
      <c r="N5" s="12"/>
      <c r="O5" s="12"/>
    </row>
    <row r="6" spans="2:15" ht="15.75">
      <c r="B6" s="1"/>
      <c r="C6" s="1"/>
      <c r="D6" s="1"/>
      <c r="E6" s="1"/>
      <c r="F6" s="1"/>
      <c r="G6" s="1"/>
      <c r="H6" s="1"/>
      <c r="I6" s="3"/>
      <c r="J6" s="665" t="s">
        <v>453</v>
      </c>
      <c r="K6" s="665"/>
      <c r="L6" s="665"/>
      <c r="M6" s="665"/>
      <c r="N6" s="665"/>
      <c r="O6" s="665"/>
    </row>
    <row r="7" spans="2:15" ht="15.75">
      <c r="B7" s="1"/>
      <c r="C7" s="1"/>
      <c r="D7" s="1"/>
      <c r="E7" s="1"/>
      <c r="F7" s="1"/>
      <c r="G7" s="1"/>
      <c r="H7" s="9"/>
      <c r="I7" s="3"/>
      <c r="J7" s="665" t="s">
        <v>454</v>
      </c>
      <c r="K7" s="665"/>
      <c r="L7" s="665"/>
      <c r="M7" s="665"/>
      <c r="N7" s="665"/>
      <c r="O7" s="665"/>
    </row>
    <row r="8" spans="2:15" ht="16.5" customHeight="1">
      <c r="B8" s="1"/>
      <c r="C8" s="1"/>
      <c r="D8" s="1"/>
      <c r="E8" s="1"/>
      <c r="F8" s="1"/>
      <c r="G8" s="1"/>
      <c r="H8" s="1"/>
      <c r="I8" s="1"/>
      <c r="J8" s="665" t="s">
        <v>618</v>
      </c>
      <c r="K8" s="665"/>
      <c r="L8" s="438"/>
      <c r="M8" s="438"/>
      <c r="N8" s="438"/>
      <c r="O8" s="438"/>
    </row>
    <row r="9" spans="2:12" ht="35.25" customHeight="1">
      <c r="B9" s="654" t="s">
        <v>403</v>
      </c>
      <c r="C9" s="654"/>
      <c r="D9" s="654"/>
      <c r="E9" s="654"/>
      <c r="F9" s="654"/>
      <c r="G9" s="654"/>
      <c r="H9" s="654"/>
      <c r="I9" s="654"/>
      <c r="J9" s="654"/>
      <c r="K9" s="654"/>
      <c r="L9" s="1"/>
    </row>
    <row r="10" spans="2:12" ht="15.75">
      <c r="B10" s="1"/>
      <c r="C10" s="1"/>
      <c r="D10" s="707"/>
      <c r="E10" s="707"/>
      <c r="F10" s="707"/>
      <c r="G10" s="707"/>
      <c r="H10" s="707"/>
      <c r="I10" s="1"/>
      <c r="J10" s="1"/>
      <c r="K10" s="44" t="s">
        <v>115</v>
      </c>
      <c r="L10" s="1"/>
    </row>
    <row r="11" spans="1:12" ht="25.5" customHeight="1">
      <c r="A11" s="702" t="s">
        <v>486</v>
      </c>
      <c r="B11" s="702" t="s">
        <v>469</v>
      </c>
      <c r="C11" s="702" t="s">
        <v>470</v>
      </c>
      <c r="D11" s="702" t="s">
        <v>107</v>
      </c>
      <c r="E11" s="705" t="s">
        <v>466</v>
      </c>
      <c r="F11" s="705"/>
      <c r="G11" s="705"/>
      <c r="H11" s="705"/>
      <c r="I11" s="705"/>
      <c r="J11" s="706"/>
      <c r="K11" s="691" t="s">
        <v>472</v>
      </c>
      <c r="L11" s="1"/>
    </row>
    <row r="12" spans="1:12" ht="15.75">
      <c r="A12" s="704"/>
      <c r="B12" s="704"/>
      <c r="C12" s="704"/>
      <c r="D12" s="704"/>
      <c r="E12" s="702">
        <v>2022</v>
      </c>
      <c r="F12" s="702">
        <v>2023</v>
      </c>
      <c r="G12" s="702" t="s">
        <v>481</v>
      </c>
      <c r="H12" s="702" t="s">
        <v>482</v>
      </c>
      <c r="I12" s="702" t="s">
        <v>483</v>
      </c>
      <c r="J12" s="691">
        <v>2024</v>
      </c>
      <c r="K12" s="691"/>
      <c r="L12" s="1"/>
    </row>
    <row r="13" spans="1:12" ht="15.75">
      <c r="A13" s="703"/>
      <c r="B13" s="703"/>
      <c r="C13" s="703"/>
      <c r="D13" s="703"/>
      <c r="E13" s="703"/>
      <c r="F13" s="703"/>
      <c r="G13" s="703"/>
      <c r="H13" s="703"/>
      <c r="I13" s="703"/>
      <c r="J13" s="691"/>
      <c r="K13" s="691"/>
      <c r="L13" s="1"/>
    </row>
    <row r="14" spans="1:12" ht="70.5" customHeight="1">
      <c r="A14" s="274">
        <v>1</v>
      </c>
      <c r="B14" s="313" t="s">
        <v>25</v>
      </c>
      <c r="C14" s="168" t="s">
        <v>195</v>
      </c>
      <c r="D14" s="473">
        <f>E14+F14+J14</f>
        <v>4484.4</v>
      </c>
      <c r="E14" s="474">
        <f>1894.3-400-326.1</f>
        <v>1168.1999999999998</v>
      </c>
      <c r="F14" s="475">
        <f>2007.9-400</f>
        <v>1607.9</v>
      </c>
      <c r="G14" s="474"/>
      <c r="H14" s="474"/>
      <c r="I14" s="474"/>
      <c r="J14" s="474">
        <f>2108.3-400</f>
        <v>1708.3000000000002</v>
      </c>
      <c r="K14" s="274" t="s">
        <v>40</v>
      </c>
      <c r="L14" s="1"/>
    </row>
    <row r="15" spans="1:12" ht="32.25" customHeight="1">
      <c r="A15" s="76"/>
      <c r="B15" s="54" t="s">
        <v>463</v>
      </c>
      <c r="C15" s="55"/>
      <c r="D15" s="473">
        <f>E15+F15+J15</f>
        <v>4484.4</v>
      </c>
      <c r="E15" s="473">
        <f aca="true" t="shared" si="0" ref="E15:J15">E14</f>
        <v>1168.1999999999998</v>
      </c>
      <c r="F15" s="473">
        <f t="shared" si="0"/>
        <v>1607.9</v>
      </c>
      <c r="G15" s="473">
        <f t="shared" si="0"/>
        <v>0</v>
      </c>
      <c r="H15" s="473">
        <f t="shared" si="0"/>
        <v>0</v>
      </c>
      <c r="I15" s="473">
        <f t="shared" si="0"/>
        <v>0</v>
      </c>
      <c r="J15" s="473">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699" t="s">
        <v>150</v>
      </c>
      <c r="C19" s="699"/>
      <c r="D19" s="243"/>
      <c r="E19" s="8"/>
      <c r="F19" s="8"/>
      <c r="G19" s="9"/>
      <c r="H19" s="9"/>
      <c r="I19" s="9"/>
      <c r="J19" s="46"/>
      <c r="K19" s="169" t="s">
        <v>616</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701" t="s">
        <v>159</v>
      </c>
      <c r="C22" s="701"/>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8:K8"/>
    <mergeCell ref="A11:A13"/>
    <mergeCell ref="B11:B13"/>
    <mergeCell ref="E11:J11"/>
    <mergeCell ref="J12:J13"/>
    <mergeCell ref="B9:K9"/>
    <mergeCell ref="D10:H10"/>
    <mergeCell ref="I12:I13"/>
    <mergeCell ref="C11:C13"/>
    <mergeCell ref="J6:O6"/>
    <mergeCell ref="B19:C19"/>
    <mergeCell ref="B22:C22"/>
    <mergeCell ref="K11:K13"/>
    <mergeCell ref="E12:E13"/>
    <mergeCell ref="F12:F13"/>
    <mergeCell ref="G12:G13"/>
    <mergeCell ref="H12:H13"/>
    <mergeCell ref="D11:D13"/>
    <mergeCell ref="J7:O7"/>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E15" sqref="E15"/>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475</v>
      </c>
      <c r="J1" s="1" t="s">
        <v>412</v>
      </c>
      <c r="K1" s="297"/>
    </row>
    <row r="2" spans="2:15" ht="15.75">
      <c r="B2" s="15"/>
      <c r="C2" s="15"/>
      <c r="D2" s="15"/>
      <c r="E2" s="15"/>
      <c r="F2" s="15"/>
      <c r="G2" s="15"/>
      <c r="H2" s="15"/>
      <c r="I2" s="12" t="s">
        <v>468</v>
      </c>
      <c r="J2" s="12" t="s">
        <v>615</v>
      </c>
      <c r="K2" s="12"/>
      <c r="L2" s="15"/>
      <c r="M2" s="12"/>
      <c r="N2" s="12"/>
      <c r="O2" s="12"/>
    </row>
    <row r="3" spans="2:15" ht="15.75">
      <c r="B3" s="15"/>
      <c r="C3" s="15"/>
      <c r="D3" s="15"/>
      <c r="E3" s="15"/>
      <c r="F3" s="15"/>
      <c r="G3" s="15"/>
      <c r="H3" s="15"/>
      <c r="I3" s="12"/>
      <c r="J3" s="12" t="s">
        <v>456</v>
      </c>
      <c r="K3" s="12"/>
      <c r="L3" s="15"/>
      <c r="M3" s="12"/>
      <c r="N3" s="12"/>
      <c r="O3" s="12"/>
    </row>
    <row r="4" spans="2:15" ht="15.75">
      <c r="B4" s="15"/>
      <c r="C4" s="15"/>
      <c r="D4" s="15"/>
      <c r="E4" s="15"/>
      <c r="F4" s="15"/>
      <c r="G4" s="15"/>
      <c r="H4" s="15"/>
      <c r="I4" s="12" t="s">
        <v>476</v>
      </c>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c r="J6" s="665" t="s">
        <v>453</v>
      </c>
      <c r="K6" s="665"/>
      <c r="L6" s="665"/>
      <c r="M6" s="665"/>
      <c r="N6" s="665"/>
      <c r="O6" s="665"/>
    </row>
    <row r="7" spans="2:15" ht="18.75" customHeight="1">
      <c r="B7" s="15"/>
      <c r="C7" s="15"/>
      <c r="D7" s="15"/>
      <c r="E7" s="15"/>
      <c r="F7" s="15"/>
      <c r="G7" s="15"/>
      <c r="H7" s="15"/>
      <c r="I7" s="12"/>
      <c r="J7" s="665" t="s">
        <v>454</v>
      </c>
      <c r="K7" s="665"/>
      <c r="L7" s="665"/>
      <c r="M7" s="665"/>
      <c r="N7" s="665"/>
      <c r="O7" s="665"/>
    </row>
    <row r="8" spans="2:15" ht="15.75" customHeight="1">
      <c r="B8" s="15"/>
      <c r="C8" s="15"/>
      <c r="D8" s="15"/>
      <c r="E8" s="15"/>
      <c r="F8" s="15"/>
      <c r="G8" s="15"/>
      <c r="H8" s="16"/>
      <c r="I8" s="12" t="s">
        <v>478</v>
      </c>
      <c r="J8" s="665" t="s">
        <v>618</v>
      </c>
      <c r="K8" s="665"/>
      <c r="L8" s="438"/>
      <c r="M8" s="438"/>
      <c r="N8" s="438"/>
      <c r="O8" s="438"/>
    </row>
    <row r="9" spans="2:15" ht="15.75">
      <c r="B9" s="15"/>
      <c r="C9" s="15"/>
      <c r="D9" s="15"/>
      <c r="E9" s="15"/>
      <c r="F9" s="15"/>
      <c r="G9" s="15"/>
      <c r="H9" s="15"/>
      <c r="I9" s="15"/>
      <c r="J9" s="665"/>
      <c r="K9" s="665"/>
      <c r="L9" s="438"/>
      <c r="M9" s="438"/>
      <c r="N9" s="438"/>
      <c r="O9" s="438"/>
    </row>
    <row r="10" spans="2:11" ht="42" customHeight="1">
      <c r="B10" s="666" t="s">
        <v>404</v>
      </c>
      <c r="C10" s="666"/>
      <c r="D10" s="666"/>
      <c r="E10" s="666"/>
      <c r="F10" s="666"/>
      <c r="G10" s="666"/>
      <c r="H10" s="666"/>
      <c r="I10" s="666"/>
      <c r="J10" s="666"/>
      <c r="K10" s="666"/>
    </row>
    <row r="11" spans="2:11" ht="37.5" customHeight="1">
      <c r="B11" s="15"/>
      <c r="C11" s="15"/>
      <c r="D11" s="676"/>
      <c r="E11" s="676"/>
      <c r="F11" s="676"/>
      <c r="G11" s="676"/>
      <c r="H11" s="676"/>
      <c r="I11" s="15"/>
      <c r="J11" s="15"/>
      <c r="K11" s="273" t="s">
        <v>114</v>
      </c>
    </row>
    <row r="12" spans="1:11" ht="15.75" customHeight="1">
      <c r="A12" s="667" t="s">
        <v>464</v>
      </c>
      <c r="B12" s="667" t="s">
        <v>469</v>
      </c>
      <c r="C12" s="667" t="s">
        <v>470</v>
      </c>
      <c r="D12" s="667" t="s">
        <v>107</v>
      </c>
      <c r="E12" s="677" t="s">
        <v>466</v>
      </c>
      <c r="F12" s="677"/>
      <c r="G12" s="677"/>
      <c r="H12" s="677"/>
      <c r="I12" s="677"/>
      <c r="J12" s="708"/>
      <c r="K12" s="674" t="s">
        <v>472</v>
      </c>
    </row>
    <row r="13" spans="1:11" ht="12.75">
      <c r="A13" s="668"/>
      <c r="B13" s="668"/>
      <c r="C13" s="668"/>
      <c r="D13" s="668"/>
      <c r="E13" s="667">
        <v>2022</v>
      </c>
      <c r="F13" s="667">
        <v>2023</v>
      </c>
      <c r="G13" s="667" t="s">
        <v>481</v>
      </c>
      <c r="H13" s="667" t="s">
        <v>482</v>
      </c>
      <c r="I13" s="667" t="s">
        <v>483</v>
      </c>
      <c r="J13" s="674">
        <v>2024</v>
      </c>
      <c r="K13" s="674"/>
    </row>
    <row r="14" spans="1:11" ht="21.75" customHeight="1">
      <c r="A14" s="669"/>
      <c r="B14" s="669"/>
      <c r="C14" s="669"/>
      <c r="D14" s="669"/>
      <c r="E14" s="669"/>
      <c r="F14" s="669"/>
      <c r="G14" s="669"/>
      <c r="H14" s="669"/>
      <c r="I14" s="669"/>
      <c r="J14" s="674"/>
      <c r="K14" s="674"/>
    </row>
    <row r="15" spans="1:12" ht="60" customHeight="1">
      <c r="A15" s="35">
        <v>1</v>
      </c>
      <c r="B15" s="58" t="s">
        <v>368</v>
      </c>
      <c r="C15" s="171" t="s">
        <v>195</v>
      </c>
      <c r="D15" s="94">
        <f>SUM(E15:J15)</f>
        <v>40977.1</v>
      </c>
      <c r="E15" s="95">
        <f>21112.4-6000-8012.4</f>
        <v>7100.000000000002</v>
      </c>
      <c r="F15" s="96">
        <f>22379.1-6000</f>
        <v>16379.099999999999</v>
      </c>
      <c r="G15" s="95"/>
      <c r="H15" s="95"/>
      <c r="I15" s="95"/>
      <c r="J15" s="440">
        <f>23498-6000</f>
        <v>17498</v>
      </c>
      <c r="K15" s="166" t="s">
        <v>40</v>
      </c>
      <c r="L15" s="14" t="s">
        <v>347</v>
      </c>
    </row>
    <row r="16" spans="1:11" ht="27.75" customHeight="1">
      <c r="A16" s="66"/>
      <c r="B16" s="57" t="s">
        <v>463</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1" customFormat="1" ht="36.75" customHeight="1">
      <c r="B19" s="348" t="s">
        <v>474</v>
      </c>
      <c r="C19" s="348"/>
      <c r="D19" s="348"/>
      <c r="E19" s="350"/>
      <c r="F19" s="350"/>
      <c r="J19" s="363"/>
      <c r="K19" s="169" t="s">
        <v>616</v>
      </c>
    </row>
    <row r="20" spans="2:11" ht="15" customHeight="1">
      <c r="B20" s="21"/>
      <c r="C20" s="21"/>
      <c r="D20" s="21"/>
      <c r="E20" s="22"/>
      <c r="F20" s="22"/>
      <c r="J20" s="23"/>
      <c r="K20" s="24"/>
    </row>
    <row r="21" spans="2:11" ht="18.75">
      <c r="B21" s="253" t="s">
        <v>159</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F13:F14"/>
    <mergeCell ref="G13:G14"/>
    <mergeCell ref="D11:H11"/>
    <mergeCell ref="A12:A14"/>
    <mergeCell ref="B12:B14"/>
    <mergeCell ref="C12:C14"/>
    <mergeCell ref="D12:D14"/>
    <mergeCell ref="E12:J12"/>
    <mergeCell ref="J6:O6"/>
    <mergeCell ref="J7:O7"/>
    <mergeCell ref="J8:K8"/>
    <mergeCell ref="J9:K9"/>
    <mergeCell ref="H13:H14"/>
    <mergeCell ref="I13:I14"/>
    <mergeCell ref="J13:J14"/>
    <mergeCell ref="B10:K10"/>
    <mergeCell ref="K12:K14"/>
    <mergeCell ref="E13:E14"/>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2022-12-15T07:45:59Z</cp:lastPrinted>
  <dcterms:created xsi:type="dcterms:W3CDTF">1996-10-08T23:32:33Z</dcterms:created>
  <dcterms:modified xsi:type="dcterms:W3CDTF">2022-12-15T08:04:10Z</dcterms:modified>
  <cp:category/>
  <cp:version/>
  <cp:contentType/>
  <cp:contentStatus/>
</cp:coreProperties>
</file>