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9185" windowHeight="7515" firstSheet="1" activeTab="2"/>
  </bookViews>
  <sheets>
    <sheet name="Додаток 1" sheetId="10" state="hidden" r:id="rId1"/>
    <sheet name="Додаток 3" sheetId="25" r:id="rId2"/>
    <sheet name="Додаток 4" sheetId="14" r:id="rId3"/>
    <sheet name="порівняльна" sheetId="29" r:id="rId4"/>
  </sheets>
  <definedNames>
    <definedName name="_xlnm._FilterDatabase" localSheetId="1" hidden="1">'Додаток 3'!$A$7:$L$352</definedName>
    <definedName name="_xlnm.Print_Titles" localSheetId="1">'Додаток 3'!$7:$10</definedName>
    <definedName name="_xlnm.Print_Titles" localSheetId="2">'Додаток 4'!$7:$11</definedName>
    <definedName name="_xlnm.Print_Area" localSheetId="0">'Додаток 1'!$A$1:$C$28</definedName>
    <definedName name="_xlnm.Print_Area" localSheetId="1">'Додаток 3'!$A$1:$L$354</definedName>
    <definedName name="_xlnm.Print_Area" localSheetId="2">'Додаток 4'!$A$1:$K$332</definedName>
    <definedName name="_xlnm.Print_Area" localSheetId="3">порівняльна!$A$1:$I$29</definedName>
  </definedNames>
  <calcPr calcId="125725"/>
</workbook>
</file>

<file path=xl/calcChain.xml><?xml version="1.0" encoding="utf-8"?>
<calcChain xmlns="http://schemas.openxmlformats.org/spreadsheetml/2006/main">
  <c r="I187" i="25"/>
  <c r="I215" s="1"/>
  <c r="I327" s="1"/>
  <c r="J187"/>
  <c r="J215" s="1"/>
  <c r="J327" s="1"/>
  <c r="K187"/>
  <c r="K215" s="1"/>
  <c r="K327" s="1"/>
  <c r="J186"/>
  <c r="K186"/>
  <c r="I186"/>
  <c r="J185"/>
  <c r="J211" s="1"/>
  <c r="J320" s="1"/>
  <c r="K185"/>
  <c r="K211" s="1"/>
  <c r="K320" s="1"/>
  <c r="I185"/>
  <c r="I211" s="1"/>
  <c r="I320" s="1"/>
  <c r="J184"/>
  <c r="K184"/>
  <c r="J183"/>
  <c r="J207" s="1"/>
  <c r="J313" s="1"/>
  <c r="K183"/>
  <c r="K207" s="1"/>
  <c r="K313" s="1"/>
  <c r="I183"/>
  <c r="I207" s="1"/>
  <c r="I313" s="1"/>
  <c r="J182"/>
  <c r="K182"/>
  <c r="I182"/>
  <c r="J178"/>
  <c r="K178"/>
  <c r="J179"/>
  <c r="J197" s="1"/>
  <c r="J296" s="1"/>
  <c r="K179"/>
  <c r="K197" s="1"/>
  <c r="K296" s="1"/>
  <c r="I179"/>
  <c r="I197" s="1"/>
  <c r="I296" s="1"/>
  <c r="C320" i="14"/>
  <c r="K177" i="25" l="1"/>
  <c r="J177"/>
  <c r="C246" i="14"/>
  <c r="C245"/>
  <c r="D243"/>
  <c r="C243" s="1"/>
  <c r="D242"/>
  <c r="C242" s="1"/>
  <c r="C240"/>
  <c r="C239"/>
  <c r="C238"/>
  <c r="D159"/>
  <c r="C159" s="1"/>
  <c r="J160" i="25"/>
  <c r="K160"/>
  <c r="I160"/>
  <c r="M214"/>
  <c r="M206"/>
  <c r="J78"/>
  <c r="K78"/>
  <c r="J70"/>
  <c r="K70"/>
  <c r="H65"/>
  <c r="H63" s="1"/>
  <c r="H64"/>
  <c r="I63"/>
  <c r="D156" i="14" s="1"/>
  <c r="J63" i="25"/>
  <c r="K63"/>
  <c r="G17" i="29"/>
  <c r="F17"/>
  <c r="G10"/>
  <c r="F10"/>
  <c r="G16"/>
  <c r="F16"/>
  <c r="J167" i="25"/>
  <c r="K167"/>
  <c r="I191"/>
  <c r="M227" s="1"/>
  <c r="I190"/>
  <c r="M224" s="1"/>
  <c r="I189"/>
  <c r="M221" s="1"/>
  <c r="I188"/>
  <c r="M218" s="1"/>
  <c r="I181"/>
  <c r="M203" s="1"/>
  <c r="I180"/>
  <c r="M200" s="1"/>
  <c r="H169"/>
  <c r="H170"/>
  <c r="H171"/>
  <c r="H172"/>
  <c r="H173"/>
  <c r="H174"/>
  <c r="H175"/>
  <c r="H176"/>
  <c r="H168"/>
  <c r="I167"/>
  <c r="E318" i="14" s="1"/>
  <c r="E322" s="1"/>
  <c r="C322" s="1"/>
  <c r="E12" i="29"/>
  <c r="I120" i="25"/>
  <c r="H120" s="1"/>
  <c r="G14" i="29"/>
  <c r="F13"/>
  <c r="E10"/>
  <c r="I206" i="25"/>
  <c r="I310" s="1"/>
  <c r="H165"/>
  <c r="H166"/>
  <c r="H164"/>
  <c r="H163"/>
  <c r="H187" s="1"/>
  <c r="H215" s="1"/>
  <c r="H327" s="1"/>
  <c r="I200" l="1"/>
  <c r="C318" i="14"/>
  <c r="B318" s="1"/>
  <c r="H167" i="25"/>
  <c r="D161" i="14"/>
  <c r="C161" s="1"/>
  <c r="C156"/>
  <c r="B156" s="1"/>
  <c r="C311"/>
  <c r="K309"/>
  <c r="K296"/>
  <c r="K297"/>
  <c r="K298"/>
  <c r="K299"/>
  <c r="K295"/>
  <c r="H296"/>
  <c r="H297"/>
  <c r="H298"/>
  <c r="H299"/>
  <c r="H295"/>
  <c r="E296"/>
  <c r="E297"/>
  <c r="E298"/>
  <c r="E299"/>
  <c r="E295"/>
  <c r="H162" i="25"/>
  <c r="H185" s="1"/>
  <c r="H211" s="1"/>
  <c r="H320" s="1"/>
  <c r="H161"/>
  <c r="H309" i="14"/>
  <c r="D147"/>
  <c r="C147" s="1"/>
  <c r="C151" s="1"/>
  <c r="I157" i="25"/>
  <c r="J76"/>
  <c r="K76"/>
  <c r="H62"/>
  <c r="I178" l="1"/>
  <c r="I184"/>
  <c r="M210" s="1"/>
  <c r="H179"/>
  <c r="H197" s="1"/>
  <c r="H183"/>
  <c r="H207" s="1"/>
  <c r="H313" s="1"/>
  <c r="H160"/>
  <c r="C309" i="14" s="1"/>
  <c r="C313" s="1"/>
  <c r="E309"/>
  <c r="E313" s="1"/>
  <c r="B309"/>
  <c r="D151"/>
  <c r="B147"/>
  <c r="J193" i="25"/>
  <c r="J231" s="1"/>
  <c r="J351" s="1"/>
  <c r="K193"/>
  <c r="K231" s="1"/>
  <c r="K351" s="1"/>
  <c r="I193"/>
  <c r="I192"/>
  <c r="M230" s="1"/>
  <c r="J133"/>
  <c r="K133"/>
  <c r="I133"/>
  <c r="H135"/>
  <c r="H193" l="1"/>
  <c r="H231" s="1"/>
  <c r="H351" s="1"/>
  <c r="M231"/>
  <c r="M196" s="1"/>
  <c r="H296"/>
  <c r="M197"/>
  <c r="I196"/>
  <c r="I177"/>
  <c r="I210"/>
  <c r="I316" s="1"/>
  <c r="I231"/>
  <c r="I351" s="1"/>
  <c r="I84"/>
  <c r="I53"/>
  <c r="I50"/>
  <c r="J218" i="14"/>
  <c r="J217"/>
  <c r="J216"/>
  <c r="G218"/>
  <c r="G217"/>
  <c r="G216"/>
  <c r="D216"/>
  <c r="J346" i="25"/>
  <c r="K346"/>
  <c r="I347"/>
  <c r="I346"/>
  <c r="D218" i="14"/>
  <c r="D217"/>
  <c r="I342" i="25"/>
  <c r="J342"/>
  <c r="K342"/>
  <c r="I268" l="1"/>
  <c r="I294" s="1"/>
  <c r="I306" l="1"/>
  <c r="J306"/>
  <c r="K306"/>
  <c r="H289" l="1"/>
  <c r="H288"/>
  <c r="H342" s="1"/>
  <c r="H285"/>
  <c r="I280"/>
  <c r="J280"/>
  <c r="K280"/>
  <c r="K331"/>
  <c r="J347"/>
  <c r="K347"/>
  <c r="H347"/>
  <c r="I341"/>
  <c r="J341"/>
  <c r="K341"/>
  <c r="I336"/>
  <c r="J336"/>
  <c r="K336"/>
  <c r="I337"/>
  <c r="J337"/>
  <c r="K337"/>
  <c r="I331"/>
  <c r="J331"/>
  <c r="I332"/>
  <c r="J332"/>
  <c r="K332"/>
  <c r="I324"/>
  <c r="J324"/>
  <c r="K324"/>
  <c r="I325"/>
  <c r="J325"/>
  <c r="K325"/>
  <c r="I318"/>
  <c r="J318"/>
  <c r="K318"/>
  <c r="I319"/>
  <c r="J319"/>
  <c r="K319"/>
  <c r="I311"/>
  <c r="J311"/>
  <c r="K311"/>
  <c r="I312"/>
  <c r="J312"/>
  <c r="K312"/>
  <c r="I307"/>
  <c r="J307"/>
  <c r="K307"/>
  <c r="I301"/>
  <c r="J301"/>
  <c r="K301"/>
  <c r="I302"/>
  <c r="J302"/>
  <c r="K302"/>
  <c r="D269" i="14"/>
  <c r="H248"/>
  <c r="E248"/>
  <c r="D267"/>
  <c r="J186"/>
  <c r="G186"/>
  <c r="D186"/>
  <c r="I185"/>
  <c r="F185"/>
  <c r="C185"/>
  <c r="C99"/>
  <c r="I246" i="25" l="1"/>
  <c r="I292" s="1"/>
  <c r="I245" l="1"/>
  <c r="G256" i="14" l="1"/>
  <c r="J256"/>
  <c r="D256"/>
  <c r="I97"/>
  <c r="I99"/>
  <c r="I100"/>
  <c r="I101"/>
  <c r="I102"/>
  <c r="I103"/>
  <c r="I105"/>
  <c r="I106"/>
  <c r="I96"/>
  <c r="F96"/>
  <c r="F106"/>
  <c r="F105"/>
  <c r="F103"/>
  <c r="F102"/>
  <c r="F100"/>
  <c r="F99"/>
  <c r="F97"/>
  <c r="C97"/>
  <c r="C100"/>
  <c r="C102"/>
  <c r="C103"/>
  <c r="C105"/>
  <c r="C106"/>
  <c r="C96"/>
  <c r="I257"/>
  <c r="I258"/>
  <c r="I260"/>
  <c r="I261"/>
  <c r="I262"/>
  <c r="I263"/>
  <c r="I254"/>
  <c r="F257"/>
  <c r="F258"/>
  <c r="F260"/>
  <c r="F261"/>
  <c r="F262"/>
  <c r="F263"/>
  <c r="F254"/>
  <c r="J267"/>
  <c r="I267" s="1"/>
  <c r="J266"/>
  <c r="I266" s="1"/>
  <c r="J265"/>
  <c r="I265" s="1"/>
  <c r="G267"/>
  <c r="F267" s="1"/>
  <c r="G266"/>
  <c r="F266" s="1"/>
  <c r="G265"/>
  <c r="F265" s="1"/>
  <c r="C267"/>
  <c r="D266"/>
  <c r="C266" s="1"/>
  <c r="D265"/>
  <c r="C265" s="1"/>
  <c r="C257"/>
  <c r="C258"/>
  <c r="C260"/>
  <c r="C261"/>
  <c r="C262"/>
  <c r="C263"/>
  <c r="C254"/>
  <c r="C256" l="1"/>
  <c r="F256"/>
  <c r="I256"/>
  <c r="C81"/>
  <c r="D79"/>
  <c r="D83" s="1"/>
  <c r="I254" i="25" l="1"/>
  <c r="I293" s="1"/>
  <c r="J190" i="14" l="1"/>
  <c r="J194" s="1"/>
  <c r="G190"/>
  <c r="G194" s="1"/>
  <c r="E15"/>
  <c r="H15"/>
  <c r="K15"/>
  <c r="I179"/>
  <c r="I180"/>
  <c r="I181"/>
  <c r="I182"/>
  <c r="I183"/>
  <c r="I178"/>
  <c r="F179"/>
  <c r="F181"/>
  <c r="F182"/>
  <c r="F183"/>
  <c r="F178"/>
  <c r="C179"/>
  <c r="C181"/>
  <c r="C182"/>
  <c r="C183"/>
  <c r="C178"/>
  <c r="J229"/>
  <c r="G229"/>
  <c r="D229"/>
  <c r="J204"/>
  <c r="I204" s="1"/>
  <c r="G204"/>
  <c r="F204" s="1"/>
  <c r="D204"/>
  <c r="J36"/>
  <c r="G36"/>
  <c r="D36"/>
  <c r="I281"/>
  <c r="I282"/>
  <c r="I283"/>
  <c r="I284"/>
  <c r="I285"/>
  <c r="F281"/>
  <c r="F282"/>
  <c r="F283"/>
  <c r="F284"/>
  <c r="F285"/>
  <c r="C281"/>
  <c r="C282"/>
  <c r="C283"/>
  <c r="C284"/>
  <c r="C285"/>
  <c r="I287"/>
  <c r="I288"/>
  <c r="I289"/>
  <c r="I290"/>
  <c r="I291"/>
  <c r="I292"/>
  <c r="F287"/>
  <c r="F288"/>
  <c r="F289"/>
  <c r="F290"/>
  <c r="F291"/>
  <c r="F292"/>
  <c r="C287"/>
  <c r="C288"/>
  <c r="C289"/>
  <c r="C290"/>
  <c r="C291"/>
  <c r="C292"/>
  <c r="F117"/>
  <c r="I117"/>
  <c r="C117"/>
  <c r="I112"/>
  <c r="F112"/>
  <c r="C112"/>
  <c r="I111"/>
  <c r="F111"/>
  <c r="C111"/>
  <c r="F186" l="1"/>
  <c r="C186"/>
  <c r="I186"/>
  <c r="J197"/>
  <c r="I197" s="1"/>
  <c r="E275" l="1"/>
  <c r="J236" l="1"/>
  <c r="G236"/>
  <c r="D236"/>
  <c r="I190"/>
  <c r="I194" s="1"/>
  <c r="F190"/>
  <c r="F194" s="1"/>
  <c r="J176"/>
  <c r="J187" s="1"/>
  <c r="G176"/>
  <c r="G187" s="1"/>
  <c r="D176"/>
  <c r="J165"/>
  <c r="J169" s="1"/>
  <c r="G165"/>
  <c r="G169" s="1"/>
  <c r="J95"/>
  <c r="G95"/>
  <c r="D95"/>
  <c r="J86"/>
  <c r="G86"/>
  <c r="F86" s="1"/>
  <c r="D86"/>
  <c r="J172" l="1"/>
  <c r="I172" s="1"/>
  <c r="F236"/>
  <c r="C236"/>
  <c r="I86"/>
  <c r="J90"/>
  <c r="F95"/>
  <c r="I95"/>
  <c r="C95"/>
  <c r="C86"/>
  <c r="D90"/>
  <c r="I236"/>
  <c r="G90"/>
  <c r="C176"/>
  <c r="I176"/>
  <c r="I187" s="1"/>
  <c r="I165"/>
  <c r="I169" s="1"/>
  <c r="F176"/>
  <c r="F187" s="1"/>
  <c r="F165"/>
  <c r="F169" s="1"/>
  <c r="J70"/>
  <c r="G70"/>
  <c r="D70"/>
  <c r="B236" l="1"/>
  <c r="D74"/>
  <c r="D76"/>
  <c r="C76" s="1"/>
  <c r="G74"/>
  <c r="G76"/>
  <c r="F76" s="1"/>
  <c r="J74"/>
  <c r="J76"/>
  <c r="I76" s="1"/>
  <c r="B86"/>
  <c r="B95"/>
  <c r="F70"/>
  <c r="B176"/>
  <c r="I70"/>
  <c r="C70"/>
  <c r="C79"/>
  <c r="H284" i="25"/>
  <c r="H319" l="1"/>
  <c r="C83" i="14"/>
  <c r="B79"/>
  <c r="B70"/>
  <c r="C74"/>
  <c r="H247" i="25"/>
  <c r="K130"/>
  <c r="J130"/>
  <c r="J41"/>
  <c r="G60" i="14" s="1"/>
  <c r="I130" i="25"/>
  <c r="M229" s="1"/>
  <c r="I42"/>
  <c r="I70" s="1"/>
  <c r="I44"/>
  <c r="I46"/>
  <c r="I78" s="1"/>
  <c r="I45"/>
  <c r="I76" s="1"/>
  <c r="I97" s="1"/>
  <c r="M209" s="1"/>
  <c r="I43"/>
  <c r="I17"/>
  <c r="I16"/>
  <c r="I85"/>
  <c r="I80"/>
  <c r="D165" i="14" s="1"/>
  <c r="D169" s="1"/>
  <c r="I77" i="25" l="1"/>
  <c r="I209"/>
  <c r="I96"/>
  <c r="D172" i="14"/>
  <c r="C172" s="1"/>
  <c r="G172"/>
  <c r="F172" s="1"/>
  <c r="G64"/>
  <c r="C165"/>
  <c r="C169" s="1"/>
  <c r="D190"/>
  <c r="I87" i="25"/>
  <c r="F60" i="14"/>
  <c r="F64" s="1"/>
  <c r="D187" l="1"/>
  <c r="D194"/>
  <c r="D197"/>
  <c r="C197" s="1"/>
  <c r="G197"/>
  <c r="F197" s="1"/>
  <c r="C190"/>
  <c r="B165"/>
  <c r="K145" i="25"/>
  <c r="C187" i="14" l="1"/>
  <c r="C194"/>
  <c r="B190"/>
  <c r="H159" i="25"/>
  <c r="H157"/>
  <c r="J145" l="1"/>
  <c r="H79" l="1"/>
  <c r="I24" l="1"/>
  <c r="H23"/>
  <c r="H17"/>
  <c r="H16"/>
  <c r="H15" l="1"/>
  <c r="J180"/>
  <c r="K180"/>
  <c r="I156"/>
  <c r="E302" i="14" s="1"/>
  <c r="E306" s="1"/>
  <c r="J156" i="25"/>
  <c r="K156"/>
  <c r="C137" i="14"/>
  <c r="C138"/>
  <c r="C136"/>
  <c r="I137"/>
  <c r="I138"/>
  <c r="I136"/>
  <c r="F137"/>
  <c r="F138"/>
  <c r="F136"/>
  <c r="H180" i="25" l="1"/>
  <c r="J132" i="14"/>
  <c r="J140" s="1"/>
  <c r="I140" s="1"/>
  <c r="J133"/>
  <c r="J141" s="1"/>
  <c r="I141" s="1"/>
  <c r="J134"/>
  <c r="J142" s="1"/>
  <c r="I142" s="1"/>
  <c r="G132"/>
  <c r="G140" s="1"/>
  <c r="G133"/>
  <c r="G141" s="1"/>
  <c r="G134"/>
  <c r="G142" s="1"/>
  <c r="D133"/>
  <c r="D141" s="1"/>
  <c r="C141" s="1"/>
  <c r="D134"/>
  <c r="D142" s="1"/>
  <c r="C142" s="1"/>
  <c r="D132"/>
  <c r="C132" s="1"/>
  <c r="D140" l="1"/>
  <c r="C140" s="1"/>
  <c r="I134"/>
  <c r="I132"/>
  <c r="F133"/>
  <c r="C134"/>
  <c r="I133"/>
  <c r="F134"/>
  <c r="F132"/>
  <c r="C133"/>
  <c r="J58" i="25" l="1"/>
  <c r="G131" i="14" s="1"/>
  <c r="K58" i="25"/>
  <c r="J131" i="14" s="1"/>
  <c r="I58" i="25"/>
  <c r="D131" i="14" s="1"/>
  <c r="D144" s="1"/>
  <c r="C144" s="1"/>
  <c r="I131" l="1"/>
  <c r="J144"/>
  <c r="I144" s="1"/>
  <c r="F131"/>
  <c r="G144"/>
  <c r="F144" s="1"/>
  <c r="C131"/>
  <c r="H60" i="25"/>
  <c r="H61"/>
  <c r="H59"/>
  <c r="B131" i="14" l="1"/>
  <c r="H58" i="25"/>
  <c r="I275" i="14"/>
  <c r="I88"/>
  <c r="I90" s="1"/>
  <c r="F88"/>
  <c r="F90" s="1"/>
  <c r="I72"/>
  <c r="I74" s="1"/>
  <c r="F72"/>
  <c r="F74" s="1"/>
  <c r="I50"/>
  <c r="F50"/>
  <c r="I49"/>
  <c r="I48"/>
  <c r="F49"/>
  <c r="F48"/>
  <c r="J192" i="25"/>
  <c r="K192"/>
  <c r="H258"/>
  <c r="I326"/>
  <c r="J326"/>
  <c r="K326"/>
  <c r="I317"/>
  <c r="J317"/>
  <c r="K317"/>
  <c r="I300"/>
  <c r="J300"/>
  <c r="K300"/>
  <c r="J293"/>
  <c r="K293"/>
  <c r="J239"/>
  <c r="K239"/>
  <c r="I242"/>
  <c r="I239" s="1"/>
  <c r="H246"/>
  <c r="H243"/>
  <c r="J252"/>
  <c r="K252"/>
  <c r="I252"/>
  <c r="H254"/>
  <c r="H317" s="1"/>
  <c r="H255"/>
  <c r="H326" s="1"/>
  <c r="H256"/>
  <c r="H257"/>
  <c r="H253"/>
  <c r="H244"/>
  <c r="H242" l="1"/>
  <c r="H293"/>
  <c r="H300"/>
  <c r="H252"/>
  <c r="K302" i="14"/>
  <c r="H302"/>
  <c r="J191" i="25"/>
  <c r="K191"/>
  <c r="J190"/>
  <c r="K190"/>
  <c r="H136" l="1"/>
  <c r="C125" i="14"/>
  <c r="H192" i="25" l="1"/>
  <c r="I218" i="14"/>
  <c r="I217"/>
  <c r="I216"/>
  <c r="J214"/>
  <c r="J213"/>
  <c r="J212"/>
  <c r="J220" s="1"/>
  <c r="F218"/>
  <c r="F217"/>
  <c r="F216"/>
  <c r="G214"/>
  <c r="G213"/>
  <c r="G212"/>
  <c r="C218"/>
  <c r="C217"/>
  <c r="C216"/>
  <c r="D214"/>
  <c r="C214" s="1"/>
  <c r="D213"/>
  <c r="C213" s="1"/>
  <c r="D212"/>
  <c r="D220" s="1"/>
  <c r="C222" l="1"/>
  <c r="C212"/>
  <c r="C220" s="1"/>
  <c r="F212"/>
  <c r="F220" s="1"/>
  <c r="G220"/>
  <c r="F214"/>
  <c r="F222" s="1"/>
  <c r="G222"/>
  <c r="I212"/>
  <c r="I220" s="1"/>
  <c r="I214"/>
  <c r="I222" s="1"/>
  <c r="J222"/>
  <c r="F213"/>
  <c r="F221" s="1"/>
  <c r="G221"/>
  <c r="I213"/>
  <c r="I221" s="1"/>
  <c r="J221"/>
  <c r="C221"/>
  <c r="I229" l="1"/>
  <c r="F229"/>
  <c r="C229"/>
  <c r="D221" l="1"/>
  <c r="C204" l="1"/>
  <c r="I74" i="25" l="1"/>
  <c r="J74"/>
  <c r="K74"/>
  <c r="K55"/>
  <c r="J55"/>
  <c r="I55"/>
  <c r="D120" i="14" s="1"/>
  <c r="C120" s="1"/>
  <c r="B120" s="1"/>
  <c r="I33" i="25" l="1"/>
  <c r="K33"/>
  <c r="J33"/>
  <c r="J34"/>
  <c r="J32"/>
  <c r="K248" i="14"/>
  <c r="J31" i="25" l="1"/>
  <c r="D122" i="14" l="1"/>
  <c r="D128" s="1"/>
  <c r="D121"/>
  <c r="D127" s="1"/>
  <c r="C122" l="1"/>
  <c r="C128" s="1"/>
  <c r="C121"/>
  <c r="C127" s="1"/>
  <c r="C88"/>
  <c r="C90" s="1"/>
  <c r="I107" i="25" l="1"/>
  <c r="J35"/>
  <c r="K35"/>
  <c r="I35"/>
  <c r="H40"/>
  <c r="C36" i="14"/>
  <c r="I229" i="25" l="1"/>
  <c r="I349" s="1"/>
  <c r="J227"/>
  <c r="J345" s="1"/>
  <c r="K227"/>
  <c r="K345" s="1"/>
  <c r="J224"/>
  <c r="J340" s="1"/>
  <c r="K224"/>
  <c r="K340" s="1"/>
  <c r="I227"/>
  <c r="I224"/>
  <c r="I340" s="1"/>
  <c r="I221"/>
  <c r="J200"/>
  <c r="J299" s="1"/>
  <c r="K200"/>
  <c r="K299" s="1"/>
  <c r="I299"/>
  <c r="H280" i="14"/>
  <c r="K280"/>
  <c r="I280" s="1"/>
  <c r="I145" i="25"/>
  <c r="E280" i="14" s="1"/>
  <c r="H146" i="25"/>
  <c r="H155"/>
  <c r="H154"/>
  <c r="H144"/>
  <c r="J229"/>
  <c r="K229"/>
  <c r="K349" s="1"/>
  <c r="I128"/>
  <c r="M213" s="1"/>
  <c r="I122"/>
  <c r="I214"/>
  <c r="I323" s="1"/>
  <c r="J181"/>
  <c r="K181"/>
  <c r="I218"/>
  <c r="I330" s="1"/>
  <c r="I91"/>
  <c r="I199" l="1"/>
  <c r="I298" s="1"/>
  <c r="I297" s="1"/>
  <c r="M199"/>
  <c r="I203"/>
  <c r="I305" s="1"/>
  <c r="H181"/>
  <c r="H191"/>
  <c r="I345"/>
  <c r="H227"/>
  <c r="H345" s="1"/>
  <c r="H190"/>
  <c r="H224" s="1"/>
  <c r="H340" s="1"/>
  <c r="I230"/>
  <c r="I350" s="1"/>
  <c r="I348" s="1"/>
  <c r="I34"/>
  <c r="I106"/>
  <c r="K32"/>
  <c r="I32"/>
  <c r="I28"/>
  <c r="D46" i="14" s="1"/>
  <c r="C46" l="1"/>
  <c r="D54"/>
  <c r="C54" s="1"/>
  <c r="I105" i="25"/>
  <c r="I31"/>
  <c r="I104" l="1"/>
  <c r="I83"/>
  <c r="I82" s="1"/>
  <c r="J107"/>
  <c r="J106" s="1"/>
  <c r="I75"/>
  <c r="J75"/>
  <c r="K75"/>
  <c r="J72"/>
  <c r="J71" s="1"/>
  <c r="K72"/>
  <c r="K71" s="1"/>
  <c r="I72"/>
  <c r="I71" s="1"/>
  <c r="J69"/>
  <c r="I69"/>
  <c r="H48"/>
  <c r="J87"/>
  <c r="J86" s="1"/>
  <c r="K87"/>
  <c r="K86" s="1"/>
  <c r="I86"/>
  <c r="H85"/>
  <c r="H84"/>
  <c r="J73"/>
  <c r="K73"/>
  <c r="H39"/>
  <c r="H38"/>
  <c r="H37"/>
  <c r="H36"/>
  <c r="H87" l="1"/>
  <c r="H86" s="1"/>
  <c r="I73"/>
  <c r="I95"/>
  <c r="H35"/>
  <c r="J77"/>
  <c r="K77"/>
  <c r="K107"/>
  <c r="K106" s="1"/>
  <c r="K131" l="1"/>
  <c r="J252" i="14" s="1"/>
  <c r="J131" i="25"/>
  <c r="G252" i="14" s="1"/>
  <c r="I131" i="25"/>
  <c r="D252" i="14" s="1"/>
  <c r="J128" i="25"/>
  <c r="K128"/>
  <c r="J127"/>
  <c r="K127"/>
  <c r="I127"/>
  <c r="M226" s="1"/>
  <c r="J126"/>
  <c r="K126"/>
  <c r="I126"/>
  <c r="I125"/>
  <c r="J124"/>
  <c r="K124"/>
  <c r="J123"/>
  <c r="K123"/>
  <c r="I123"/>
  <c r="I124"/>
  <c r="M205" s="1"/>
  <c r="J122"/>
  <c r="K122"/>
  <c r="K83"/>
  <c r="K82" s="1"/>
  <c r="J83"/>
  <c r="J82" s="1"/>
  <c r="I315"/>
  <c r="I314" s="1"/>
  <c r="J51"/>
  <c r="J67" s="1"/>
  <c r="I51"/>
  <c r="D109" i="14" s="1"/>
  <c r="H53" i="25"/>
  <c r="H52"/>
  <c r="K34"/>
  <c r="H30"/>
  <c r="H29"/>
  <c r="J28"/>
  <c r="G46" i="14" s="1"/>
  <c r="K28" i="25"/>
  <c r="J46" i="14" s="1"/>
  <c r="D45"/>
  <c r="J24" i="25"/>
  <c r="G45" i="14" s="1"/>
  <c r="K24" i="25"/>
  <c r="J45" i="14" s="1"/>
  <c r="H27" i="25"/>
  <c r="H34" s="1"/>
  <c r="I21"/>
  <c r="D43" i="14" s="1"/>
  <c r="J21" i="25"/>
  <c r="K21"/>
  <c r="H22"/>
  <c r="H21" s="1"/>
  <c r="K18"/>
  <c r="J34" i="14" s="1"/>
  <c r="J18" i="25"/>
  <c r="G34" i="14" s="1"/>
  <c r="I18" i="25"/>
  <c r="D34" i="14" s="1"/>
  <c r="H20" i="25"/>
  <c r="H19"/>
  <c r="G109" i="14" l="1"/>
  <c r="G114" s="1"/>
  <c r="F114" s="1"/>
  <c r="D114"/>
  <c r="C114" s="1"/>
  <c r="D115"/>
  <c r="C115" s="1"/>
  <c r="J40"/>
  <c r="I40" s="1"/>
  <c r="C43"/>
  <c r="D56"/>
  <c r="C56" s="1"/>
  <c r="D38"/>
  <c r="C38" s="1"/>
  <c r="D40"/>
  <c r="C40" s="1"/>
  <c r="G40"/>
  <c r="F40" s="1"/>
  <c r="C252"/>
  <c r="D248"/>
  <c r="C34"/>
  <c r="F34"/>
  <c r="G38"/>
  <c r="F38" s="1"/>
  <c r="G43"/>
  <c r="F252"/>
  <c r="G248"/>
  <c r="J43"/>
  <c r="I34"/>
  <c r="J38"/>
  <c r="I38" s="1"/>
  <c r="C109"/>
  <c r="I252"/>
  <c r="J248"/>
  <c r="I45"/>
  <c r="I53" s="1"/>
  <c r="J53"/>
  <c r="F46"/>
  <c r="F54" s="1"/>
  <c r="G54"/>
  <c r="F45"/>
  <c r="F53" s="1"/>
  <c r="G53"/>
  <c r="I46"/>
  <c r="I54" s="1"/>
  <c r="J54"/>
  <c r="G44"/>
  <c r="J44"/>
  <c r="C45"/>
  <c r="D53"/>
  <c r="C53" s="1"/>
  <c r="D44"/>
  <c r="D52" s="1"/>
  <c r="H18" i="25"/>
  <c r="H28"/>
  <c r="F109" i="14" l="1"/>
  <c r="G115"/>
  <c r="F115" s="1"/>
  <c r="I43"/>
  <c r="J56"/>
  <c r="I56" s="1"/>
  <c r="F43"/>
  <c r="G56"/>
  <c r="F56" s="1"/>
  <c r="B34"/>
  <c r="B252"/>
  <c r="B248" s="1"/>
  <c r="F44"/>
  <c r="F52" s="1"/>
  <c r="G52"/>
  <c r="I44"/>
  <c r="I52" s="1"/>
  <c r="J52"/>
  <c r="C44"/>
  <c r="C52"/>
  <c r="I295" i="25"/>
  <c r="H325"/>
  <c r="H275"/>
  <c r="H324" s="1"/>
  <c r="I261"/>
  <c r="H266"/>
  <c r="B43" i="14" l="1"/>
  <c r="I205" i="25"/>
  <c r="I309" s="1"/>
  <c r="I308" s="1"/>
  <c r="H57" l="1"/>
  <c r="H151"/>
  <c r="H141"/>
  <c r="I113"/>
  <c r="D211" i="14" s="1"/>
  <c r="D224" s="1"/>
  <c r="H116" i="25"/>
  <c r="I109"/>
  <c r="H112"/>
  <c r="I41"/>
  <c r="I67" s="1"/>
  <c r="I89" s="1"/>
  <c r="I88" s="1"/>
  <c r="H46"/>
  <c r="H78" s="1"/>
  <c r="H77" s="1"/>
  <c r="H81"/>
  <c r="H54"/>
  <c r="H47"/>
  <c r="H26"/>
  <c r="H25"/>
  <c r="I12"/>
  <c r="J12"/>
  <c r="H245"/>
  <c r="H241"/>
  <c r="H45"/>
  <c r="H186" l="1"/>
  <c r="D202" i="14"/>
  <c r="D208" s="1"/>
  <c r="C208" s="1"/>
  <c r="C211"/>
  <c r="C224"/>
  <c r="I66" i="25"/>
  <c r="D60" i="14"/>
  <c r="J214" i="25"/>
  <c r="J323" s="1"/>
  <c r="H214"/>
  <c r="H323" s="1"/>
  <c r="H107"/>
  <c r="H106" s="1"/>
  <c r="H128"/>
  <c r="H24"/>
  <c r="J213"/>
  <c r="K213"/>
  <c r="K322" s="1"/>
  <c r="I213"/>
  <c r="K214"/>
  <c r="K323" s="1"/>
  <c r="J109"/>
  <c r="G202" i="14" s="1"/>
  <c r="K113" i="25"/>
  <c r="J211" i="14" s="1"/>
  <c r="K109" i="25"/>
  <c r="J202" i="14" s="1"/>
  <c r="J113" i="25"/>
  <c r="G211" i="14" s="1"/>
  <c r="K51" i="25"/>
  <c r="J109" i="14" s="1"/>
  <c r="H51" i="25"/>
  <c r="J15"/>
  <c r="G24" i="14" s="1"/>
  <c r="G28" s="1"/>
  <c r="K321" i="25" l="1"/>
  <c r="C202" i="14"/>
  <c r="C206" s="1"/>
  <c r="G208"/>
  <c r="F208" s="1"/>
  <c r="D206"/>
  <c r="I195" i="25"/>
  <c r="J208" i="14"/>
  <c r="I208" s="1"/>
  <c r="F211"/>
  <c r="G224"/>
  <c r="F224" s="1"/>
  <c r="I211"/>
  <c r="J224"/>
  <c r="I224" s="1"/>
  <c r="D64"/>
  <c r="D67"/>
  <c r="C67" s="1"/>
  <c r="G67"/>
  <c r="F67" s="1"/>
  <c r="C60"/>
  <c r="C64" s="1"/>
  <c r="G15"/>
  <c r="F24"/>
  <c r="F28" s="1"/>
  <c r="I202"/>
  <c r="I206" s="1"/>
  <c r="J206"/>
  <c r="J115"/>
  <c r="I115" s="1"/>
  <c r="I109"/>
  <c r="B109" s="1"/>
  <c r="J114"/>
  <c r="I114" s="1"/>
  <c r="F202"/>
  <c r="F206" s="1"/>
  <c r="G206"/>
  <c r="J212" i="25"/>
  <c r="J322"/>
  <c r="J321" s="1"/>
  <c r="I212"/>
  <c r="I322"/>
  <c r="I321" s="1"/>
  <c r="J66"/>
  <c r="K31"/>
  <c r="H213"/>
  <c r="H322" s="1"/>
  <c r="H321" s="1"/>
  <c r="H56"/>
  <c r="K212"/>
  <c r="B211" i="14" l="1"/>
  <c r="B202"/>
  <c r="F15"/>
  <c r="H55" i="25"/>
  <c r="H43"/>
  <c r="H212"/>
  <c r="H42" l="1"/>
  <c r="H70" s="1"/>
  <c r="K41"/>
  <c r="K67" s="1"/>
  <c r="J60" i="14" l="1"/>
  <c r="J67" s="1"/>
  <c r="I67" s="1"/>
  <c r="K66" i="25"/>
  <c r="J64" i="14"/>
  <c r="F275"/>
  <c r="C275"/>
  <c r="I246"/>
  <c r="F246"/>
  <c r="D222"/>
  <c r="I60" l="1"/>
  <c r="I64" s="1"/>
  <c r="H44" i="25"/>
  <c r="B60" i="14" l="1"/>
  <c r="H74" i="25"/>
  <c r="H73" s="1"/>
  <c r="H41"/>
  <c r="J91"/>
  <c r="J199" s="1"/>
  <c r="J298" s="1"/>
  <c r="J297" s="1"/>
  <c r="J93"/>
  <c r="J202" s="1"/>
  <c r="J304" s="1"/>
  <c r="H50" l="1"/>
  <c r="H76" s="1"/>
  <c r="J99"/>
  <c r="J217" s="1"/>
  <c r="J329" s="1"/>
  <c r="H75" l="1"/>
  <c r="H97"/>
  <c r="H96" s="1"/>
  <c r="J196"/>
  <c r="J292" s="1"/>
  <c r="J220"/>
  <c r="J334" s="1"/>
  <c r="J117"/>
  <c r="H80"/>
  <c r="J121" l="1"/>
  <c r="G227" i="14"/>
  <c r="H83" i="25"/>
  <c r="H82" s="1"/>
  <c r="H49"/>
  <c r="H67" s="1"/>
  <c r="H66" s="1"/>
  <c r="I93"/>
  <c r="I202" l="1"/>
  <c r="I304" s="1"/>
  <c r="I303" s="1"/>
  <c r="M202"/>
  <c r="F227" i="14"/>
  <c r="G231"/>
  <c r="F231" s="1"/>
  <c r="G199"/>
  <c r="H72" i="25"/>
  <c r="H71" s="1"/>
  <c r="F199" i="14" l="1"/>
  <c r="G18"/>
  <c r="J233" i="25"/>
  <c r="G20" i="14" l="1"/>
  <c r="H240" i="25" l="1"/>
  <c r="H267" l="1"/>
  <c r="H148"/>
  <c r="H260" l="1"/>
  <c r="K259"/>
  <c r="J259"/>
  <c r="I259"/>
  <c r="H156" l="1"/>
  <c r="C302" i="14" s="1"/>
  <c r="B302" s="1"/>
  <c r="H259" i="25"/>
  <c r="H14"/>
  <c r="H33" s="1"/>
  <c r="I117"/>
  <c r="I121" s="1"/>
  <c r="I194" s="1"/>
  <c r="D227" i="14" l="1"/>
  <c r="E273"/>
  <c r="E269" s="1"/>
  <c r="C269" l="1"/>
  <c r="E277"/>
  <c r="D233"/>
  <c r="C233" s="1"/>
  <c r="G233"/>
  <c r="F233" s="1"/>
  <c r="C227"/>
  <c r="D231"/>
  <c r="C231" s="1"/>
  <c r="D199"/>
  <c r="C199" s="1"/>
  <c r="K273"/>
  <c r="K277" s="1"/>
  <c r="H273"/>
  <c r="H277" s="1"/>
  <c r="C273"/>
  <c r="E12" l="1"/>
  <c r="H269"/>
  <c r="H12" s="1"/>
  <c r="K269"/>
  <c r="K12" s="1"/>
  <c r="F273"/>
  <c r="I273"/>
  <c r="B273" l="1"/>
  <c r="C248"/>
  <c r="I248" l="1"/>
  <c r="F248"/>
  <c r="F18" l="1"/>
  <c r="K233" i="25" l="1"/>
  <c r="H236"/>
  <c r="H237"/>
  <c r="H238"/>
  <c r="H234"/>
  <c r="H264" l="1"/>
  <c r="H265"/>
  <c r="H263"/>
  <c r="J210"/>
  <c r="J316" s="1"/>
  <c r="K210"/>
  <c r="K316" s="1"/>
  <c r="H134"/>
  <c r="H262" l="1"/>
  <c r="H261" s="1"/>
  <c r="K196"/>
  <c r="K292" s="1"/>
  <c r="I233"/>
  <c r="I291" s="1"/>
  <c r="H235"/>
  <c r="J125"/>
  <c r="K125"/>
  <c r="H124"/>
  <c r="K117"/>
  <c r="K101"/>
  <c r="I226"/>
  <c r="K121" l="1"/>
  <c r="J227" i="14"/>
  <c r="J233" s="1"/>
  <c r="I233" s="1"/>
  <c r="H233" i="25"/>
  <c r="I225"/>
  <c r="J101"/>
  <c r="J100" s="1"/>
  <c r="J92"/>
  <c r="F280" i="14"/>
  <c r="K100" i="25"/>
  <c r="K220"/>
  <c r="K334" s="1"/>
  <c r="I227" i="14" l="1"/>
  <c r="B227" s="1"/>
  <c r="B199" s="1"/>
  <c r="J231"/>
  <c r="I231" s="1"/>
  <c r="J199"/>
  <c r="I199" s="1"/>
  <c r="J349" i="25"/>
  <c r="J261"/>
  <c r="K261"/>
  <c r="H119"/>
  <c r="H125" s="1"/>
  <c r="H118"/>
  <c r="H123" s="1"/>
  <c r="H111"/>
  <c r="H110"/>
  <c r="H109" l="1"/>
  <c r="H117"/>
  <c r="I15"/>
  <c r="K15"/>
  <c r="J24" i="14" s="1"/>
  <c r="J105" i="25"/>
  <c r="J103"/>
  <c r="H251"/>
  <c r="H250"/>
  <c r="H249"/>
  <c r="H248"/>
  <c r="K189"/>
  <c r="K221" s="1"/>
  <c r="J189"/>
  <c r="K188"/>
  <c r="K218" s="1"/>
  <c r="K330" s="1"/>
  <c r="J188"/>
  <c r="K206"/>
  <c r="K310" s="1"/>
  <c r="K203"/>
  <c r="K305" s="1"/>
  <c r="J203"/>
  <c r="J305" s="1"/>
  <c r="J303" s="1"/>
  <c r="H153"/>
  <c r="H152"/>
  <c r="H150"/>
  <c r="H149"/>
  <c r="H147"/>
  <c r="H143"/>
  <c r="H142"/>
  <c r="H140"/>
  <c r="H184" s="1"/>
  <c r="H139"/>
  <c r="H182" s="1"/>
  <c r="H138"/>
  <c r="H137"/>
  <c r="H130"/>
  <c r="H229" s="1"/>
  <c r="K12"/>
  <c r="J18" i="14" s="1"/>
  <c r="I6" i="25"/>
  <c r="H178" l="1"/>
  <c r="H177" s="1"/>
  <c r="H133"/>
  <c r="J31" i="14"/>
  <c r="I31" s="1"/>
  <c r="J28"/>
  <c r="D24"/>
  <c r="D15" s="1"/>
  <c r="J15"/>
  <c r="I24"/>
  <c r="I28" s="1"/>
  <c r="H239" i="25"/>
  <c r="I18" i="14"/>
  <c r="H230" i="25"/>
  <c r="J218"/>
  <c r="J330" s="1"/>
  <c r="J328" s="1"/>
  <c r="H188"/>
  <c r="H218" s="1"/>
  <c r="H330" s="1"/>
  <c r="J221"/>
  <c r="J335" s="1"/>
  <c r="J333" s="1"/>
  <c r="H189"/>
  <c r="H221" s="1"/>
  <c r="H145"/>
  <c r="H200"/>
  <c r="H210"/>
  <c r="H316" s="1"/>
  <c r="J226"/>
  <c r="J104"/>
  <c r="J223"/>
  <c r="J102"/>
  <c r="H131"/>
  <c r="J206"/>
  <c r="J310" s="1"/>
  <c r="H13"/>
  <c r="H32" s="1"/>
  <c r="H31" s="1"/>
  <c r="H206"/>
  <c r="H310" s="1"/>
  <c r="I103"/>
  <c r="I228"/>
  <c r="K230"/>
  <c r="K350" s="1"/>
  <c r="J230"/>
  <c r="J228" s="1"/>
  <c r="K219"/>
  <c r="K335"/>
  <c r="K333" s="1"/>
  <c r="I101"/>
  <c r="M220" s="1"/>
  <c r="I99"/>
  <c r="M217" s="1"/>
  <c r="J295"/>
  <c r="H114"/>
  <c r="H126" s="1"/>
  <c r="K103"/>
  <c r="K105"/>
  <c r="K104" s="1"/>
  <c r="H278"/>
  <c r="H287"/>
  <c r="H337" s="1"/>
  <c r="I223" l="1"/>
  <c r="I222" s="1"/>
  <c r="M223"/>
  <c r="M195" s="1"/>
  <c r="M194" s="1"/>
  <c r="H299"/>
  <c r="H196"/>
  <c r="H292" s="1"/>
  <c r="D28" i="14"/>
  <c r="D31"/>
  <c r="C31" s="1"/>
  <c r="G31"/>
  <c r="F31" s="1"/>
  <c r="I15"/>
  <c r="C24"/>
  <c r="J219" i="25"/>
  <c r="K348"/>
  <c r="H350"/>
  <c r="J339"/>
  <c r="J338" s="1"/>
  <c r="J222"/>
  <c r="J344"/>
  <c r="J343" s="1"/>
  <c r="J225"/>
  <c r="H335"/>
  <c r="H203"/>
  <c r="H12"/>
  <c r="H89"/>
  <c r="K223"/>
  <c r="K222" s="1"/>
  <c r="K102"/>
  <c r="I102"/>
  <c r="K69"/>
  <c r="K226"/>
  <c r="K225" s="1"/>
  <c r="H273"/>
  <c r="H331" s="1"/>
  <c r="I217"/>
  <c r="H349"/>
  <c r="I335"/>
  <c r="J89"/>
  <c r="J201"/>
  <c r="J198"/>
  <c r="K228"/>
  <c r="J350"/>
  <c r="J348" s="1"/>
  <c r="H228"/>
  <c r="D18" i="14"/>
  <c r="J268" i="25"/>
  <c r="J294" s="1"/>
  <c r="H281"/>
  <c r="J98"/>
  <c r="I100"/>
  <c r="I220"/>
  <c r="I334" s="1"/>
  <c r="I333" s="1"/>
  <c r="I98"/>
  <c r="J95"/>
  <c r="J205" s="1"/>
  <c r="J309" s="1"/>
  <c r="J308" s="1"/>
  <c r="I208"/>
  <c r="J97"/>
  <c r="H99"/>
  <c r="H217" s="1"/>
  <c r="H329" s="1"/>
  <c r="K99"/>
  <c r="K217" s="1"/>
  <c r="K329" s="1"/>
  <c r="K328" s="1"/>
  <c r="H101"/>
  <c r="H220" s="1"/>
  <c r="H105"/>
  <c r="K295"/>
  <c r="H279"/>
  <c r="H272"/>
  <c r="H270"/>
  <c r="H306" s="1"/>
  <c r="H277"/>
  <c r="H274"/>
  <c r="H336" s="1"/>
  <c r="H269"/>
  <c r="H271"/>
  <c r="H311" s="1"/>
  <c r="H283"/>
  <c r="H312" s="1"/>
  <c r="H282"/>
  <c r="H307" s="1"/>
  <c r="H346" l="1"/>
  <c r="C15" i="14"/>
  <c r="C12" s="1"/>
  <c r="H301" i="25"/>
  <c r="H302"/>
  <c r="H318"/>
  <c r="H348"/>
  <c r="H305"/>
  <c r="C28" i="14"/>
  <c r="B24"/>
  <c r="B15" s="1"/>
  <c r="H88" i="25"/>
  <c r="H219"/>
  <c r="H334"/>
  <c r="H333" s="1"/>
  <c r="I216"/>
  <c r="I329"/>
  <c r="I328" s="1"/>
  <c r="D20" i="14"/>
  <c r="H104" i="25"/>
  <c r="K339"/>
  <c r="K338" s="1"/>
  <c r="J195"/>
  <c r="J291" s="1"/>
  <c r="J88"/>
  <c r="H69"/>
  <c r="J209"/>
  <c r="J315" s="1"/>
  <c r="J314" s="1"/>
  <c r="I339"/>
  <c r="I338" s="1"/>
  <c r="J96"/>
  <c r="H216"/>
  <c r="K344"/>
  <c r="K343" s="1"/>
  <c r="H103"/>
  <c r="H102" s="1"/>
  <c r="K216"/>
  <c r="I219"/>
  <c r="C18" i="14"/>
  <c r="B18" s="1"/>
  <c r="J216" i="25"/>
  <c r="K268"/>
  <c r="K294" s="1"/>
  <c r="H98"/>
  <c r="I94"/>
  <c r="J90"/>
  <c r="H100"/>
  <c r="I90"/>
  <c r="I92"/>
  <c r="J94"/>
  <c r="K98"/>
  <c r="K97"/>
  <c r="K93"/>
  <c r="H93"/>
  <c r="K91"/>
  <c r="H276"/>
  <c r="H341" s="1"/>
  <c r="H268" l="1"/>
  <c r="H294" s="1"/>
  <c r="J208"/>
  <c r="K199"/>
  <c r="K298" s="1"/>
  <c r="K297" s="1"/>
  <c r="H209"/>
  <c r="H202"/>
  <c r="H223"/>
  <c r="H339" s="1"/>
  <c r="H338" s="1"/>
  <c r="K202"/>
  <c r="K304" s="1"/>
  <c r="K303" s="1"/>
  <c r="K209"/>
  <c r="K315" s="1"/>
  <c r="K314" s="1"/>
  <c r="I201"/>
  <c r="J204"/>
  <c r="C20" i="14"/>
  <c r="K89" i="25"/>
  <c r="K88" s="1"/>
  <c r="K194" s="1"/>
  <c r="K290" s="1"/>
  <c r="I198"/>
  <c r="K92"/>
  <c r="K96"/>
  <c r="K90"/>
  <c r="H92"/>
  <c r="H91"/>
  <c r="K95"/>
  <c r="K205" s="1"/>
  <c r="K309" s="1"/>
  <c r="K308" s="1"/>
  <c r="H201" l="1"/>
  <c r="H304"/>
  <c r="H303" s="1"/>
  <c r="H208"/>
  <c r="H315"/>
  <c r="H314" s="1"/>
  <c r="K198"/>
  <c r="H199"/>
  <c r="H298" s="1"/>
  <c r="H297" s="1"/>
  <c r="K195"/>
  <c r="K291" s="1"/>
  <c r="J194"/>
  <c r="J290" s="1"/>
  <c r="K208"/>
  <c r="K201"/>
  <c r="H90"/>
  <c r="K94"/>
  <c r="H95"/>
  <c r="H205" s="1"/>
  <c r="H309" s="1"/>
  <c r="H308" s="1"/>
  <c r="G269" i="14"/>
  <c r="G12" s="1"/>
  <c r="J269"/>
  <c r="D12" l="1"/>
  <c r="I269"/>
  <c r="I12" s="1"/>
  <c r="J12"/>
  <c r="H198" i="25"/>
  <c r="K204"/>
  <c r="F269" i="14"/>
  <c r="F12" s="1"/>
  <c r="H94" i="25"/>
  <c r="C280" i="14" l="1"/>
  <c r="B280" s="1"/>
  <c r="B269" s="1"/>
  <c r="B12" s="1"/>
  <c r="F238" l="1"/>
  <c r="I238" s="1"/>
  <c r="L248" l="1"/>
  <c r="H115" i="25" l="1"/>
  <c r="H122" l="1"/>
  <c r="H127"/>
  <c r="H113"/>
  <c r="H121" s="1"/>
  <c r="H194" s="1"/>
  <c r="H195" l="1"/>
  <c r="H291" s="1"/>
  <c r="H222"/>
  <c r="H226"/>
  <c r="I344"/>
  <c r="I343" s="1"/>
  <c r="H225" l="1"/>
  <c r="H344"/>
  <c r="H343" s="1"/>
  <c r="I290" l="1"/>
  <c r="H204"/>
  <c r="I204"/>
  <c r="H286" l="1"/>
  <c r="H332" l="1"/>
  <c r="H280"/>
  <c r="H290" s="1"/>
  <c r="L199" i="14"/>
  <c r="H328" i="25" l="1"/>
  <c r="H295"/>
  <c r="K357" l="1"/>
</calcChain>
</file>

<file path=xl/sharedStrings.xml><?xml version="1.0" encoding="utf-8"?>
<sst xmlns="http://schemas.openxmlformats.org/spreadsheetml/2006/main" count="1111" uniqueCount="442">
  <si>
    <t>Додаток 1</t>
  </si>
  <si>
    <t>№ з/п</t>
  </si>
  <si>
    <t>Назва напряму діяльності (пріоритетні завдання)</t>
  </si>
  <si>
    <t>Перелік заходів програми</t>
  </si>
  <si>
    <t>Джерела фінансування</t>
  </si>
  <si>
    <t>Очікуваний результат</t>
  </si>
  <si>
    <t>Код програмної класифікації видатків та кредитування місцевих бюджетів (КПКВК)</t>
  </si>
  <si>
    <t>Перелік</t>
  </si>
  <si>
    <t xml:space="preserve">Назва головного розпорядника бюджетних коштів                            </t>
  </si>
  <si>
    <t>Найменування бюджетної програми</t>
  </si>
  <si>
    <t>Відділ охорони здоров'я Сумської міської ради                                                              Багатопрофільна стаціонарна медична допомога населенню</t>
  </si>
  <si>
    <t>Відділ охорони здоров'я Сумської міської ради                                                          Стоматологічна допомога населенню</t>
  </si>
  <si>
    <t>Відділ охорони здоров'я Сумської міської ради                                                            Первинна медична допомога населенню, що надається центрами первинної медичної (медико-санітарної) допомоги.</t>
  </si>
  <si>
    <t>Відділ охорони здоров'я Сумської міської ради                                                                                 Лікарсько-акушерська допомога вагітним, породіллям та новонародженим</t>
  </si>
  <si>
    <t xml:space="preserve"> "Охорона здоров'я м. Суми на 2019-2021 роки"</t>
  </si>
  <si>
    <t>Орієнтовні обсяги фінансування, тис.грн.</t>
  </si>
  <si>
    <t>бюджетних програм до комплексної міської Програми</t>
  </si>
  <si>
    <t>АТО</t>
  </si>
  <si>
    <t>Відділ охорони здоров'я Сумської міської ради                                                           Інші програми та  заходи у сфері охорони здоров'я.</t>
  </si>
  <si>
    <t>Відділ охорони здоров'я Сумської міської ради                                                          Забезпечення діяльності інших закладів у сфері охорони здоров’я</t>
  </si>
  <si>
    <t>Відділ охорони здоров'я Сумської міської ради                                                            Виконання інвестаційних проектів в рамках здійснення заходів щодо соціально-економічного розвитку окремих територій</t>
  </si>
  <si>
    <t>Відділ охорони здоров'я Сумської міської ради                                                          Заходи з енергозбереження</t>
  </si>
  <si>
    <t>Відділ охорони здоров'я Сумської міської ради                                                            Реалізація програм допомоги і грантів Європейського Союзу, урядів іноземних держав, міжнародних організацій, донорських установ</t>
  </si>
  <si>
    <t xml:space="preserve">Сумський міський голова </t>
  </si>
  <si>
    <t>О.М. Лисенко</t>
  </si>
  <si>
    <t>Виконавець: Чумаченко О.Ю.</t>
  </si>
  <si>
    <t>0712010</t>
  </si>
  <si>
    <t>0712030</t>
  </si>
  <si>
    <t>0712100</t>
  </si>
  <si>
    <t>0712151</t>
  </si>
  <si>
    <t>0712152</t>
  </si>
  <si>
    <t>0712144</t>
  </si>
  <si>
    <t>0712146</t>
  </si>
  <si>
    <t>0712111</t>
  </si>
  <si>
    <t>0717363</t>
  </si>
  <si>
    <t>0717640</t>
  </si>
  <si>
    <t>0717700</t>
  </si>
  <si>
    <t>до рішення Сумської міської ради "Про внесення змін до рішення Сумської міської ради від 19 грудня 2018 року № 4333 - МР "Про затвердження комплексної міської Програми «Охорона здоров’я м. Суми на 2019-2021 роки» (зі змінами)</t>
  </si>
  <si>
    <t>Відділ охорони здоров'я Сумської міської ради                                                        Відшкодування вартості лікарських засобів для лікування окремих захворювань</t>
  </si>
  <si>
    <t>Відділ охорони здоров'я Сумської міської ради                                                        Централізовані заходи з лікування хворих на цукровий та нецукровий діабет</t>
  </si>
  <si>
    <t>від 18 грудня 2019 року № 6188 - МР</t>
  </si>
  <si>
    <t>Контроль за виконанням</t>
  </si>
  <si>
    <t xml:space="preserve">Покращення догляду за тяжкохворими у домашніх умовах та адаптування їх до самообслуговування. </t>
  </si>
  <si>
    <t>Раннє виявлення туберкульозу у дітей та підлітків</t>
  </si>
  <si>
    <t>Одержувач коштів/Виконавець</t>
  </si>
  <si>
    <t>КПКВК</t>
  </si>
  <si>
    <t>Запобігання виникнення захворювання у людини у разі контакту із хворою або ж підозрілою на сказ твариною</t>
  </si>
  <si>
    <t>Покращення умов перебування пацієнтів та працівників у закладі охорони здоров'я</t>
  </si>
  <si>
    <t>УСЬОГО по підпрограмі 1</t>
  </si>
  <si>
    <t>УСЬОГО по підпрограмі 2</t>
  </si>
  <si>
    <t>0717361</t>
  </si>
  <si>
    <t>УСЬОГО по підпрограмі 3</t>
  </si>
  <si>
    <t>УСЬОГО по підпрограмі 4</t>
  </si>
  <si>
    <t>КНП "Дитяча клінічна лікарня Святої Зінаїди" СМР</t>
  </si>
  <si>
    <t>КНП "Клінічна лікарня № 4" СМР</t>
  </si>
  <si>
    <t>КНП "Клінічна лікарня № 5" СМР</t>
  </si>
  <si>
    <t xml:space="preserve">КНП "Клінічна стоматологічна поліклініка" СМР </t>
  </si>
  <si>
    <t>КНП "Клінічний пологовий будинок Пресвятої Діви Марії" СМР</t>
  </si>
  <si>
    <t>КНП "Центр первинної медико-санітарної допомоги № 1" СМР</t>
  </si>
  <si>
    <t>КНП "Центр первинної медико-санітарної допомоги № 2" СМР</t>
  </si>
  <si>
    <t>КНП "Центральна міська клінічна лікарня" СМР</t>
  </si>
  <si>
    <t>Інші джерела коштів (Грант GIZ)</t>
  </si>
  <si>
    <t>Всього</t>
  </si>
  <si>
    <t>Управління капітального будівництва та дорожнього господарства Сумської міської ради</t>
  </si>
  <si>
    <t>Кошти НСЗУ</t>
  </si>
  <si>
    <t>РАЗОМ по сфері охорона здоров'я</t>
  </si>
  <si>
    <t>ВСЬОГО</t>
  </si>
  <si>
    <t>Власні надходження КНП</t>
  </si>
  <si>
    <t xml:space="preserve">з них по </t>
  </si>
  <si>
    <t>РАЗОМ</t>
  </si>
  <si>
    <t>Разом</t>
  </si>
  <si>
    <t>РАЗОМ ПО ПРОГРАМІ</t>
  </si>
  <si>
    <t>Кошти ДФРР (спеціальний фонд)</t>
  </si>
  <si>
    <t>Збільшення переліку послуг, що надають заклади охорони здоров'я</t>
  </si>
  <si>
    <t>Мета, КПКВК, завдання та результативні показники Програми</t>
  </si>
  <si>
    <t>в тому числі</t>
  </si>
  <si>
    <t>Загальний фонд</t>
  </si>
  <si>
    <t>Спеціальний фонд</t>
  </si>
  <si>
    <t xml:space="preserve">Мета: </t>
  </si>
  <si>
    <t>Показник затрат:</t>
  </si>
  <si>
    <t>кількість  установ, од.</t>
  </si>
  <si>
    <t>Показник продукту:</t>
  </si>
  <si>
    <t>Показник ефективності:</t>
  </si>
  <si>
    <t>Показник якості:</t>
  </si>
  <si>
    <t>КПКВК 0712111</t>
  </si>
  <si>
    <t>Первинна медична допомога населенню, що надається центрами первинної медичної (медико-санітарної) допомоги</t>
  </si>
  <si>
    <t>кількість осіб, яким встановлені/будуть встановлені до кінця року слухові апарати</t>
  </si>
  <si>
    <t>Розвиток первинної медико-санітарної допомоги</t>
  </si>
  <si>
    <t>Розвиток вторинної (спеціалізованої) медичної допомоги</t>
  </si>
  <si>
    <t>ПІДПРОГРАМА 2.  Забезпечення соціальних стандартів у сфері охорони здоров'я</t>
  </si>
  <si>
    <t xml:space="preserve"> Виконання соціальних гарантій пільгових категорій громадян</t>
  </si>
  <si>
    <t>Інші заклади</t>
  </si>
  <si>
    <t>1.1.</t>
  </si>
  <si>
    <t xml:space="preserve">1.1.1. Сприяння в утриманні закладів первинного рівня  </t>
  </si>
  <si>
    <t xml:space="preserve">1.2.1. Забезпечення надання вторинної медичної допомоги </t>
  </si>
  <si>
    <t>2.1.</t>
  </si>
  <si>
    <t>1.2.</t>
  </si>
  <si>
    <t>1.3.</t>
  </si>
  <si>
    <t>1.3.1. Забезпечення надання лікарсько-акушерської допомоги вагітним, роділлям, породіллям та новонародженим</t>
  </si>
  <si>
    <t>1.4.</t>
  </si>
  <si>
    <t>1.4.2. Покриття вартості комунальних послуг та енергоносіїв</t>
  </si>
  <si>
    <t>3.1.</t>
  </si>
  <si>
    <t>ПІДПРОГРАМА 4. Приведення закладів охорони здоров'я у відповідність до сучасних потреб</t>
  </si>
  <si>
    <t>4.1.</t>
  </si>
  <si>
    <t>Зміцнення та оновлення матеріально-технічної бази закладів охорони здоров'я</t>
  </si>
  <si>
    <t xml:space="preserve">4.1.2. Проведення капітальних ремонтів                                           </t>
  </si>
  <si>
    <t xml:space="preserve">Видатки галузі, які враховані в інших цільових програмах та інші джерела фінансування </t>
  </si>
  <si>
    <t>1.</t>
  </si>
  <si>
    <t xml:space="preserve">Підвищення енергоефективності в закладах охорони здоров'я міста </t>
  </si>
  <si>
    <t>з них по закладах:</t>
  </si>
  <si>
    <t xml:space="preserve">Будівництво та реконструкція комунальних некомерційних підприємств </t>
  </si>
  <si>
    <t xml:space="preserve">Медичне обслуговування населення за програмою медичних гарантій </t>
  </si>
  <si>
    <t>Надання медичної допомоги на платній основі</t>
  </si>
  <si>
    <t>ПІДПРОГРАМА 1.  Покращення надання медичної допомоги населенню</t>
  </si>
  <si>
    <t>Всього по напряму 1.1. , у тому числі:</t>
  </si>
  <si>
    <t xml:space="preserve">Збереження стоматологічного здоров'я населення </t>
  </si>
  <si>
    <t>Всього по напряму 1.2, у тому числі</t>
  </si>
  <si>
    <t>В розрізі КНП</t>
  </si>
  <si>
    <t>2.</t>
  </si>
  <si>
    <t>3.</t>
  </si>
  <si>
    <t>4.</t>
  </si>
  <si>
    <t>5.</t>
  </si>
  <si>
    <t xml:space="preserve">Сприяння в утриманні закладів первинного рівня  </t>
  </si>
  <si>
    <t xml:space="preserve">Показник ефективності: </t>
  </si>
  <si>
    <t xml:space="preserve">Показник продукту: </t>
  </si>
  <si>
    <t>Разом по заходу 1.1.1</t>
  </si>
  <si>
    <t>Разом по заходу 1.2.1</t>
  </si>
  <si>
    <t>Забезпечення надання вторинної (амбулаторної та стаціонарної) медичної допомоги відповідно до галузевих стандартів</t>
  </si>
  <si>
    <r>
      <t>КНП "Центр первинної медико-санітарної допомоги № 1" СМР</t>
    </r>
    <r>
      <rPr>
        <i/>
        <sz val="22"/>
        <rFont val="Times New Roman"/>
        <family val="1"/>
        <charset val="204"/>
      </rPr>
      <t xml:space="preserve"> (капітальні)</t>
    </r>
  </si>
  <si>
    <r>
      <t xml:space="preserve">КНП "Центр первинної медико-санітарної допомоги № 2" СМР </t>
    </r>
    <r>
      <rPr>
        <i/>
        <sz val="22"/>
        <rFont val="Times New Roman"/>
        <family val="1"/>
        <charset val="204"/>
      </rPr>
      <t>(капітальні)</t>
    </r>
  </si>
  <si>
    <t>Визначення стану здоров’я працівників навчальних закладів, що знаходяться у комунальній власності Сумської міської ради, закладів та установ соціального захисту міського підпорядкування, зокрема можливості виконання ним певних трудових обов’язків, а також попередження виникненню та розповсюдженню інфекційних хвороб</t>
  </si>
  <si>
    <t>Разом по заходу 4.1.1.</t>
  </si>
  <si>
    <t>Разом по заходу 4.1.2.</t>
  </si>
  <si>
    <t xml:space="preserve">4.1.3. Участь у інвестиційних проєктах, що реалізуються за рахунок коштів державного фонду регіонального розвитку    </t>
  </si>
  <si>
    <r>
      <t xml:space="preserve">Показник продукту: </t>
    </r>
    <r>
      <rPr>
        <sz val="18"/>
        <rFont val="Times New Roman"/>
        <family val="1"/>
        <charset val="204"/>
      </rPr>
      <t>кількість установ, од.</t>
    </r>
  </si>
  <si>
    <r>
      <t xml:space="preserve">Показник ефективності: </t>
    </r>
    <r>
      <rPr>
        <sz val="18"/>
        <rFont val="Times New Roman"/>
        <family val="1"/>
        <charset val="204"/>
      </rPr>
      <t>середні витрати на 1 заклад охорони здоров'я, грн.</t>
    </r>
  </si>
  <si>
    <t>Інші джерела коштів (кредитні кошти НЕФКО)</t>
  </si>
  <si>
    <t>ПІДПРОГРАМА 3. Інші заходи та заклади у сфері охорони здоров'я</t>
  </si>
  <si>
    <t>ПІДПРОГРАМА 3.  Інші заходи та заклади у сфері охорони здоров'я</t>
  </si>
  <si>
    <t>Субвенція з державного бюджету місцевим бюджетам (спеціальний фонд)</t>
  </si>
  <si>
    <t xml:space="preserve">Розвиток лікарсько-акушерської допомоги </t>
  </si>
  <si>
    <t xml:space="preserve">Додаток 4   </t>
  </si>
  <si>
    <t>Управління охорони здоров’я СМР</t>
  </si>
  <si>
    <t>Управління охорони здоров’я Сумської міської ради</t>
  </si>
  <si>
    <t>Управління охорони здоров'я Сумської міської ради</t>
  </si>
  <si>
    <t>Реалізація проєктів, що фінансуються за рахунок субвенції з державного бюджету місцевим бюджетам на реалізацію проєктів з реконтсрукції, капітального ремонту приймальних відділень в опорних закладах охорони здоров'я у госпітальних округах</t>
  </si>
  <si>
    <t xml:space="preserve"> Інвестиційні проєкти, що реалізуються за рахунок коштів державного фонду регіонального розвитку </t>
  </si>
  <si>
    <t>Сумський міський голова</t>
  </si>
  <si>
    <t>Кошти бюджету ТГ (загальний фонд)</t>
  </si>
  <si>
    <t>КНП "Клінічна лікарня Святого Пантлеймона" СМР</t>
  </si>
  <si>
    <t>Придбання судинних протезів для проведення органозберігаючих реконструктивних операцій на артеріях у пацієнтів з критичним порушенням артеріального кровообігу кінцівок та мозкового кровообігу</t>
  </si>
  <si>
    <t>Кошти бюджету ТГ(загальний фонд)</t>
  </si>
  <si>
    <t>Кошти бюджету ТГ (спеціальний фонд)</t>
  </si>
  <si>
    <t>Забезпечення гарантованого рівня медичної допомоги населенню Сумської міської ТГ</t>
  </si>
  <si>
    <t>Програма підвищення енергоефективності в бюджетній сфері Сумської міської об’єднаної територіальної громади на 2022-2024 роки</t>
  </si>
  <si>
    <t>1.2.1. Покриття вартості комунальних послуг та енергоносіїв</t>
  </si>
  <si>
    <t>Додаток 3</t>
  </si>
  <si>
    <t>Напрями діяльності (пріоритетні завдання) та заходи комплексної Програми Cумської міської територіальної  громади "Охорона здоров'я" на 2022-2024 роки"</t>
  </si>
  <si>
    <t>Разом по заходу 4.1.3.</t>
  </si>
  <si>
    <t xml:space="preserve">Попередження розвитку ускладнень та продовження тривалості і якості життя                       </t>
  </si>
  <si>
    <t>у т. ч. по роках</t>
  </si>
  <si>
    <t xml:space="preserve">Сприяння забезпеченню пільгової категорії громадян медичними послугами згідно з чинним законодавством </t>
  </si>
  <si>
    <t>2022 (план)</t>
  </si>
  <si>
    <t>2023 (план)</t>
  </si>
  <si>
    <t>2024 (план)</t>
  </si>
  <si>
    <t xml:space="preserve">3.1.1. Забезпечення діяльності централізованої бухгалтерії  та інформаційно-аналітичного центру медичної статистики управління охорони здоров'я СМР                   </t>
  </si>
  <si>
    <t>2.1.3. Сприяння забезпеченню надання громадянам  послуг по зубопротезуванню на пільгових умовах</t>
  </si>
  <si>
    <t xml:space="preserve">Покращення показників здоров'я дітей хворих на церебральний параліч </t>
  </si>
  <si>
    <t>Покращення показників здоров'я  дітей хворих  на вроджений імунодифіцит</t>
  </si>
  <si>
    <t>Кошти бюджету СМТГ (загальний фонд)</t>
  </si>
  <si>
    <t xml:space="preserve">Кошти бюджету СМТГ (загальний фонд) </t>
  </si>
  <si>
    <t>Кошти  бюджету СМТГ (загальний фонд)</t>
  </si>
  <si>
    <t>Кошти бюджету СМТГ (спеціальний фонд)</t>
  </si>
  <si>
    <t>Забезпечення надання спеціалізованої медичної допомоги вагітним, роділлям, породіллям та новонародженим відповідно до галузевих стандартів.</t>
  </si>
  <si>
    <t>1.1.1. Покриття вартості комунальних послуг та енергоносіїв</t>
  </si>
  <si>
    <t>1.2.2. Сприяння забезпеченню надання антирабічної допомоги</t>
  </si>
  <si>
    <t xml:space="preserve">Сприяння  навчанню та підготовки нових спеціалістів </t>
  </si>
  <si>
    <t>Сприяння забезпеченню надання медичної допомоги підліткам (віком 14-18 років)  та молоді  (віком до 24 років)  за їх особистим зверненням або за направленням центрів соціальних служб для сім’ї, дітей та молоді, інших  закладів охорони здоров'я на засадах дружнього підходу до молоді</t>
  </si>
  <si>
    <t>2022 рік (план)</t>
  </si>
  <si>
    <t>2023 рік (план)</t>
  </si>
  <si>
    <t>2024рік (план)</t>
  </si>
  <si>
    <t>у тому числі по:</t>
  </si>
  <si>
    <t>з них по:</t>
  </si>
  <si>
    <t>у тому числі:</t>
  </si>
  <si>
    <t xml:space="preserve">Показник затрат: </t>
  </si>
  <si>
    <t>обсяг видатків, грн.</t>
  </si>
  <si>
    <t>кількість дітей   віком від 0-2 років з малозабезпечених  сімей, осіб</t>
  </si>
  <si>
    <t>кількість дітей, народжених від ВІЛ-інфікованих матерів, осіб</t>
  </si>
  <si>
    <t>рівень охоплення, %</t>
  </si>
  <si>
    <t xml:space="preserve">Обсяг видатків, грн. </t>
  </si>
  <si>
    <t>кількість установ, од.</t>
  </si>
  <si>
    <t>кількість лікарських відвідувань, од.</t>
  </si>
  <si>
    <t>ліфтове господарство</t>
  </si>
  <si>
    <t>протипожежні заходи</t>
  </si>
  <si>
    <t>капітальний ремонт приміщень</t>
  </si>
  <si>
    <t xml:space="preserve">водопостачання </t>
  </si>
  <si>
    <t xml:space="preserve">благоустрій території </t>
  </si>
  <si>
    <t xml:space="preserve">Результативні показники виконання завдань комплексної  Програми Cумської міської територіальної  громади "Охорона здоров'я" на 2022-2024 роки"
</t>
  </si>
  <si>
    <t>кількість штатних одиниць, од.</t>
  </si>
  <si>
    <t>кількість лікарських відвідувань,осіб</t>
  </si>
  <si>
    <t>1.1.2. Сприяння забезпеченню проведення туберкулінодіагностики (закупівля туберкуліну)</t>
  </si>
  <si>
    <t>витрати на одного пацієнта, грн</t>
  </si>
  <si>
    <t>кількість дітей  з орфанними захворюваннями, осіб</t>
  </si>
  <si>
    <t>чисельність осіб, яким проведена  санація, од.</t>
  </si>
  <si>
    <t>динамика обсягу витрат на забезпечення поккриття вартості дороговартістних медичних препаратів до попереднього року, %</t>
  </si>
  <si>
    <t>кількість установ:</t>
  </si>
  <si>
    <t>Мета програми: поліпшення фінансового забезпечення закладів охорони здоров'я  для  збереження і відновлення здоров’я населення шляхом надання медичних послуг та лікарських засобів належної якості</t>
  </si>
  <si>
    <t>1.1.2. Сприяння забезпеченню проведення туберкулінодіагностики (закупівля туберкуліну), КПКВК 0712152</t>
  </si>
  <si>
    <t xml:space="preserve"> 1.1.  Розвиток первинної медико-санітарної допомоги</t>
  </si>
  <si>
    <t>рівень забезпечення, %</t>
  </si>
  <si>
    <t>рівень забезпечення видатками, %</t>
  </si>
  <si>
    <t>динаміка забезпечення надання антирабічної допомоги порівняно до попереднього року, %</t>
  </si>
  <si>
    <t>кількість лікарських відвідувань на одну штатну посаду лікаря, осіб</t>
  </si>
  <si>
    <t>кількість осіб пільгової категорії  населення, які отримають ліки на пільгових умовах, осіб</t>
  </si>
  <si>
    <t>динамика обсягу витрат на забезпечення пільгової категорії населення лікарськими засобами за безкоштовними рецептами порвняно до попереднього року, %</t>
  </si>
  <si>
    <t>динамика обсягу витрат на забезпечення надання громадянам послуг по зубопротезуванню на пільгових умовах порвняно до попереднього року, %</t>
  </si>
  <si>
    <t>середня вартість зубопротезування на одного пацієнта, грн</t>
  </si>
  <si>
    <t>кількість осіб, які отримають послуги з зубного протезування, осіб</t>
  </si>
  <si>
    <t>кількість аналітичних довідок, письмових роз`яснень, іншої інформації працівників інформаційно-аналітичного центру медичної статистики, од.</t>
  </si>
  <si>
    <t>кількість рахунків на одного працівника централізованої бухгалтерії, од.</t>
  </si>
  <si>
    <t>кількість звітних форм на одного працівника централізованої бухгалтерії, од.</t>
  </si>
  <si>
    <t>кількість аналітичних довідок, письмових роз`яснень, іншої інформації наданих інформаційно-аналітичного центру медичної статистики, од.</t>
  </si>
  <si>
    <t xml:space="preserve">системи водопостачання </t>
  </si>
  <si>
    <t>кількість  обладнання, од.</t>
  </si>
  <si>
    <t>кількість інвестиційних проєктів,од.</t>
  </si>
  <si>
    <t xml:space="preserve"> 1.1.1. Покриття вартості комунальних послуг та енергоносіїв, КПКВК 0712111</t>
  </si>
  <si>
    <t>1.1.3.  Сприяння забезпеченню лікувальним харчуванням  дітей хворих на орфанні  рідкісні захворювання</t>
  </si>
  <si>
    <t xml:space="preserve"> 1.2.1. Покриття вартості комунальних послуг та енергоносіїв, КПКВК 0712010</t>
  </si>
  <si>
    <t xml:space="preserve">2.1.1.Сприяння забезпеченню пільгової категорії населення лікарськими засобами за безкоштовними рецептами </t>
  </si>
  <si>
    <t xml:space="preserve">2.1.1 Сприяння забезпеченню пільгової категорії населення лікарськими засобами за безкоштовними рецептами, КПКВК 0712152 </t>
  </si>
  <si>
    <t xml:space="preserve">2.1.2. Забезпечення осіб з інвалідністю, дітей з інвалідністю технічними та іншими засобами для догляду у домашніх умовах </t>
  </si>
  <si>
    <t xml:space="preserve">3.1.1 Забезпечення діяльності централізованої бухгалтерії  та інформаційно-аналітичного центру медичної статистики відділу охорони здоров'я СМР, КПКВК 0712151                   </t>
  </si>
  <si>
    <t xml:space="preserve"> 1.2. Розвиток вторинної (спеціалізованої) медичної допомоги</t>
  </si>
  <si>
    <t>кількість штатних одиниць лікарів-інтернів, од.</t>
  </si>
  <si>
    <t>в т.ч. лікарі, од.</t>
  </si>
  <si>
    <t>кількість пролікованих пацієнтів, од.</t>
  </si>
  <si>
    <t xml:space="preserve"> централізованої бухгалтерії,од.</t>
  </si>
  <si>
    <t xml:space="preserve"> інформаційно-аналітичного центру, од.</t>
  </si>
  <si>
    <t>середня вартість інвестиційного проєкту, грн.</t>
  </si>
  <si>
    <t>середні видатки на придбання одиниці обладнання ,грн.</t>
  </si>
  <si>
    <t>Забезпечення проведення якісного та своєчасного медичного освідчення  військовозобов’язаних громадян, які підлягають призову на військову службу до Збройних Сил України протягом року</t>
  </si>
  <si>
    <t xml:space="preserve">Покращення показників здоров'я   дітей хворих на ревматоїдний артрит </t>
  </si>
  <si>
    <t>Забезпечення  інформаційно-аналітичними матеріалами та стабільним фінансуванням, здійснення контролю за складанням звітності комунальних некомерційних підприємств</t>
  </si>
  <si>
    <t>Оновлення лікувально-діагностичної бази підприємств з метою проведення обстежень на сучасному обладнанні, що значно підвищить якість надання медичних послуг та створення комфортних умов перебування у закладах охорони здоров'я</t>
  </si>
  <si>
    <t xml:space="preserve">Завершення проекту "Капітальний ремонт будівлі за адресою: м.Суми, вул.Троїцька,28 (стаціонар двохповерхова будівля)" та придбання сучасного медичного реабілітаційного обладнання для покращення умов перебування пацієнтів і медичних працівників у закладі охорони здоров'я та отримання якісних медичних послуг                  </t>
  </si>
  <si>
    <t>Завершення проекту "Капітальний ремонт будівлі за адресою: м.Суми, вул.Троїцька,28 (стаціонар двохповерхова будівля)" та придбання сучасного медичного реабілітаційного обладнання для покращення умов перебування пацієнтів та медичних працівників у закладі охорони здоров'я та отримання якісних медичних послуг</t>
  </si>
  <si>
    <t xml:space="preserve">Поліпшення якості життя пацієнтів відповідного контингенту та
рівня їхньої соціальної реабілітації
</t>
  </si>
  <si>
    <t>Забезпечення  сталого функціонування медичних закладів та установ та комфортних умов перебування пацієнтів та медичного персоналу</t>
  </si>
  <si>
    <r>
      <t xml:space="preserve">Всього на виконання програми </t>
    </r>
    <r>
      <rPr>
        <sz val="22"/>
        <rFont val="Times New Roman"/>
        <family val="1"/>
        <charset val="204"/>
      </rPr>
      <t>(без коштів на виконання інших цільових програм)</t>
    </r>
    <r>
      <rPr>
        <b/>
        <sz val="22"/>
        <rFont val="Times New Roman"/>
        <family val="1"/>
        <charset val="204"/>
      </rPr>
      <t>, грн</t>
    </r>
  </si>
  <si>
    <t>Всього на виконання підпрограми 1, грн</t>
  </si>
  <si>
    <t>обсяг видатків, грн</t>
  </si>
  <si>
    <t>середні витрати на 1 заклад, грн</t>
  </si>
  <si>
    <t>динамика обсягу витрат на забезпечення покриття вартості комунальних послуг та енергоносіїв порівняно до попереднього року, %</t>
  </si>
  <si>
    <t>кількість дітей, яким планується  провести туберкулінодіагностику, осіб</t>
  </si>
  <si>
    <t>динамика обсягу витрат на проведення туберкулінодіагностики (придбання туберкуліну) порівняно до попереднього року, %</t>
  </si>
  <si>
    <t>обсяг видатків, грн :</t>
  </si>
  <si>
    <t>середні витрати  на одну дитину з орфанними захворюваннями, грн</t>
  </si>
  <si>
    <t>динамика обсягу витрат на забезпечення 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 порівняно до попереднього року , %</t>
  </si>
  <si>
    <t>середні витрати  на одну дитину від 0-2 років з малозабезпечених  сімей, грн</t>
  </si>
  <si>
    <t>середні витрати на одну дитину народжену від ВІЛ - інфікованої матері, грн</t>
  </si>
  <si>
    <t xml:space="preserve"> середні витрати на 1 заклад , грн</t>
  </si>
  <si>
    <t>середні витрати на одну особу, грн</t>
  </si>
  <si>
    <t>витрати на утримання 1 посади лікаря - інтерна, грн</t>
  </si>
  <si>
    <t>середня вартість проведеного медичного огляду однієї особи, грн</t>
  </si>
  <si>
    <t>зниження рівня захворюваності порівнянно з попереднім роком, %</t>
  </si>
  <si>
    <t>зниження незапланованої вагітності у неповнолітніх, %</t>
  </si>
  <si>
    <t>середні витрати на 1 обстеження, грн</t>
  </si>
  <si>
    <t>рівень охоплення  медичними оглядами , %</t>
  </si>
  <si>
    <t>обсяг видатків, грн:</t>
  </si>
  <si>
    <t>кількість медичних працівників, що входять до складу комісії, осіб</t>
  </si>
  <si>
    <t>Обсяг видатків, грн:</t>
  </si>
  <si>
    <t xml:space="preserve">Обсяг видатків, грн </t>
  </si>
  <si>
    <t>середня вартість 1 лікарського відвідування (враховані видатки на комунальні послуги та енергоносії), грн</t>
  </si>
  <si>
    <t>кількість відвідувань на одну штатну посаду лікаря, осіб</t>
  </si>
  <si>
    <t>Всього на виконання підпрограми 2, грн</t>
  </si>
  <si>
    <t>придбання підгузків, грн</t>
  </si>
  <si>
    <t>придбання калоприймачів, катетерів, уропрезервативи, грн</t>
  </si>
  <si>
    <t>придбання прокладок урологічних, грн</t>
  </si>
  <si>
    <t>витрати на одну особу, які отримали підгузки, грн</t>
  </si>
  <si>
    <t>витрати на одну особу, які отримали калоприймачи, катетери, уропрезервативи, грн</t>
  </si>
  <si>
    <t>витрати на одну особу, які отримали прокладки урологічної, грн</t>
  </si>
  <si>
    <t xml:space="preserve">обсяг видатків, грн </t>
  </si>
  <si>
    <t>Всього на виконання підпрограми 3, грн</t>
  </si>
  <si>
    <t>обсяг витрат, грн</t>
  </si>
  <si>
    <t>кількість штатних одиниць, од.:</t>
  </si>
  <si>
    <t>Всього на виконання підпрограми 4, грн</t>
  </si>
  <si>
    <r>
      <t xml:space="preserve">середня вартість об'єкту,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 xml:space="preserve"> грн.:</t>
    </r>
  </si>
  <si>
    <r>
      <t xml:space="preserve">кількість об'єктів капітального ремонту,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>, од.:</t>
    </r>
  </si>
  <si>
    <t>КНП "Клінічна лікарня № 4"СМР</t>
  </si>
  <si>
    <t>КНП "Клінічна лікарня № 5"СМР</t>
  </si>
  <si>
    <r>
      <t>КНП "Центр первинної медико-санітарної допомоги № 1" СМР</t>
    </r>
    <r>
      <rPr>
        <i/>
        <sz val="22"/>
        <rFont val="Times New Roman"/>
        <family val="1"/>
        <charset val="204"/>
      </rPr>
      <t xml:space="preserve"> </t>
    </r>
  </si>
  <si>
    <t xml:space="preserve">4.1.1. Придбання обладнання               </t>
  </si>
  <si>
    <t xml:space="preserve">Забезпечення доступності надання медичної допомоги хворим на орфанні захворювання </t>
  </si>
  <si>
    <t xml:space="preserve">Придбання колінних та кульшових протезів для надання ортопедичної допомоги хворим на артроз </t>
  </si>
  <si>
    <t>Завершення проекту "Капітальний ремонт будівель медичного закладу з утепленням стін, покрівлі, заміною покриття, заміною системи опалення за адресою м.Суми, вул. М.Вовчок ,2"</t>
  </si>
  <si>
    <t>1.2.3. Сприяння забезпеченню  первинного підвищення кваліфікації випускників вищих медичних закладів (інтернатура 3 рік навчання)</t>
  </si>
  <si>
    <t>1.2.4. Проведення обов'язкових  профілактичних оглядів  з видачею  особистих медичних книжок працівникам бюджетної сфери</t>
  </si>
  <si>
    <t>1.2.5. Забезпечення функціонування відділення медико-соціальної допомоги дітям та молоді "Клініка, дружня до молоді"</t>
  </si>
  <si>
    <t>1.2.6. Сприяння організації призову громадян на військову службу</t>
  </si>
  <si>
    <t>1.2.7. Проведення ендопротезування в т.ч.:</t>
  </si>
  <si>
    <t>1.2.7.1. Ендопротезування великих суглобів</t>
  </si>
  <si>
    <t>1.2.8. Сприяння забезпеченню дороговартісними лікарськими засобами, в т.ч.:</t>
  </si>
  <si>
    <t>1.2.7.2. Ендопротезування судин</t>
  </si>
  <si>
    <t xml:space="preserve">1.2.8.1. Препарат "Диспорт" для дітей хворих на церебральний параліч </t>
  </si>
  <si>
    <t>1.2.8.2.  Препарат "Октогам" для дітей хворих  на вроджений імунодифіцит</t>
  </si>
  <si>
    <t>1.2.8.3. Препарат "Хуміра" , "Актембра","Методжект" для дітей хворих на ревматоїдний артрит</t>
  </si>
  <si>
    <t>1.3.1. Покриття вартості комунальних послуг та енергоносіїв</t>
  </si>
  <si>
    <t>1.3.2. Сприяння забезпеченню  первинного підвищення кваліфікації випускників вищих медичних закладів (інтернатура 3 рік навчання)</t>
  </si>
  <si>
    <t xml:space="preserve">1.4.1. Сприяння наданню амбулаторної стоматологічної допомоги  дорослому населенню пільгових категорій          </t>
  </si>
  <si>
    <t>Разом по заходу 1.1.1.</t>
  </si>
  <si>
    <t>Разом по заходу 1.1.2.</t>
  </si>
  <si>
    <t>Разом по заходу 1.1.3.</t>
  </si>
  <si>
    <t>Разом по заходу 1.1.4.</t>
  </si>
  <si>
    <t>Разом по заходу 1.1.5.</t>
  </si>
  <si>
    <t>Разом по заходу 1.2.1.</t>
  </si>
  <si>
    <t>Разом по заходу 1.2.7.</t>
  </si>
  <si>
    <t>Разом по заходу 1.2.6.</t>
  </si>
  <si>
    <t>Разом по заходу 1.2.8.</t>
  </si>
  <si>
    <t xml:space="preserve">Всього по напряму 1.3., у тому числі </t>
  </si>
  <si>
    <t>Всього по напряму 1.4., у тому числі</t>
  </si>
  <si>
    <t>Разом по заходу 2.1.1.</t>
  </si>
  <si>
    <t>Разом по заходу 2.1.2.</t>
  </si>
  <si>
    <t>Разом по заходу 2.1.3.</t>
  </si>
  <si>
    <t>1.1.3.; 1.1.4.; 1.1.5. Сприяння забезпеченню лікувальним харчуванням  дітей хворих на орфанні  рідкісні захворювання,   продуктами харчування дітей віком від 0-2 років з малозабезпечених сімей та дітей народжених від ВІЛ -  інфікованих матерів, КПКВК 0712152</t>
  </si>
  <si>
    <t>1.2.2. Сприяння забезпеченню надання антирабічної допомоги, КПКВК 0712010</t>
  </si>
  <si>
    <t xml:space="preserve">1.2.3.; 1.3.2.  Сприяння забезпеченню  первинного підвищення кваліфікації випускників вищих медичних закладів (інтернатура 3 рік навчання), КПКВК 0712010, КПКВК 0712030 </t>
  </si>
  <si>
    <t>1.2.4. Проведення обов'язкових  профілактичних оглядів  з видачею  особистих медичних книжок працівникам бюджетної сфери, КПКВК 0712152</t>
  </si>
  <si>
    <t>1.2.5. Забезпеченню функціонування відділення медико-соціальної допомоги дітям та молоді "Клініка, дружня до молоді", КПКВК 0712010</t>
  </si>
  <si>
    <t>1.2.6. Сприяння організації призову громадян на військову службу, КПКВК 0712010, КПКВК 0712152</t>
  </si>
  <si>
    <t>1.2.7. Проведення ендопротезування, КПКВК 0712010</t>
  </si>
  <si>
    <t>1.3. Розвиток лікарсько-акушерської допомоги</t>
  </si>
  <si>
    <t>1.3.1. Покриття вартості комунальних послуг та енергоносіїв, КПКВК 0712030</t>
  </si>
  <si>
    <t>1.4. Збереження стоматологічного здоров'я населення</t>
  </si>
  <si>
    <t xml:space="preserve">1.4.1. Сприяння наданню амбулаторної стоматологічної допомоги  дорослому населенню пільгових категорій, КПКВК 0712100          </t>
  </si>
  <si>
    <t>1.4.2. Покриття вартості комунальних послуг та енергоносіїв, КПКВК 0712100</t>
  </si>
  <si>
    <t>2.1.2. Забезпечення осіб з інвалідністю, дітей з інвалідністю технічними та іншими засобами для догляду у домашніх умовах, КПКВК 0712152</t>
  </si>
  <si>
    <t>2.1.3. Сприяння забезпеченню надання громадянам послуг по зубопротезуванню на пільгових умовах, КПКВК 0712152</t>
  </si>
  <si>
    <t>2.1.4. Сприяння забезпеченню слуховими апаратами дорослого населення з інвалідністю по слуху, КПКВК 0712010</t>
  </si>
  <si>
    <t>3.1. Інші заклади</t>
  </si>
  <si>
    <t>4.1. Зміцнення та оновлення матеріально-технічної бази закладів охорони здоров'я</t>
  </si>
  <si>
    <t>4.1.1. Оновлення матеріально-технічної бази закладів охорони здоров'я, КПКВК 0712010, КПКВК 0712030, КПКВК 0712100, КПКВК 0712111, КПКВК 0712151, КПКВК 0712152, КПКВК 0717361</t>
  </si>
  <si>
    <t>кількість осіб, яким проводиться щеплення ( по медичним висновкам), осіб</t>
  </si>
  <si>
    <t>кількість працівників бюджетної сфери,  яким проводяться обов'язкові  профілактичні огляди  з видачею  особистих медичних книжок, осіб</t>
  </si>
  <si>
    <t>кількість  проведених бесід, семінарів, лекцій, од.</t>
  </si>
  <si>
    <t>кількість проведених лекцій, бесід, семінарів на 1 лікаря, од.</t>
  </si>
  <si>
    <t>кількість кандидатів на військову службу, осіб</t>
  </si>
  <si>
    <t>середні витрати на одного медичного працівника, грн</t>
  </si>
  <si>
    <t>витрати на закупівлю ендопротезів колінних і кульшових суглобів, од.</t>
  </si>
  <si>
    <t>витрати на закупівлю ендопротезів судин, од.</t>
  </si>
  <si>
    <t>кількість пацієнтів, яким проводиться ендопротезування колінних і кульшових суглобів, осіб</t>
  </si>
  <si>
    <t>кількість пацієнтів, яким проводиться ендопротезування судин, осіб</t>
  </si>
  <si>
    <t>середні витрати на одного пацієнта при  ендопротезвунні  колінних і кульшових суглобів, грн.</t>
  </si>
  <si>
    <t>середні витрати на одного пацієнта при ендопротезвунні  судин, грн.</t>
  </si>
  <si>
    <t>придбання медичного препарату "Диспорт" для дітей хворих на церебральний параліч, грн</t>
  </si>
  <si>
    <t>придбання  медичного  препарату  "Октогам" для дітей хворих  на вроджений імунодифіцит, грн</t>
  </si>
  <si>
    <t>придбання медичних препартів  "Хуміра" , "Актембра","Методжект" для дітей хворих на ревматоїдний артрит, грн</t>
  </si>
  <si>
    <t>кількість дітей, які отримають медичний препарат "Диспорт", осіб</t>
  </si>
  <si>
    <t>кількість дітей, які отримають медичний препарат "Октагам", осіб</t>
  </si>
  <si>
    <t>кількість дітей, які отримають медичний препарат "Хуміра" , "Актембра","Методжект", осіб</t>
  </si>
  <si>
    <t>Середні витрати на одну дитину хвору на церебральний параліч, грн.</t>
  </si>
  <si>
    <t>Середні витрати на одну дитину хвору на вроджений імунодифіцит, грн.</t>
  </si>
  <si>
    <t xml:space="preserve">Середні витрати на одну дитину хвору на ревматоїдний артрит та кістозний фіброз із легеневими симптомами, грн. </t>
  </si>
  <si>
    <t>кількість пролікованих пацієнтів на одного лікаря, осіб</t>
  </si>
  <si>
    <t>динамика обсягу витрат на забезпечення покриття вартості комунальних послуг та енергоносіїв порвняно до попереднього року, %</t>
  </si>
  <si>
    <t>ПІДПРОГРАМА 2. Забезпечення соціальних стандартів у сфері охорони здоров'я</t>
  </si>
  <si>
    <t>кількість осіб, які отримають підгузки, осіб</t>
  </si>
  <si>
    <t>кількість осіб, які отримають калоприймачі, катетери,уропрезервативи, осіб</t>
  </si>
  <si>
    <t>кількість осіб, які  отримають прокладок урологічних, осіб</t>
  </si>
  <si>
    <t>динамика обсягу витрат на забезпечення пільгової категорії населення  технічними та іншими засобами порівняно до попереднього року, %</t>
  </si>
  <si>
    <t>централізована бухгалтерія, од.</t>
  </si>
  <si>
    <t>інформаційно-аналітичний центр медичної статистик, од.</t>
  </si>
  <si>
    <t>кількість медичних закладів, які обслуговує централізована бухгалтерія, од.</t>
  </si>
  <si>
    <t>кількість звітних форм та інформацій працівників бухгалтерії, од.</t>
  </si>
  <si>
    <t>кількість рахунків, од.</t>
  </si>
  <si>
    <t xml:space="preserve">1.1.4. Сприяння забезпеченню продуктами харчування дітей віком від    0-2 років з малозабезпечених сімей </t>
  </si>
  <si>
    <t>1.1.5. Сприяння забезпеченню спеціальним харчуванням дітей народжених від ВІЛ-  інфікованих матерів</t>
  </si>
  <si>
    <t xml:space="preserve"> Програма Сумської міської  територіальної громади «Cоціальна підтримка захисників України та членів їх сімей» на 2022-2024 роки»</t>
  </si>
  <si>
    <t>Забезпечення  стоматологічними послугами учасників антитерористичної операції та членів сімей загиблих (померлих) учасників антитерористичної операції</t>
  </si>
  <si>
    <t>1.2.8. Сприяння забезпеченню дитячого населення дороговартісними медичними препаратами, КПКВК 0712010</t>
  </si>
  <si>
    <t>продукти дитячого харчування дітям, народженим від ВІЛ-інфікованих матерів, грн</t>
  </si>
  <si>
    <t>продукти дитячого харчування дітям перших двох років життя з малозабезпечених сімей, грн</t>
  </si>
  <si>
    <t>лікувальне харчування для  дітей  з орфанними захворюваннями, грн</t>
  </si>
  <si>
    <t>Олександр ЛИСЕНКО</t>
  </si>
  <si>
    <t>0712070</t>
  </si>
  <si>
    <t>КНП СОР "Сумський обласний центр екстренної медичної допомоги та медицини катастроф"</t>
  </si>
  <si>
    <t>Зміни до програми, тис.грн.</t>
  </si>
  <si>
    <t>Обсяг коштів програми, передбачений проектом рішення, тис.грн.</t>
  </si>
  <si>
    <t>Обгрунтування</t>
  </si>
  <si>
    <t>Разом по програмі</t>
  </si>
  <si>
    <t>О.М.Лисенко</t>
  </si>
  <si>
    <t>Обсяг коштів, передбачений діючою програмою (рішення СМР від 26.01.22 № 2713-МР)</t>
  </si>
  <si>
    <t>1.2.9. Сприяння наданню вторинної допомоги</t>
  </si>
  <si>
    <t>Капітальний ремонт будівель медичного закладу з утепленням стін, покрівлі, заміною покриття, заміною системи опалення за адресою м. Суми, вул. М. Вовчок, 2</t>
  </si>
  <si>
    <t>Ремонт зовнішніх каналізаційних мереж</t>
  </si>
  <si>
    <t>Обсяг видатків направлених на проведення ремонтних  робіт інженерних мереж , грн:</t>
  </si>
  <si>
    <t>4.1.4. Закупівля послуг щодо пректування та встановлення кисневих станцій.</t>
  </si>
  <si>
    <t>«Субвенція з місцевого бюджету на закупівлю
опорними закладами охорони здоров’я послуг щодо проектування та
встановлення кисневих станцій за рахунок залишку коштів відповідної
субвенції з державного бюджету, що утворився на початок бюджетного
періоду»</t>
  </si>
  <si>
    <t>Разом по заходу 4.1.4.</t>
  </si>
  <si>
    <t>Закупівля опорними закладами охорони здоров'я послуг щодо проектування та встановлення кисневих станцій</t>
  </si>
  <si>
    <t>4.1.2. Проведення капітальних ремонтів,КПКВК 0712010, КПКВК 0712151, КПКВК 0712030, КПКВК 0712100, КПКВК 0712111</t>
  </si>
  <si>
    <t>4.1.3. Участь у інвестиційних проєктах, що реалізуються за рахунок коштів державного фонду регіонального розвитку, КПКВК    0717361</t>
  </si>
  <si>
    <t>УСЬОГО по підпрограмі 4.  Приведення закладів охорони здоров'я у відповідність до сучасних потреб</t>
  </si>
  <si>
    <t>Розпорядження СОДА від 17.08.2022 №274-ОД "Про внесення змін до обласного бюджету Сумської області на 2022 рік" внесено до  обласного бюджету Сумської області на 2022 рік зміни, зокрема, в частині розподілу залишку коштів субвенції з державного бюджету місцевим бюджетам на закупівлю опорними закладами охорони здоров'я послуг щодо проектування та встановлення кисневих станцій, що утворився на 01.01.2022р.</t>
  </si>
  <si>
    <t>Порівняльна таблиця до комплексної  Програми Cумської міської територіальної  громади "Охорона здоров'я" на 2022-2024 роки (зі змінами)</t>
  </si>
  <si>
    <t>обсяг видатків направлених на закупівлю послуг щодо встановлення кисневих станцій,грн.</t>
  </si>
  <si>
    <t>кількість кисневих станцій для встановлення, од.:</t>
  </si>
  <si>
    <t>середні витрати для закупівлі послуг на встановлення кисневих станцій, грн.:</t>
  </si>
  <si>
    <t>питома вага використаних коштів щодо затверджених видатків,%</t>
  </si>
  <si>
    <t>Ремонт зовнішніх каналізаційних мереж КНП "Дитяча клінічна лікарня Святої Зінаїди" СМР</t>
  </si>
  <si>
    <t>УСЬОГО по підпрограмі 1.  Покращення надання медичної допомоги населенню</t>
  </si>
  <si>
    <t>УСЬОГО по підпрограмі 2.  Забезпечення соціальних стандартів у сфері охорони здоров'я</t>
  </si>
  <si>
    <t>Виконання соціальних гарантій пільгових категорій громадян</t>
  </si>
  <si>
    <t>4.1.5. Проведення капітальних ремонтів об'єктів тимчасових укриттів</t>
  </si>
  <si>
    <t>Разом по заходу 4.1.5.</t>
  </si>
  <si>
    <t>2.1.4. Сприяння забезпеченню слуховими апаратами та мовними процесорами дорослого населення з інвалідністю</t>
  </si>
  <si>
    <t>Забезпечення дорослого населення з інвалідністю мовними процесорами (4 апарати по 16,2 тис.грн. на 1 особу)</t>
  </si>
  <si>
    <t>Приведення у належний стан готовності об'єктів тимчасових укриттів в період воєнного часу.</t>
  </si>
  <si>
    <t>Потреба для встановлення кисневих станцій КНП "Клінічна лікарня № 5" СМР - 2773,5 тис.грн.;  КНП "Дитяча клінічна лікарня Святої Зінаїди" СМР - 1792,10 тис.грн.;  КНП "Клінічна лікарня Святого Пантлеймона" СМР - 681,3 тис.грн.</t>
  </si>
  <si>
    <t>1.2.10. Забезпечення ортепедичними металоконструкціями для лікування військовослужбовців ЗСУ</t>
  </si>
  <si>
    <t>З метою забезпечення надання якісної медичної допомоги військовослужбовцям. (Забезпечення ортопедичними металоконструкціями)</t>
  </si>
  <si>
    <t>Разом по заходу 1.2.10.</t>
  </si>
  <si>
    <t>Забезпечення військовослужбовців ортопедичними металоконструкціями.</t>
  </si>
  <si>
    <t xml:space="preserve">Потреба для встановлення кисневих станцій </t>
  </si>
  <si>
    <t>Приведення у належний стан готовності об'єктів тимчасових укриттів в період воєнного часу</t>
  </si>
  <si>
    <t>кількість осіб, яким планується встановлення ортопедичних металоконструкцій</t>
  </si>
  <si>
    <t>середні видатки на одну особу, грн.</t>
  </si>
  <si>
    <t>кількість осіб, яким встановлені/будуть встановлені до кінця року мовні процесори</t>
  </si>
  <si>
    <t>середні видатки на одну особу,щодо встановлення мовного процесора</t>
  </si>
  <si>
    <t>середні видатки на одну особу,щодо встановлення слухового апарату</t>
  </si>
  <si>
    <t>питома вага використаних коштів до затверджених по слуховим апаратам, %</t>
  </si>
  <si>
    <t>кількість установ</t>
  </si>
  <si>
    <t>обсяг витрат для проведення капітальних ремонтів тимчасових укриттів,грн.</t>
  </si>
  <si>
    <t>середні витрати для проведення ремонтів об'єктів тимчасових укриттів,грн.</t>
  </si>
  <si>
    <t>обсяг видатків на придбання довгострокового обладнаня, грн</t>
  </si>
  <si>
    <r>
      <t xml:space="preserve">обсяг видатків на проведення капітальних ремонтів, </t>
    </r>
    <r>
      <rPr>
        <i/>
        <sz val="18"/>
        <rFont val="Times New Roman"/>
        <family val="1"/>
        <charset val="204"/>
      </rPr>
      <t>за напрямами</t>
    </r>
    <r>
      <rPr>
        <sz val="18"/>
        <rFont val="Times New Roman"/>
        <family val="1"/>
        <charset val="204"/>
      </rPr>
      <t>, грн:</t>
    </r>
  </si>
  <si>
    <t xml:space="preserve"> обсяг видатків на участь у інвестиційних проєктах, що реалізуються за рахунок коштів ДФРР, грн</t>
  </si>
  <si>
    <t xml:space="preserve">Сприяння забезпеченню компенсації функцій ушкоджених органів, з метою медичної та соціальної реабілітації осіб з інвалідністю з вираженими вадами слуху. Забезпечення дорослого населення з інвалідністю мовними процесорами </t>
  </si>
  <si>
    <t>4.1.4. Закупівля послуг щодо проектування та встановлення кисневих станцій, КПКВК 0712010</t>
  </si>
  <si>
    <t>4.1.4. Закупівля послуг щодо проектування та встановлення кисневих станцій.</t>
  </si>
  <si>
    <t>від 28 вересня 2022 року № 3138 - МР</t>
  </si>
  <si>
    <t xml:space="preserve">до рішення Сумської міської ради "Про внесення змін до рішення Сумської міської ради від 26 січня 2022 року № 2713-МР "Про затвердження комплексної Програми Cумської міської територіальної громади «Охорона здоров'я» на 2022-2024 роки (зі змінами)""                                                                                                        </t>
  </si>
  <si>
    <t>до рішення Сумської міської ради "Про внесення змін до рішення Сумської міської ради від 26 січня 2022 року        № 2713 - МР "Про затвердження комплексної Програми Cумської міської  територіальної громади «Охорона здоров'я» на 2022-2024 роки (зі змінами)""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</si>
</sst>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0"/>
    <numFmt numFmtId="166" formatCode="#,##0.0"/>
  </numFmts>
  <fonts count="38">
    <font>
      <sz val="10"/>
      <name val="Arial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12"/>
      <name val="Times New Roman"/>
      <family val="1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Arial"/>
      <family val="2"/>
      <charset val="204"/>
    </font>
    <font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Arial"/>
      <family val="2"/>
      <charset val="204"/>
    </font>
    <font>
      <b/>
      <i/>
      <sz val="18"/>
      <name val="Times New Roman"/>
      <family val="1"/>
      <charset val="204"/>
    </font>
    <font>
      <sz val="20"/>
      <name val="Times New Roman"/>
      <family val="1"/>
      <charset val="204"/>
    </font>
    <font>
      <b/>
      <sz val="25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6"/>
      <name val="Times New Roman"/>
      <family val="1"/>
      <charset val="204"/>
    </font>
    <font>
      <sz val="22"/>
      <name val="Times New Roman"/>
      <family val="1"/>
      <charset val="204"/>
    </font>
    <font>
      <i/>
      <sz val="22"/>
      <name val="Times New Roman"/>
      <family val="1"/>
      <charset val="204"/>
    </font>
    <font>
      <sz val="24"/>
      <name val="Times New Roman"/>
      <family val="1"/>
      <charset val="204"/>
    </font>
    <font>
      <b/>
      <sz val="28"/>
      <name val="Times New Roman"/>
      <family val="1"/>
      <charset val="204"/>
    </font>
    <font>
      <sz val="28"/>
      <name val="Times New Roman"/>
      <family val="1"/>
      <charset val="204"/>
    </font>
    <font>
      <u/>
      <sz val="22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u/>
      <sz val="18"/>
      <name val="Times New Roman"/>
      <family val="1"/>
      <charset val="204"/>
    </font>
    <font>
      <sz val="36"/>
      <name val="Times New Roman"/>
      <family val="1"/>
      <charset val="204"/>
    </font>
    <font>
      <sz val="48"/>
      <name val="Times New Roman"/>
      <family val="1"/>
      <charset val="204"/>
    </font>
    <font>
      <i/>
      <sz val="1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2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6" fillId="0" borderId="0"/>
    <xf numFmtId="0" fontId="5" fillId="0" borderId="0"/>
    <xf numFmtId="0" fontId="4" fillId="0" borderId="0"/>
    <xf numFmtId="9" fontId="5" fillId="0" borderId="0" applyFont="0" applyFill="0" applyBorder="0" applyAlignment="0" applyProtection="0"/>
    <xf numFmtId="0" fontId="7" fillId="0" borderId="0"/>
    <xf numFmtId="0" fontId="15" fillId="0" borderId="0">
      <alignment horizontal="left"/>
    </xf>
    <xf numFmtId="0" fontId="2" fillId="0" borderId="0"/>
    <xf numFmtId="0" fontId="15" fillId="0" borderId="0">
      <alignment horizontal="left"/>
    </xf>
    <xf numFmtId="0" fontId="5" fillId="0" borderId="0"/>
    <xf numFmtId="0" fontId="34" fillId="0" borderId="0"/>
  </cellStyleXfs>
  <cellXfs count="5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vertical="top" wrapText="1"/>
    </xf>
    <xf numFmtId="0" fontId="1" fillId="0" borderId="1" xfId="0" applyFont="1" applyBorder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9" fillId="2" borderId="0" xfId="0" applyFont="1" applyFill="1"/>
    <xf numFmtId="0" fontId="3" fillId="2" borderId="0" xfId="0" applyFont="1" applyFill="1" applyBorder="1" applyAlignment="1">
      <alignment horizontal="left" vertical="top" wrapText="1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wrapText="1"/>
    </xf>
    <xf numFmtId="0" fontId="9" fillId="2" borderId="0" xfId="0" applyFont="1" applyFill="1" applyAlignment="1">
      <alignment horizontal="center"/>
    </xf>
    <xf numFmtId="0" fontId="12" fillId="0" borderId="0" xfId="0" applyFont="1"/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2" borderId="0" xfId="0" applyFont="1" applyFill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center" wrapText="1"/>
    </xf>
    <xf numFmtId="3" fontId="9" fillId="2" borderId="0" xfId="0" applyNumberFormat="1" applyFont="1" applyFill="1"/>
    <xf numFmtId="3" fontId="9" fillId="2" borderId="0" xfId="0" applyNumberFormat="1" applyFont="1" applyFill="1" applyBorder="1"/>
    <xf numFmtId="3" fontId="9" fillId="2" borderId="0" xfId="0" applyNumberFormat="1" applyFont="1" applyFill="1" applyAlignment="1">
      <alignment horizontal="center"/>
    </xf>
    <xf numFmtId="3" fontId="11" fillId="2" borderId="1" xfId="0" applyNumberFormat="1" applyFont="1" applyFill="1" applyBorder="1" applyAlignment="1">
      <alignment horizontal="center" vertical="top" wrapText="1"/>
    </xf>
    <xf numFmtId="3" fontId="10" fillId="2" borderId="1" xfId="6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 wrapText="1"/>
    </xf>
    <xf numFmtId="3" fontId="3" fillId="2" borderId="0" xfId="0" applyNumberFormat="1" applyFont="1" applyFill="1"/>
    <xf numFmtId="3" fontId="13" fillId="2" borderId="0" xfId="0" applyNumberFormat="1" applyFont="1" applyFill="1" applyBorder="1" applyAlignment="1">
      <alignment wrapText="1"/>
    </xf>
    <xf numFmtId="3" fontId="10" fillId="2" borderId="0" xfId="0" applyNumberFormat="1" applyFont="1" applyFill="1" applyBorder="1"/>
    <xf numFmtId="3" fontId="13" fillId="2" borderId="0" xfId="0" applyNumberFormat="1" applyFont="1" applyFill="1" applyBorder="1"/>
    <xf numFmtId="3" fontId="13" fillId="2" borderId="0" xfId="0" applyNumberFormat="1" applyFont="1" applyFill="1"/>
    <xf numFmtId="3" fontId="13" fillId="2" borderId="0" xfId="0" applyNumberFormat="1" applyFont="1" applyFill="1" applyAlignment="1">
      <alignment horizontal="right"/>
    </xf>
    <xf numFmtId="3" fontId="13" fillId="2" borderId="0" xfId="0" applyNumberFormat="1" applyFont="1" applyFill="1" applyAlignment="1">
      <alignment horizontal="center" vertical="center"/>
    </xf>
    <xf numFmtId="3" fontId="13" fillId="2" borderId="0" xfId="0" applyNumberFormat="1" applyFont="1" applyFill="1" applyAlignment="1">
      <alignment wrapText="1"/>
    </xf>
    <xf numFmtId="3" fontId="1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vertical="top" wrapText="1"/>
    </xf>
    <xf numFmtId="3" fontId="9" fillId="2" borderId="0" xfId="0" applyNumberFormat="1" applyFont="1" applyFill="1" applyAlignment="1">
      <alignment vertical="top" wrapText="1"/>
    </xf>
    <xf numFmtId="3" fontId="13" fillId="2" borderId="0" xfId="0" applyNumberFormat="1" applyFont="1" applyFill="1" applyAlignment="1">
      <alignment horizontal="left"/>
    </xf>
    <xf numFmtId="3" fontId="13" fillId="2" borderId="0" xfId="0" applyNumberFormat="1" applyFont="1" applyFill="1" applyAlignment="1">
      <alignment vertical="top"/>
    </xf>
    <xf numFmtId="3" fontId="17" fillId="2" borderId="0" xfId="0" applyNumberFormat="1" applyFont="1" applyFill="1"/>
    <xf numFmtId="3" fontId="17" fillId="2" borderId="0" xfId="0" applyNumberFormat="1" applyFont="1" applyFill="1" applyAlignment="1">
      <alignment horizontal="right"/>
    </xf>
    <xf numFmtId="3" fontId="17" fillId="2" borderId="0" xfId="0" applyNumberFormat="1" applyFont="1" applyFill="1" applyAlignment="1">
      <alignment horizontal="center" vertical="center"/>
    </xf>
    <xf numFmtId="3" fontId="17" fillId="2" borderId="0" xfId="0" applyNumberFormat="1" applyFont="1" applyFill="1" applyAlignment="1">
      <alignment wrapText="1"/>
    </xf>
    <xf numFmtId="3" fontId="17" fillId="2" borderId="0" xfId="0" applyNumberFormat="1" applyFont="1" applyFill="1" applyAlignment="1">
      <alignment horizontal="center"/>
    </xf>
    <xf numFmtId="3" fontId="22" fillId="2" borderId="0" xfId="0" applyNumberFormat="1" applyFont="1" applyFill="1" applyAlignment="1">
      <alignment horizontal="left"/>
    </xf>
    <xf numFmtId="3" fontId="22" fillId="2" borderId="0" xfId="0" applyNumberFormat="1" applyFont="1" applyFill="1"/>
    <xf numFmtId="3" fontId="19" fillId="2" borderId="1" xfId="0" applyNumberFormat="1" applyFont="1" applyFill="1" applyBorder="1" applyAlignment="1">
      <alignment horizontal="left" vertical="top" wrapText="1"/>
    </xf>
    <xf numFmtId="3" fontId="13" fillId="2" borderId="1" xfId="7" applyNumberFormat="1" applyFont="1" applyFill="1" applyBorder="1" applyAlignment="1">
      <alignment horizontal="left" vertical="top" wrapText="1"/>
    </xf>
    <xf numFmtId="3" fontId="10" fillId="2" borderId="1" xfId="7" applyNumberFormat="1" applyFont="1" applyFill="1" applyBorder="1" applyAlignment="1">
      <alignment horizontal="left" vertical="top" wrapText="1"/>
    </xf>
    <xf numFmtId="3" fontId="13" fillId="2" borderId="0" xfId="0" applyNumberFormat="1" applyFont="1" applyFill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3" fontId="13" fillId="2" borderId="1" xfId="8" applyNumberFormat="1" applyFont="1" applyFill="1" applyBorder="1" applyAlignment="1">
      <alignment horizontal="left" vertical="top" wrapText="1"/>
    </xf>
    <xf numFmtId="0" fontId="13" fillId="2" borderId="3" xfId="0" applyFont="1" applyFill="1" applyBorder="1" applyAlignment="1">
      <alignment horizontal="left" vertical="top" wrapText="1"/>
    </xf>
    <xf numFmtId="3" fontId="14" fillId="2" borderId="1" xfId="0" applyNumberFormat="1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center" vertical="top" wrapText="1"/>
    </xf>
    <xf numFmtId="166" fontId="13" fillId="2" borderId="1" xfId="0" applyNumberFormat="1" applyFont="1" applyFill="1" applyBorder="1" applyAlignment="1">
      <alignment horizontal="center" vertical="top" wrapText="1"/>
    </xf>
    <xf numFmtId="3" fontId="13" fillId="2" borderId="1" xfId="0" applyNumberFormat="1" applyFont="1" applyFill="1" applyBorder="1" applyAlignment="1">
      <alignment horizontal="center" vertical="top"/>
    </xf>
    <xf numFmtId="3" fontId="9" fillId="2" borderId="1" xfId="0" applyNumberFormat="1" applyFont="1" applyFill="1" applyBorder="1" applyAlignment="1">
      <alignment horizontal="center" vertical="top"/>
    </xf>
    <xf numFmtId="3" fontId="9" fillId="2" borderId="0" xfId="0" applyNumberFormat="1" applyFont="1" applyFill="1" applyAlignment="1">
      <alignment horizontal="center" vertical="top"/>
    </xf>
    <xf numFmtId="3" fontId="10" fillId="2" borderId="1" xfId="0" applyNumberFormat="1" applyFont="1" applyFill="1" applyBorder="1" applyAlignment="1">
      <alignment horizontal="center" vertical="top"/>
    </xf>
    <xf numFmtId="0" fontId="13" fillId="2" borderId="1" xfId="7" applyFont="1" applyFill="1" applyBorder="1" applyAlignment="1">
      <alignment horizontal="left" vertical="top" wrapText="1"/>
    </xf>
    <xf numFmtId="3" fontId="33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center" vertical="top"/>
    </xf>
    <xf numFmtId="166" fontId="1" fillId="2" borderId="9" xfId="0" applyNumberFormat="1" applyFont="1" applyFill="1" applyBorder="1" applyAlignment="1">
      <alignment horizontal="center" vertical="top"/>
    </xf>
    <xf numFmtId="164" fontId="3" fillId="2" borderId="0" xfId="0" applyNumberFormat="1" applyFont="1" applyFill="1"/>
    <xf numFmtId="166" fontId="1" fillId="2" borderId="1" xfId="0" applyNumberFormat="1" applyFont="1" applyFill="1" applyBorder="1" applyAlignment="1">
      <alignment horizontal="center" vertical="top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/>
    </xf>
    <xf numFmtId="3" fontId="3" fillId="2" borderId="0" xfId="0" applyNumberFormat="1" applyFont="1" applyFill="1" applyAlignment="1">
      <alignment wrapText="1"/>
    </xf>
    <xf numFmtId="3" fontId="3" fillId="2" borderId="0" xfId="0" applyNumberFormat="1" applyFont="1" applyFill="1" applyAlignment="1">
      <alignment horizontal="left"/>
    </xf>
    <xf numFmtId="3" fontId="3" fillId="2" borderId="0" xfId="0" applyNumberFormat="1" applyFont="1" applyFill="1" applyAlignment="1">
      <alignment vertical="top"/>
    </xf>
    <xf numFmtId="166" fontId="3" fillId="2" borderId="0" xfId="0" applyNumberFormat="1" applyFont="1" applyFill="1" applyAlignment="1">
      <alignment wrapText="1"/>
    </xf>
    <xf numFmtId="166" fontId="3" fillId="2" borderId="0" xfId="0" applyNumberFormat="1" applyFont="1" applyFill="1"/>
    <xf numFmtId="166" fontId="19" fillId="2" borderId="1" xfId="0" applyNumberFormat="1" applyFont="1" applyFill="1" applyBorder="1" applyAlignment="1">
      <alignment horizontal="center" vertical="top" wrapText="1"/>
    </xf>
    <xf numFmtId="166" fontId="19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vertical="top" wrapText="1"/>
    </xf>
    <xf numFmtId="166" fontId="22" fillId="2" borderId="1" xfId="0" applyNumberFormat="1" applyFont="1" applyFill="1" applyBorder="1" applyAlignment="1">
      <alignment horizontal="center" vertical="top" wrapText="1"/>
    </xf>
    <xf numFmtId="166" fontId="22" fillId="2" borderId="6" xfId="0" applyNumberFormat="1" applyFont="1" applyFill="1" applyBorder="1" applyAlignment="1">
      <alignment horizontal="center" vertical="top" wrapText="1"/>
    </xf>
    <xf numFmtId="49" fontId="13" fillId="2" borderId="6" xfId="0" applyNumberFormat="1" applyFont="1" applyFill="1" applyBorder="1" applyAlignment="1">
      <alignment horizontal="left" vertical="top" wrapText="1"/>
    </xf>
    <xf numFmtId="166" fontId="19" fillId="2" borderId="6" xfId="0" applyNumberFormat="1" applyFont="1" applyFill="1" applyBorder="1" applyAlignment="1">
      <alignment horizontal="center" vertical="top" wrapText="1"/>
    </xf>
    <xf numFmtId="166" fontId="19" fillId="2" borderId="9" xfId="0" applyNumberFormat="1" applyFont="1" applyFill="1" applyBorder="1" applyAlignment="1">
      <alignment horizontal="center" vertical="top" wrapText="1"/>
    </xf>
    <xf numFmtId="166" fontId="22" fillId="2" borderId="9" xfId="0" applyNumberFormat="1" applyFont="1" applyFill="1" applyBorder="1" applyAlignment="1">
      <alignment horizontal="center" vertical="top" wrapText="1"/>
    </xf>
    <xf numFmtId="49" fontId="13" fillId="2" borderId="1" xfId="0" applyNumberFormat="1" applyFont="1" applyFill="1" applyBorder="1" applyAlignment="1">
      <alignment vertical="center" wrapText="1"/>
    </xf>
    <xf numFmtId="49" fontId="13" fillId="2" borderId="1" xfId="0" applyNumberFormat="1" applyFont="1" applyFill="1" applyBorder="1" applyAlignment="1">
      <alignment horizontal="left" vertical="top" wrapText="1"/>
    </xf>
    <xf numFmtId="166" fontId="22" fillId="2" borderId="1" xfId="0" applyNumberFormat="1" applyFont="1" applyFill="1" applyBorder="1" applyAlignment="1">
      <alignment horizontal="center" vertical="top"/>
    </xf>
    <xf numFmtId="0" fontId="22" fillId="2" borderId="1" xfId="3" applyFont="1" applyFill="1" applyBorder="1" applyAlignment="1">
      <alignment vertical="top" wrapText="1"/>
    </xf>
    <xf numFmtId="166" fontId="22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/>
    <xf numFmtId="3" fontId="9" fillId="2" borderId="1" xfId="0" applyNumberFormat="1" applyFont="1" applyFill="1" applyBorder="1" applyAlignment="1">
      <alignment horizontal="center"/>
    </xf>
    <xf numFmtId="0" fontId="35" fillId="2" borderId="1" xfId="0" applyFont="1" applyFill="1" applyBorder="1" applyAlignment="1">
      <alignment vertical="top" wrapText="1"/>
    </xf>
    <xf numFmtId="0" fontId="3" fillId="2" borderId="0" xfId="0" applyFont="1" applyFill="1" applyAlignment="1">
      <alignment horizontal="center"/>
    </xf>
    <xf numFmtId="0" fontId="22" fillId="2" borderId="0" xfId="0" applyFont="1" applyFill="1" applyAlignment="1">
      <alignment vertical="top"/>
    </xf>
    <xf numFmtId="0" fontId="13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3" applyFont="1" applyFill="1" applyAlignment="1">
      <alignment horizontal="center" wrapText="1"/>
    </xf>
    <xf numFmtId="0" fontId="22" fillId="2" borderId="0" xfId="3" applyFont="1" applyFill="1" applyAlignment="1">
      <alignment horizontal="center" wrapText="1"/>
    </xf>
    <xf numFmtId="0" fontId="22" fillId="2" borderId="0" xfId="0" applyFont="1" applyFill="1" applyAlignment="1">
      <alignment horizontal="left" wrapText="1"/>
    </xf>
    <xf numFmtId="0" fontId="13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justify" wrapText="1"/>
    </xf>
    <xf numFmtId="0" fontId="28" fillId="2" borderId="0" xfId="0" applyFont="1" applyFill="1" applyAlignment="1">
      <alignment horizontal="center"/>
    </xf>
    <xf numFmtId="0" fontId="29" fillId="2" borderId="0" xfId="0" applyFont="1" applyFill="1"/>
    <xf numFmtId="0" fontId="27" fillId="2" borderId="0" xfId="0" applyFont="1" applyFill="1" applyAlignment="1">
      <alignment vertical="top"/>
    </xf>
    <xf numFmtId="0" fontId="30" fillId="2" borderId="0" xfId="0" applyFont="1" applyFill="1" applyAlignment="1">
      <alignment horizontal="center" vertical="center"/>
    </xf>
    <xf numFmtId="0" fontId="27" fillId="2" borderId="0" xfId="0" applyFont="1" applyFill="1" applyAlignment="1">
      <alignment horizontal="center" vertical="center"/>
    </xf>
    <xf numFmtId="0" fontId="30" fillId="2" borderId="0" xfId="0" applyFont="1" applyFill="1" applyAlignment="1">
      <alignment horizontal="center"/>
    </xf>
    <xf numFmtId="0" fontId="30" fillId="2" borderId="0" xfId="0" applyFont="1" applyFill="1" applyAlignment="1">
      <alignment horizontal="center" wrapText="1"/>
    </xf>
    <xf numFmtId="0" fontId="27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0" fontId="17" fillId="2" borderId="0" xfId="0" applyFont="1" applyFill="1" applyAlignment="1">
      <alignment vertical="top" wrapText="1"/>
    </xf>
    <xf numFmtId="165" fontId="2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left" vertical="center" wrapText="1"/>
    </xf>
    <xf numFmtId="166" fontId="19" fillId="2" borderId="3" xfId="0" applyNumberFormat="1" applyFont="1" applyFill="1" applyBorder="1" applyAlignment="1">
      <alignment horizontal="center" vertical="top" wrapText="1"/>
    </xf>
    <xf numFmtId="166" fontId="22" fillId="2" borderId="3" xfId="0" applyNumberFormat="1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center"/>
    </xf>
    <xf numFmtId="0" fontId="22" fillId="2" borderId="1" xfId="3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vertical="top"/>
    </xf>
    <xf numFmtId="0" fontId="22" fillId="2" borderId="12" xfId="0" applyFont="1" applyFill="1" applyBorder="1" applyAlignment="1">
      <alignment vertical="top" wrapText="1"/>
    </xf>
    <xf numFmtId="49" fontId="13" fillId="2" borderId="12" xfId="0" applyNumberFormat="1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vertical="top" wrapText="1"/>
    </xf>
    <xf numFmtId="16" fontId="14" fillId="2" borderId="12" xfId="0" applyNumberFormat="1" applyFont="1" applyFill="1" applyBorder="1" applyAlignment="1">
      <alignment vertical="top"/>
    </xf>
    <xf numFmtId="49" fontId="13" fillId="2" borderId="6" xfId="0" applyNumberFormat="1" applyFont="1" applyFill="1" applyBorder="1" applyAlignment="1">
      <alignment vertical="top" wrapText="1"/>
    </xf>
    <xf numFmtId="0" fontId="22" fillId="2" borderId="6" xfId="0" applyFont="1" applyFill="1" applyBorder="1" applyAlignment="1">
      <alignment vertical="top" wrapText="1"/>
    </xf>
    <xf numFmtId="0" fontId="14" fillId="2" borderId="9" xfId="0" applyFont="1" applyFill="1" applyBorder="1" applyAlignment="1">
      <alignment vertical="top"/>
    </xf>
    <xf numFmtId="0" fontId="14" fillId="2" borderId="6" xfId="0" applyFont="1" applyFill="1" applyBorder="1" applyAlignment="1">
      <alignment vertical="top"/>
    </xf>
    <xf numFmtId="0" fontId="16" fillId="2" borderId="1" xfId="0" applyFont="1" applyFill="1" applyBorder="1" applyAlignment="1">
      <alignment horizontal="center" vertical="center" wrapText="1"/>
    </xf>
    <xf numFmtId="4" fontId="19" fillId="2" borderId="1" xfId="0" applyNumberFormat="1" applyFont="1" applyFill="1" applyBorder="1" applyAlignment="1">
      <alignment horizontal="center" vertical="center" wrapText="1"/>
    </xf>
    <xf numFmtId="0" fontId="5" fillId="2" borderId="8" xfId="0" applyFont="1" applyFill="1" applyBorder="1"/>
    <xf numFmtId="0" fontId="24" fillId="2" borderId="1" xfId="0" applyFont="1" applyFill="1" applyBorder="1" applyAlignment="1">
      <alignment horizontal="left" vertical="top" wrapText="1"/>
    </xf>
    <xf numFmtId="49" fontId="13" fillId="2" borderId="1" xfId="0" applyNumberFormat="1" applyFont="1" applyFill="1" applyBorder="1" applyAlignment="1">
      <alignment vertical="top" wrapText="1"/>
    </xf>
    <xf numFmtId="0" fontId="22" fillId="2" borderId="6" xfId="3" applyFont="1" applyFill="1" applyBorder="1" applyAlignment="1">
      <alignment vertical="top" wrapText="1"/>
    </xf>
    <xf numFmtId="0" fontId="10" fillId="2" borderId="0" xfId="0" applyFont="1" applyFill="1" applyBorder="1" applyAlignment="1">
      <alignment horizontal="left" vertical="center" wrapText="1"/>
    </xf>
    <xf numFmtId="0" fontId="19" fillId="2" borderId="0" xfId="0" applyFont="1" applyFill="1" applyBorder="1" applyAlignment="1">
      <alignment horizontal="left" vertical="center" wrapText="1"/>
    </xf>
    <xf numFmtId="166" fontId="10" fillId="2" borderId="0" xfId="0" applyNumberFormat="1" applyFont="1" applyFill="1" applyBorder="1" applyAlignment="1">
      <alignment horizontal="center" vertical="center" wrapText="1"/>
    </xf>
    <xf numFmtId="49" fontId="19" fillId="2" borderId="6" xfId="0" applyNumberFormat="1" applyFont="1" applyFill="1" applyBorder="1" applyAlignment="1">
      <alignment vertical="top" wrapText="1"/>
    </xf>
    <xf numFmtId="0" fontId="22" fillId="2" borderId="1" xfId="0" applyNumberFormat="1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/>
    </xf>
    <xf numFmtId="166" fontId="13" fillId="2" borderId="6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left"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4" fontId="22" fillId="2" borderId="1" xfId="0" applyNumberFormat="1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166" fontId="10" fillId="2" borderId="1" xfId="0" applyNumberFormat="1" applyFont="1" applyFill="1" applyBorder="1" applyAlignment="1">
      <alignment horizontal="center" vertical="top" wrapText="1"/>
    </xf>
    <xf numFmtId="166" fontId="17" fillId="2" borderId="6" xfId="0" applyNumberFormat="1" applyFont="1" applyFill="1" applyBorder="1" applyAlignment="1">
      <alignment horizontal="center" vertical="top" wrapText="1"/>
    </xf>
    <xf numFmtId="166" fontId="17" fillId="2" borderId="12" xfId="0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top" wrapText="1"/>
    </xf>
    <xf numFmtId="3" fontId="22" fillId="2" borderId="1" xfId="0" applyNumberFormat="1" applyFont="1" applyFill="1" applyBorder="1" applyAlignment="1">
      <alignment horizontal="center" vertical="top" wrapText="1"/>
    </xf>
    <xf numFmtId="0" fontId="19" fillId="2" borderId="12" xfId="0" applyFont="1" applyFill="1" applyBorder="1" applyAlignment="1">
      <alignment horizontal="center" vertical="top" wrapText="1"/>
    </xf>
    <xf numFmtId="0" fontId="3" fillId="2" borderId="0" xfId="0" applyFont="1" applyFill="1" applyBorder="1"/>
    <xf numFmtId="0" fontId="10" fillId="2" borderId="0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vertical="top" wrapText="1"/>
    </xf>
    <xf numFmtId="0" fontId="10" fillId="2" borderId="4" xfId="0" applyFont="1" applyFill="1" applyBorder="1" applyAlignment="1">
      <alignment horizontal="center" vertical="top" wrapText="1"/>
    </xf>
    <xf numFmtId="164" fontId="22" fillId="2" borderId="1" xfId="0" applyNumberFormat="1" applyFont="1" applyFill="1" applyBorder="1" applyAlignment="1">
      <alignment horizontal="center" vertical="top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vertical="center"/>
    </xf>
    <xf numFmtId="166" fontId="19" fillId="2" borderId="1" xfId="0" applyNumberFormat="1" applyFont="1" applyFill="1" applyBorder="1" applyAlignment="1">
      <alignment horizontal="center" vertical="top"/>
    </xf>
    <xf numFmtId="0" fontId="20" fillId="2" borderId="3" xfId="0" applyFont="1" applyFill="1" applyBorder="1" applyAlignment="1">
      <alignment vertical="center"/>
    </xf>
    <xf numFmtId="0" fontId="19" fillId="2" borderId="4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center" vertical="top" wrapText="1"/>
    </xf>
    <xf numFmtId="0" fontId="31" fillId="2" borderId="0" xfId="0" applyFont="1" applyFill="1" applyAlignment="1">
      <alignment horizontal="center"/>
    </xf>
    <xf numFmtId="0" fontId="31" fillId="2" borderId="0" xfId="0" applyFont="1" applyFill="1"/>
    <xf numFmtId="0" fontId="31" fillId="2" borderId="0" xfId="0" applyFont="1" applyFill="1" applyAlignment="1">
      <alignment vertical="top"/>
    </xf>
    <xf numFmtId="0" fontId="31" fillId="2" borderId="0" xfId="0" applyFont="1" applyFill="1" applyAlignment="1">
      <alignment horizontal="center" vertical="center"/>
    </xf>
    <xf numFmtId="0" fontId="31" fillId="2" borderId="0" xfId="0" applyFont="1" applyFill="1" applyAlignment="1">
      <alignment horizontal="center" wrapText="1"/>
    </xf>
    <xf numFmtId="0" fontId="22" fillId="2" borderId="0" xfId="0" applyFont="1" applyFill="1" applyAlignment="1">
      <alignment horizontal="center"/>
    </xf>
    <xf numFmtId="0" fontId="31" fillId="2" borderId="0" xfId="0" applyFont="1" applyFill="1" applyAlignment="1">
      <alignment vertical="top" wrapText="1"/>
    </xf>
    <xf numFmtId="0" fontId="26" fillId="2" borderId="0" xfId="0" applyFont="1" applyFill="1" applyAlignment="1">
      <alignment horizontal="left"/>
    </xf>
    <xf numFmtId="0" fontId="32" fillId="2" borderId="0" xfId="0" applyFont="1" applyFill="1"/>
    <xf numFmtId="166" fontId="22" fillId="2" borderId="0" xfId="0" applyNumberFormat="1" applyFont="1" applyFill="1" applyAlignment="1">
      <alignment horizontal="center" wrapText="1"/>
    </xf>
    <xf numFmtId="0" fontId="26" fillId="2" borderId="0" xfId="0" applyFont="1" applyFill="1"/>
    <xf numFmtId="0" fontId="26" fillId="2" borderId="0" xfId="0" applyFont="1" applyFill="1" applyAlignment="1">
      <alignment horizontal="right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wrapText="1"/>
    </xf>
    <xf numFmtId="0" fontId="22" fillId="2" borderId="0" xfId="0" applyFont="1" applyFill="1" applyAlignment="1">
      <alignment wrapText="1"/>
    </xf>
    <xf numFmtId="0" fontId="26" fillId="2" borderId="0" xfId="0" applyFont="1" applyFill="1" applyAlignment="1">
      <alignment vertical="top" wrapText="1"/>
    </xf>
    <xf numFmtId="0" fontId="17" fillId="2" borderId="0" xfId="0" applyFont="1" applyFill="1"/>
    <xf numFmtId="0" fontId="22" fillId="2" borderId="0" xfId="0" applyFont="1" applyFill="1" applyAlignment="1">
      <alignment horizontal="right"/>
    </xf>
    <xf numFmtId="0" fontId="17" fillId="2" borderId="0" xfId="0" applyFont="1" applyFill="1" applyAlignment="1">
      <alignment horizontal="center" vertical="center"/>
    </xf>
    <xf numFmtId="0" fontId="22" fillId="2" borderId="0" xfId="0" applyFont="1" applyFill="1"/>
    <xf numFmtId="0" fontId="17" fillId="2" borderId="0" xfId="0" applyFont="1" applyFill="1" applyAlignment="1">
      <alignment wrapText="1"/>
    </xf>
    <xf numFmtId="0" fontId="13" fillId="2" borderId="0" xfId="0" applyFont="1" applyFill="1" applyAlignment="1">
      <alignment wrapText="1"/>
    </xf>
    <xf numFmtId="0" fontId="22" fillId="2" borderId="0" xfId="0" applyFont="1" applyFill="1" applyAlignment="1">
      <alignment horizontal="left"/>
    </xf>
    <xf numFmtId="0" fontId="3" fillId="2" borderId="9" xfId="3" applyFont="1" applyFill="1" applyBorder="1" applyAlignment="1">
      <alignment vertical="top" wrapText="1"/>
    </xf>
    <xf numFmtId="4" fontId="3" fillId="2" borderId="9" xfId="0" applyNumberFormat="1" applyFont="1" applyFill="1" applyBorder="1" applyAlignment="1">
      <alignment horizontal="center" vertical="top"/>
    </xf>
    <xf numFmtId="0" fontId="1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top" wrapText="1"/>
    </xf>
    <xf numFmtId="0" fontId="3" fillId="2" borderId="1" xfId="3" applyFont="1" applyFill="1" applyBorder="1" applyAlignment="1">
      <alignment vertical="top" wrapText="1"/>
    </xf>
    <xf numFmtId="166" fontId="3" fillId="2" borderId="9" xfId="0" applyNumberFormat="1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1" xfId="3" applyFont="1" applyFill="1" applyBorder="1" applyAlignment="1">
      <alignment horizontal="center" vertical="top" wrapText="1"/>
    </xf>
    <xf numFmtId="0" fontId="36" fillId="2" borderId="6" xfId="0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vertical="top"/>
    </xf>
    <xf numFmtId="0" fontId="14" fillId="2" borderId="10" xfId="0" applyFont="1" applyFill="1" applyBorder="1" applyAlignment="1">
      <alignment vertical="top"/>
    </xf>
    <xf numFmtId="0" fontId="14" fillId="2" borderId="7" xfId="0" applyFont="1" applyFill="1" applyBorder="1" applyAlignment="1">
      <alignment vertical="top"/>
    </xf>
    <xf numFmtId="49" fontId="22" fillId="2" borderId="2" xfId="0" applyNumberFormat="1" applyFont="1" applyFill="1" applyBorder="1" applyAlignment="1">
      <alignment vertical="top" wrapText="1"/>
    </xf>
    <xf numFmtId="0" fontId="22" fillId="2" borderId="2" xfId="0" applyFont="1" applyFill="1" applyBorder="1" applyAlignment="1">
      <alignment vertical="top" wrapText="1"/>
    </xf>
    <xf numFmtId="0" fontId="22" fillId="2" borderId="2" xfId="3" applyFont="1" applyFill="1" applyBorder="1" applyAlignment="1">
      <alignment vertical="top" wrapText="1"/>
    </xf>
    <xf numFmtId="166" fontId="22" fillId="2" borderId="0" xfId="0" applyNumberFormat="1" applyFont="1" applyFill="1"/>
    <xf numFmtId="166" fontId="24" fillId="2" borderId="0" xfId="0" applyNumberFormat="1" applyFont="1" applyFill="1"/>
    <xf numFmtId="3" fontId="10" fillId="2" borderId="3" xfId="0" applyNumberFormat="1" applyFont="1" applyFill="1" applyBorder="1" applyAlignment="1">
      <alignment horizontal="left" vertical="top"/>
    </xf>
    <xf numFmtId="3" fontId="10" fillId="2" borderId="4" xfId="0" applyNumberFormat="1" applyFont="1" applyFill="1" applyBorder="1" applyAlignment="1">
      <alignment horizontal="left" vertical="top"/>
    </xf>
    <xf numFmtId="3" fontId="10" fillId="2" borderId="2" xfId="0" applyNumberFormat="1" applyFont="1" applyFill="1" applyBorder="1" applyAlignment="1">
      <alignment horizontal="left" vertical="top"/>
    </xf>
    <xf numFmtId="3" fontId="10" fillId="2" borderId="3" xfId="6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/>
    </xf>
    <xf numFmtId="3" fontId="11" fillId="2" borderId="1" xfId="0" applyNumberFormat="1" applyFont="1" applyFill="1" applyBorder="1" applyAlignment="1">
      <alignment horizontal="center" wrapText="1"/>
    </xf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/>
    </xf>
    <xf numFmtId="3" fontId="10" fillId="2" borderId="1" xfId="0" applyNumberFormat="1" applyFont="1" applyFill="1" applyBorder="1" applyAlignment="1">
      <alignment horizontal="left" vertical="top" wrapText="1"/>
    </xf>
    <xf numFmtId="3" fontId="11" fillId="2" borderId="1" xfId="0" applyNumberFormat="1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left" vertical="top"/>
    </xf>
    <xf numFmtId="0" fontId="19" fillId="2" borderId="11" xfId="0" applyFont="1" applyFill="1" applyBorder="1" applyAlignment="1">
      <alignment horizontal="left" vertical="top"/>
    </xf>
    <xf numFmtId="0" fontId="22" fillId="2" borderId="6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left" vertical="top" wrapText="1"/>
    </xf>
    <xf numFmtId="0" fontId="17" fillId="2" borderId="6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9" fillId="2" borderId="6" xfId="0" applyFont="1" applyFill="1" applyBorder="1" applyAlignment="1">
      <alignment horizontal="left" vertical="top" wrapText="1"/>
    </xf>
    <xf numFmtId="0" fontId="22" fillId="2" borderId="1" xfId="3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5" fillId="2" borderId="11" xfId="0" applyFont="1" applyFill="1" applyBorder="1"/>
    <xf numFmtId="0" fontId="10" fillId="2" borderId="9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15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 wrapText="1"/>
    </xf>
    <xf numFmtId="49" fontId="22" fillId="2" borderId="12" xfId="0" applyNumberFormat="1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vertical="top" wrapText="1"/>
    </xf>
    <xf numFmtId="0" fontId="22" fillId="2" borderId="12" xfId="3" applyFont="1" applyFill="1" applyBorder="1" applyAlignment="1">
      <alignment horizontal="center" vertical="top" wrapText="1"/>
    </xf>
    <xf numFmtId="0" fontId="13" fillId="2" borderId="6" xfId="3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top" wrapText="1"/>
    </xf>
    <xf numFmtId="0" fontId="14" fillId="2" borderId="8" xfId="0" applyFont="1" applyFill="1" applyBorder="1" applyAlignment="1">
      <alignment horizontal="left" vertical="top" wrapText="1"/>
    </xf>
    <xf numFmtId="49" fontId="13" fillId="2" borderId="2" xfId="0" applyNumberFormat="1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2" xfId="3" applyFont="1" applyFill="1" applyBorder="1" applyAlignment="1">
      <alignment horizontal="left" vertical="top" wrapText="1"/>
    </xf>
    <xf numFmtId="0" fontId="22" fillId="2" borderId="1" xfId="0" applyFont="1" applyFill="1" applyBorder="1" applyAlignment="1">
      <alignment horizontal="center" vertical="top" wrapText="1"/>
    </xf>
    <xf numFmtId="3" fontId="10" fillId="2" borderId="1" xfId="0" applyNumberFormat="1" applyFont="1" applyFill="1" applyBorder="1" applyAlignment="1">
      <alignment horizontal="left" vertical="top" wrapText="1" shrinkToFit="1"/>
    </xf>
    <xf numFmtId="3" fontId="13" fillId="2" borderId="6" xfId="7" applyNumberFormat="1" applyFont="1" applyFill="1" applyBorder="1" applyAlignment="1">
      <alignment horizontal="left" vertical="top" wrapText="1"/>
    </xf>
    <xf numFmtId="0" fontId="14" fillId="2" borderId="0" xfId="0" applyFont="1" applyFill="1" applyBorder="1" applyAlignment="1">
      <alignment horizontal="left" vertical="top" wrapText="1"/>
    </xf>
    <xf numFmtId="166" fontId="37" fillId="2" borderId="0" xfId="0" applyNumberFormat="1" applyFont="1" applyFill="1"/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0" borderId="0" xfId="3" applyFont="1" applyFill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22" fillId="2" borderId="6" xfId="3" applyFont="1" applyFill="1" applyBorder="1" applyAlignment="1">
      <alignment horizontal="left" vertical="top" wrapText="1"/>
    </xf>
    <xf numFmtId="0" fontId="22" fillId="2" borderId="9" xfId="3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center" vertical="top" wrapText="1"/>
    </xf>
    <xf numFmtId="0" fontId="22" fillId="2" borderId="12" xfId="0" applyFont="1" applyFill="1" applyBorder="1" applyAlignment="1">
      <alignment horizontal="center" vertical="top" wrapText="1"/>
    </xf>
    <xf numFmtId="0" fontId="22" fillId="2" borderId="9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left" vertical="top" wrapText="1"/>
    </xf>
    <xf numFmtId="49" fontId="19" fillId="2" borderId="1" xfId="0" applyNumberFormat="1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top" wrapText="1"/>
    </xf>
    <xf numFmtId="0" fontId="22" fillId="2" borderId="9" xfId="0" applyFont="1" applyFill="1" applyBorder="1" applyAlignment="1">
      <alignment horizontal="left" vertical="top" wrapText="1"/>
    </xf>
    <xf numFmtId="0" fontId="22" fillId="2" borderId="12" xfId="0" applyFont="1" applyFill="1" applyBorder="1" applyAlignment="1">
      <alignment horizontal="left" vertical="top" wrapText="1"/>
    </xf>
    <xf numFmtId="0" fontId="22" fillId="2" borderId="2" xfId="3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center" wrapText="1"/>
    </xf>
    <xf numFmtId="0" fontId="19" fillId="2" borderId="4" xfId="0" applyFont="1" applyFill="1" applyBorder="1" applyAlignment="1">
      <alignment horizontal="left" vertical="center" wrapText="1"/>
    </xf>
    <xf numFmtId="0" fontId="19" fillId="2" borderId="2" xfId="0" applyFont="1" applyFill="1" applyBorder="1" applyAlignment="1">
      <alignment horizontal="left" vertical="center" wrapText="1"/>
    </xf>
    <xf numFmtId="0" fontId="13" fillId="2" borderId="6" xfId="0" applyFont="1" applyFill="1" applyBorder="1" applyAlignment="1">
      <alignment horizontal="center" vertical="top" wrapText="1"/>
    </xf>
    <xf numFmtId="0" fontId="13" fillId="2" borderId="12" xfId="0" applyFont="1" applyFill="1" applyBorder="1" applyAlignment="1">
      <alignment horizontal="center" vertical="top" wrapText="1"/>
    </xf>
    <xf numFmtId="0" fontId="13" fillId="2" borderId="9" xfId="0" applyFont="1" applyFill="1" applyBorder="1" applyAlignment="1">
      <alignment horizontal="center" vertical="top" wrapText="1"/>
    </xf>
    <xf numFmtId="0" fontId="13" fillId="2" borderId="6" xfId="3" applyFont="1" applyFill="1" applyBorder="1" applyAlignment="1">
      <alignment horizontal="center" vertical="top" wrapText="1"/>
    </xf>
    <xf numFmtId="0" fontId="13" fillId="2" borderId="12" xfId="3" applyFont="1" applyFill="1" applyBorder="1" applyAlignment="1">
      <alignment horizontal="center" vertical="top" wrapText="1"/>
    </xf>
    <xf numFmtId="0" fontId="13" fillId="2" borderId="9" xfId="3" applyFont="1" applyFill="1" applyBorder="1" applyAlignment="1">
      <alignment horizontal="center" vertical="top" wrapText="1"/>
    </xf>
    <xf numFmtId="0" fontId="13" fillId="2" borderId="1" xfId="3" applyFont="1" applyFill="1" applyBorder="1" applyAlignment="1">
      <alignment horizontal="center" vertical="top" wrapText="1"/>
    </xf>
    <xf numFmtId="0" fontId="10" fillId="2" borderId="6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 wrapText="1"/>
    </xf>
    <xf numFmtId="0" fontId="10" fillId="2" borderId="9" xfId="0" applyFont="1" applyFill="1" applyBorder="1" applyAlignment="1">
      <alignment horizontal="center" vertical="top" wrapText="1"/>
    </xf>
    <xf numFmtId="0" fontId="22" fillId="2" borderId="3" xfId="0" applyFont="1" applyFill="1" applyBorder="1" applyAlignment="1">
      <alignment horizontal="left" vertical="top" wrapText="1"/>
    </xf>
    <xf numFmtId="0" fontId="22" fillId="2" borderId="2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center" wrapText="1"/>
    </xf>
    <xf numFmtId="0" fontId="20" fillId="2" borderId="4" xfId="0" applyFont="1" applyFill="1" applyBorder="1" applyAlignment="1">
      <alignment horizontal="left" vertical="center" wrapText="1"/>
    </xf>
    <xf numFmtId="0" fontId="20" fillId="2" borderId="2" xfId="0" applyFont="1" applyFill="1" applyBorder="1" applyAlignment="1">
      <alignment horizontal="left" vertical="center" wrapText="1"/>
    </xf>
    <xf numFmtId="49" fontId="22" fillId="2" borderId="6" xfId="0" applyNumberFormat="1" applyFont="1" applyFill="1" applyBorder="1" applyAlignment="1">
      <alignment horizontal="left" vertical="top" wrapText="1"/>
    </xf>
    <xf numFmtId="49" fontId="22" fillId="2" borderId="12" xfId="0" applyNumberFormat="1" applyFont="1" applyFill="1" applyBorder="1" applyAlignment="1">
      <alignment horizontal="left" vertical="top" wrapText="1"/>
    </xf>
    <xf numFmtId="49" fontId="22" fillId="2" borderId="9" xfId="0" applyNumberFormat="1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left" vertical="top" wrapText="1"/>
    </xf>
    <xf numFmtId="0" fontId="19" fillId="2" borderId="14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top" wrapText="1"/>
    </xf>
    <xf numFmtId="0" fontId="19" fillId="2" borderId="4" xfId="0" applyFont="1" applyFill="1" applyBorder="1" applyAlignment="1">
      <alignment horizontal="left" vertical="top" wrapText="1"/>
    </xf>
    <xf numFmtId="0" fontId="19" fillId="2" borderId="2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left" vertical="top" wrapText="1"/>
    </xf>
    <xf numFmtId="0" fontId="19" fillId="2" borderId="12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13" xfId="0" applyFont="1" applyFill="1" applyBorder="1" applyAlignment="1">
      <alignment horizontal="left" vertical="top" wrapText="1"/>
    </xf>
    <xf numFmtId="0" fontId="14" fillId="2" borderId="10" xfId="0" applyFont="1" applyFill="1" applyBorder="1" applyAlignment="1">
      <alignment horizontal="left" vertical="top" wrapText="1"/>
    </xf>
    <xf numFmtId="0" fontId="14" fillId="2" borderId="11" xfId="0" applyFont="1" applyFill="1" applyBorder="1" applyAlignment="1">
      <alignment horizontal="left" vertical="top" wrapText="1"/>
    </xf>
    <xf numFmtId="0" fontId="22" fillId="2" borderId="6" xfId="0" applyFont="1" applyFill="1" applyBorder="1" applyAlignment="1">
      <alignment horizontal="left" vertical="center" wrapText="1"/>
    </xf>
    <xf numFmtId="0" fontId="22" fillId="2" borderId="12" xfId="0" applyFont="1" applyFill="1" applyBorder="1" applyAlignment="1">
      <alignment horizontal="left" vertical="center" wrapText="1"/>
    </xf>
    <xf numFmtId="0" fontId="22" fillId="2" borderId="9" xfId="0" applyFont="1" applyFill="1" applyBorder="1" applyAlignment="1">
      <alignment horizontal="left" vertical="center" wrapText="1"/>
    </xf>
    <xf numFmtId="0" fontId="22" fillId="2" borderId="1" xfId="3" applyFont="1" applyFill="1" applyBorder="1" applyAlignment="1">
      <alignment horizontal="left" vertical="top" wrapText="1"/>
    </xf>
    <xf numFmtId="0" fontId="22" fillId="2" borderId="14" xfId="3" applyFont="1" applyFill="1" applyBorder="1" applyAlignment="1">
      <alignment horizontal="left" vertical="top" wrapText="1"/>
    </xf>
    <xf numFmtId="0" fontId="22" fillId="2" borderId="0" xfId="3" applyFont="1" applyFill="1" applyBorder="1" applyAlignment="1">
      <alignment horizontal="left" vertical="top" wrapText="1"/>
    </xf>
    <xf numFmtId="0" fontId="22" fillId="2" borderId="15" xfId="3" applyFont="1" applyFill="1" applyBorder="1" applyAlignment="1">
      <alignment horizontal="left" vertical="top" wrapText="1"/>
    </xf>
    <xf numFmtId="0" fontId="19" fillId="2" borderId="1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center" vertical="top"/>
    </xf>
    <xf numFmtId="0" fontId="14" fillId="2" borderId="14" xfId="0" applyFont="1" applyFill="1" applyBorder="1" applyAlignment="1">
      <alignment horizontal="center" vertical="top"/>
    </xf>
    <xf numFmtId="0" fontId="14" fillId="2" borderId="13" xfId="0" applyFont="1" applyFill="1" applyBorder="1" applyAlignment="1">
      <alignment horizontal="center" vertical="top"/>
    </xf>
    <xf numFmtId="0" fontId="14" fillId="2" borderId="10" xfId="0" applyFont="1" applyFill="1" applyBorder="1" applyAlignment="1">
      <alignment horizontal="center" vertical="top"/>
    </xf>
    <xf numFmtId="0" fontId="14" fillId="2" borderId="0" xfId="0" applyFont="1" applyFill="1" applyBorder="1" applyAlignment="1">
      <alignment horizontal="center" vertical="top"/>
    </xf>
    <xf numFmtId="0" fontId="14" fillId="2" borderId="11" xfId="0" applyFont="1" applyFill="1" applyBorder="1" applyAlignment="1">
      <alignment horizontal="center" vertical="top"/>
    </xf>
    <xf numFmtId="0" fontId="14" fillId="2" borderId="7" xfId="0" applyFont="1" applyFill="1" applyBorder="1" applyAlignment="1">
      <alignment horizontal="center" vertical="top"/>
    </xf>
    <xf numFmtId="0" fontId="14" fillId="2" borderId="8" xfId="0" applyFont="1" applyFill="1" applyBorder="1" applyAlignment="1">
      <alignment horizontal="center" vertical="top"/>
    </xf>
    <xf numFmtId="0" fontId="19" fillId="2" borderId="14" xfId="0" applyFont="1" applyFill="1" applyBorder="1" applyAlignment="1">
      <alignment horizontal="center" vertical="top"/>
    </xf>
    <xf numFmtId="0" fontId="19" fillId="2" borderId="13" xfId="0" applyFont="1" applyFill="1" applyBorder="1" applyAlignment="1">
      <alignment horizontal="center" vertical="top"/>
    </xf>
    <xf numFmtId="0" fontId="19" fillId="2" borderId="0" xfId="0" applyFont="1" applyFill="1" applyBorder="1" applyAlignment="1">
      <alignment horizontal="center" vertical="top"/>
    </xf>
    <xf numFmtId="0" fontId="19" fillId="2" borderId="11" xfId="0" applyFont="1" applyFill="1" applyBorder="1" applyAlignment="1">
      <alignment horizontal="center" vertical="top"/>
    </xf>
    <xf numFmtId="0" fontId="19" fillId="2" borderId="15" xfId="0" applyFont="1" applyFill="1" applyBorder="1" applyAlignment="1">
      <alignment horizontal="center" vertical="top"/>
    </xf>
    <xf numFmtId="0" fontId="19" fillId="2" borderId="8" xfId="0" applyFont="1" applyFill="1" applyBorder="1" applyAlignment="1">
      <alignment horizontal="center" vertical="top"/>
    </xf>
    <xf numFmtId="0" fontId="10" fillId="2" borderId="6" xfId="0" applyFont="1" applyFill="1" applyBorder="1" applyAlignment="1">
      <alignment horizontal="center" vertical="top"/>
    </xf>
    <xf numFmtId="0" fontId="10" fillId="2" borderId="12" xfId="0" applyFont="1" applyFill="1" applyBorder="1" applyAlignment="1">
      <alignment horizontal="center" vertical="top"/>
    </xf>
    <xf numFmtId="0" fontId="10" fillId="2" borderId="9" xfId="0" applyFont="1" applyFill="1" applyBorder="1" applyAlignment="1">
      <alignment horizontal="center" vertical="top"/>
    </xf>
    <xf numFmtId="0" fontId="14" fillId="2" borderId="4" xfId="0" applyFont="1" applyFill="1" applyBorder="1" applyAlignment="1">
      <alignment horizontal="left" vertical="top" wrapText="1"/>
    </xf>
    <xf numFmtId="0" fontId="14" fillId="2" borderId="2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left" vertical="top"/>
    </xf>
    <xf numFmtId="0" fontId="19" fillId="2" borderId="4" xfId="0" applyFont="1" applyFill="1" applyBorder="1" applyAlignment="1">
      <alignment horizontal="left" vertical="top"/>
    </xf>
    <xf numFmtId="0" fontId="19" fillId="2" borderId="2" xfId="0" applyFont="1" applyFill="1" applyBorder="1" applyAlignment="1">
      <alignment horizontal="left" vertical="top"/>
    </xf>
    <xf numFmtId="0" fontId="24" fillId="2" borderId="6" xfId="0" applyFont="1" applyFill="1" applyBorder="1" applyAlignment="1">
      <alignment horizontal="center" vertical="top" wrapText="1"/>
    </xf>
    <xf numFmtId="0" fontId="24" fillId="2" borderId="12" xfId="0" applyFont="1" applyFill="1" applyBorder="1" applyAlignment="1">
      <alignment horizontal="center" vertical="top" wrapText="1"/>
    </xf>
    <xf numFmtId="0" fontId="24" fillId="2" borderId="9" xfId="0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/>
    </xf>
    <xf numFmtId="0" fontId="14" fillId="2" borderId="12" xfId="0" applyFont="1" applyFill="1" applyBorder="1" applyAlignment="1">
      <alignment horizontal="center" vertical="top"/>
    </xf>
    <xf numFmtId="0" fontId="14" fillId="2" borderId="1" xfId="0" applyFont="1" applyFill="1" applyBorder="1" applyAlignment="1">
      <alignment horizontal="center" vertical="top"/>
    </xf>
    <xf numFmtId="49" fontId="13" fillId="2" borderId="2" xfId="0" applyNumberFormat="1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/>
    </xf>
    <xf numFmtId="0" fontId="20" fillId="2" borderId="4" xfId="0" applyFont="1" applyFill="1" applyBorder="1" applyAlignment="1">
      <alignment horizontal="left" vertical="top"/>
    </xf>
    <xf numFmtId="0" fontId="20" fillId="2" borderId="2" xfId="0" applyFont="1" applyFill="1" applyBorder="1" applyAlignment="1">
      <alignment horizontal="left" vertical="top"/>
    </xf>
    <xf numFmtId="0" fontId="17" fillId="2" borderId="6" xfId="0" applyFont="1" applyFill="1" applyBorder="1" applyAlignment="1">
      <alignment horizontal="center" vertical="top" wrapText="1"/>
    </xf>
    <xf numFmtId="0" fontId="17" fillId="2" borderId="12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left" vertical="top"/>
    </xf>
    <xf numFmtId="0" fontId="19" fillId="2" borderId="0" xfId="0" applyFont="1" applyFill="1" applyBorder="1" applyAlignment="1">
      <alignment horizontal="left" vertical="top"/>
    </xf>
    <xf numFmtId="0" fontId="19" fillId="2" borderId="11" xfId="0" applyFont="1" applyFill="1" applyBorder="1" applyAlignment="1">
      <alignment horizontal="left" vertical="top"/>
    </xf>
    <xf numFmtId="0" fontId="19" fillId="2" borderId="1" xfId="0" applyFont="1" applyFill="1" applyBorder="1" applyAlignment="1">
      <alignment horizontal="left" vertical="top"/>
    </xf>
    <xf numFmtId="0" fontId="17" fillId="2" borderId="1" xfId="0" applyFont="1" applyFill="1" applyBorder="1" applyAlignment="1">
      <alignment horizontal="center" vertical="top" wrapText="1"/>
    </xf>
    <xf numFmtId="0" fontId="22" fillId="2" borderId="1" xfId="0" applyFont="1" applyFill="1" applyBorder="1" applyAlignment="1">
      <alignment horizontal="center" vertical="top" wrapText="1"/>
    </xf>
    <xf numFmtId="49" fontId="19" fillId="2" borderId="6" xfId="0" applyNumberFormat="1" applyFont="1" applyFill="1" applyBorder="1" applyAlignment="1">
      <alignment horizontal="center" vertical="top" wrapText="1"/>
    </xf>
    <xf numFmtId="49" fontId="19" fillId="2" borderId="12" xfId="0" applyNumberFormat="1" applyFont="1" applyFill="1" applyBorder="1" applyAlignment="1">
      <alignment horizontal="center" vertical="top" wrapText="1"/>
    </xf>
    <xf numFmtId="49" fontId="19" fillId="2" borderId="9" xfId="0" applyNumberFormat="1" applyFont="1" applyFill="1" applyBorder="1" applyAlignment="1">
      <alignment horizontal="center" vertical="top" wrapText="1"/>
    </xf>
    <xf numFmtId="0" fontId="14" fillId="2" borderId="6" xfId="0" applyFont="1" applyFill="1" applyBorder="1" applyAlignment="1">
      <alignment horizontal="center" vertical="top" wrapText="1"/>
    </xf>
    <xf numFmtId="0" fontId="14" fillId="2" borderId="12" xfId="0" applyFont="1" applyFill="1" applyBorder="1" applyAlignment="1">
      <alignment horizontal="center" vertical="top" wrapText="1"/>
    </xf>
    <xf numFmtId="0" fontId="14" fillId="2" borderId="9" xfId="0" applyFont="1" applyFill="1" applyBorder="1" applyAlignment="1">
      <alignment horizontal="center" vertical="top" wrapText="1"/>
    </xf>
    <xf numFmtId="0" fontId="22" fillId="2" borderId="6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wrapText="1"/>
    </xf>
    <xf numFmtId="0" fontId="19" fillId="2" borderId="1" xfId="0" applyFont="1" applyFill="1" applyBorder="1" applyAlignment="1">
      <alignment horizontal="center" wrapText="1"/>
    </xf>
    <xf numFmtId="0" fontId="22" fillId="2" borderId="6" xfId="3" applyFont="1" applyFill="1" applyBorder="1" applyAlignment="1">
      <alignment horizontal="center" vertical="top" wrapText="1"/>
    </xf>
    <xf numFmtId="0" fontId="22" fillId="2" borderId="12" xfId="3" applyFont="1" applyFill="1" applyBorder="1" applyAlignment="1">
      <alignment horizontal="center" vertical="top" wrapText="1"/>
    </xf>
    <xf numFmtId="0" fontId="22" fillId="2" borderId="5" xfId="0" applyFont="1" applyFill="1" applyBorder="1" applyAlignment="1">
      <alignment horizontal="left" vertical="top" wrapText="1"/>
    </xf>
    <xf numFmtId="0" fontId="22" fillId="2" borderId="13" xfId="0" applyFont="1" applyFill="1" applyBorder="1" applyAlignment="1">
      <alignment horizontal="left" vertical="top" wrapText="1"/>
    </xf>
    <xf numFmtId="0" fontId="22" fillId="2" borderId="10" xfId="0" applyFont="1" applyFill="1" applyBorder="1" applyAlignment="1">
      <alignment horizontal="left" vertical="top" wrapText="1"/>
    </xf>
    <xf numFmtId="0" fontId="22" fillId="2" borderId="11" xfId="0" applyFont="1" applyFill="1" applyBorder="1" applyAlignment="1">
      <alignment horizontal="left" vertical="top" wrapText="1"/>
    </xf>
    <xf numFmtId="0" fontId="19" fillId="2" borderId="13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left" vertical="top" wrapText="1"/>
    </xf>
    <xf numFmtId="0" fontId="22" fillId="2" borderId="8" xfId="0" applyFont="1" applyFill="1" applyBorder="1" applyAlignment="1">
      <alignment horizontal="left" vertical="top" wrapText="1"/>
    </xf>
    <xf numFmtId="0" fontId="19" fillId="2" borderId="5" xfId="0" applyFont="1" applyFill="1" applyBorder="1" applyAlignment="1">
      <alignment horizontal="center" vertical="top" wrapText="1"/>
    </xf>
    <xf numFmtId="0" fontId="19" fillId="2" borderId="14" xfId="0" applyFont="1" applyFill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9" fillId="2" borderId="7" xfId="0" applyFont="1" applyFill="1" applyBorder="1" applyAlignment="1">
      <alignment horizontal="center" vertical="top" wrapText="1"/>
    </xf>
    <xf numFmtId="0" fontId="19" fillId="2" borderId="15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center" vertical="top"/>
    </xf>
    <xf numFmtId="0" fontId="22" fillId="2" borderId="1" xfId="0" applyFont="1" applyFill="1" applyBorder="1" applyAlignment="1">
      <alignment vertical="top" wrapText="1"/>
    </xf>
    <xf numFmtId="0" fontId="17" fillId="2" borderId="9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 wrapText="1"/>
    </xf>
    <xf numFmtId="0" fontId="19" fillId="2" borderId="10" xfId="0" applyFont="1" applyFill="1" applyBorder="1" applyAlignment="1">
      <alignment horizontal="left" vertical="top" wrapText="1"/>
    </xf>
    <xf numFmtId="0" fontId="19" fillId="2" borderId="0" xfId="0" applyFont="1" applyFill="1" applyBorder="1" applyAlignment="1">
      <alignment horizontal="left" vertical="top" wrapText="1"/>
    </xf>
    <xf numFmtId="0" fontId="19" fillId="2" borderId="11" xfId="0" applyFont="1" applyFill="1" applyBorder="1" applyAlignment="1">
      <alignment horizontal="left" vertical="top" wrapText="1"/>
    </xf>
    <xf numFmtId="0" fontId="20" fillId="2" borderId="3" xfId="0" applyFont="1" applyFill="1" applyBorder="1" applyAlignment="1">
      <alignment horizontal="left" vertical="top" wrapText="1"/>
    </xf>
    <xf numFmtId="0" fontId="20" fillId="2" borderId="4" xfId="0" applyFont="1" applyFill="1" applyBorder="1" applyAlignment="1">
      <alignment horizontal="left" vertical="top" wrapText="1"/>
    </xf>
    <xf numFmtId="0" fontId="20" fillId="2" borderId="2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left" vertical="center"/>
    </xf>
    <xf numFmtId="0" fontId="19" fillId="2" borderId="4" xfId="0" applyFont="1" applyFill="1" applyBorder="1" applyAlignment="1">
      <alignment horizontal="left" vertical="center"/>
    </xf>
    <xf numFmtId="0" fontId="10" fillId="2" borderId="5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left" vertical="top"/>
    </xf>
    <xf numFmtId="0" fontId="10" fillId="2" borderId="13" xfId="0" applyFont="1" applyFill="1" applyBorder="1" applyAlignment="1">
      <alignment horizontal="left" vertical="top"/>
    </xf>
    <xf numFmtId="0" fontId="10" fillId="2" borderId="10" xfId="0" applyFont="1" applyFill="1" applyBorder="1" applyAlignment="1">
      <alignment horizontal="left" vertical="top"/>
    </xf>
    <xf numFmtId="0" fontId="10" fillId="2" borderId="0" xfId="0" applyFont="1" applyFill="1" applyBorder="1" applyAlignment="1">
      <alignment horizontal="left" vertical="top"/>
    </xf>
    <xf numFmtId="0" fontId="10" fillId="2" borderId="11" xfId="0" applyFont="1" applyFill="1" applyBorder="1" applyAlignment="1">
      <alignment horizontal="left" vertical="top"/>
    </xf>
    <xf numFmtId="0" fontId="10" fillId="2" borderId="7" xfId="0" applyFont="1" applyFill="1" applyBorder="1" applyAlignment="1">
      <alignment horizontal="left" vertical="top"/>
    </xf>
    <xf numFmtId="0" fontId="10" fillId="2" borderId="15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horizontal="left" vertical="top"/>
    </xf>
    <xf numFmtId="0" fontId="19" fillId="2" borderId="13" xfId="0" applyFont="1" applyFill="1" applyBorder="1" applyAlignment="1">
      <alignment horizontal="center" vertical="top" wrapText="1"/>
    </xf>
    <xf numFmtId="0" fontId="19" fillId="2" borderId="11" xfId="0" applyFont="1" applyFill="1" applyBorder="1" applyAlignment="1">
      <alignment horizontal="center" vertical="top" wrapText="1"/>
    </xf>
    <xf numFmtId="0" fontId="19" fillId="2" borderId="8" xfId="0" applyFont="1" applyFill="1" applyBorder="1" applyAlignment="1">
      <alignment horizontal="center" vertical="top" wrapText="1"/>
    </xf>
    <xf numFmtId="0" fontId="22" fillId="2" borderId="12" xfId="3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 wrapText="1"/>
    </xf>
    <xf numFmtId="0" fontId="19" fillId="2" borderId="1" xfId="0" applyFont="1" applyFill="1" applyBorder="1" applyAlignment="1">
      <alignment horizontal="left" vertical="center" wrapText="1"/>
    </xf>
    <xf numFmtId="0" fontId="14" fillId="2" borderId="13" xfId="0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10" fillId="2" borderId="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top"/>
    </xf>
    <xf numFmtId="0" fontId="18" fillId="2" borderId="2" xfId="0" applyFont="1" applyFill="1" applyBorder="1" applyAlignment="1">
      <alignment horizontal="center" vertical="top"/>
    </xf>
    <xf numFmtId="0" fontId="19" fillId="2" borderId="6" xfId="0" applyFont="1" applyFill="1" applyBorder="1" applyAlignment="1">
      <alignment horizontal="center" vertical="top" wrapText="1"/>
    </xf>
    <xf numFmtId="0" fontId="19" fillId="2" borderId="9" xfId="0" applyFont="1" applyFill="1" applyBorder="1" applyAlignment="1">
      <alignment horizontal="center" vertical="top" wrapText="1"/>
    </xf>
    <xf numFmtId="0" fontId="19" fillId="2" borderId="5" xfId="0" applyFont="1" applyFill="1" applyBorder="1" applyAlignment="1">
      <alignment horizontal="left" vertical="top"/>
    </xf>
    <xf numFmtId="0" fontId="19" fillId="2" borderId="10" xfId="0" applyFont="1" applyFill="1" applyBorder="1" applyAlignment="1">
      <alignment horizontal="left" vertical="top"/>
    </xf>
    <xf numFmtId="0" fontId="19" fillId="2" borderId="7" xfId="0" applyFont="1" applyFill="1" applyBorder="1" applyAlignment="1">
      <alignment horizontal="left" vertical="top"/>
    </xf>
    <xf numFmtId="0" fontId="19" fillId="2" borderId="15" xfId="0" applyFont="1" applyFill="1" applyBorder="1" applyAlignment="1">
      <alignment horizontal="left" vertical="top"/>
    </xf>
    <xf numFmtId="0" fontId="19" fillId="2" borderId="8" xfId="0" applyFont="1" applyFill="1" applyBorder="1" applyAlignment="1">
      <alignment horizontal="left" vertical="top"/>
    </xf>
    <xf numFmtId="0" fontId="11" fillId="2" borderId="1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13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top" wrapText="1"/>
    </xf>
    <xf numFmtId="0" fontId="11" fillId="2" borderId="14" xfId="0" applyFont="1" applyFill="1" applyBorder="1" applyAlignment="1">
      <alignment horizontal="left" vertical="top" wrapText="1"/>
    </xf>
    <xf numFmtId="0" fontId="11" fillId="2" borderId="10" xfId="0" applyFont="1" applyFill="1" applyBorder="1" applyAlignment="1">
      <alignment horizontal="left" vertical="top" wrapText="1"/>
    </xf>
    <xf numFmtId="0" fontId="11" fillId="2" borderId="0" xfId="0" applyFont="1" applyFill="1" applyBorder="1" applyAlignment="1">
      <alignment horizontal="left" vertical="top" wrapText="1"/>
    </xf>
    <xf numFmtId="0" fontId="14" fillId="2" borderId="14" xfId="0" applyFont="1" applyFill="1" applyBorder="1" applyAlignment="1">
      <alignment horizontal="left" vertical="top" wrapText="1"/>
    </xf>
    <xf numFmtId="3" fontId="13" fillId="2" borderId="1" xfId="0" applyNumberFormat="1" applyFont="1" applyFill="1" applyBorder="1" applyAlignment="1">
      <alignment horizontal="left" vertical="top"/>
    </xf>
    <xf numFmtId="3" fontId="11" fillId="2" borderId="1" xfId="0" applyNumberFormat="1" applyFont="1" applyFill="1" applyBorder="1" applyAlignment="1">
      <alignment horizontal="center" wrapText="1"/>
    </xf>
    <xf numFmtId="3" fontId="10" fillId="2" borderId="3" xfId="0" applyNumberFormat="1" applyFont="1" applyFill="1" applyBorder="1" applyAlignment="1">
      <alignment horizontal="left" vertical="top" wrapText="1"/>
    </xf>
    <xf numFmtId="3" fontId="10" fillId="2" borderId="4" xfId="0" applyNumberFormat="1" applyFont="1" applyFill="1" applyBorder="1" applyAlignment="1">
      <alignment horizontal="left" vertical="top" wrapText="1"/>
    </xf>
    <xf numFmtId="3" fontId="10" fillId="2" borderId="2" xfId="0" applyNumberFormat="1" applyFont="1" applyFill="1" applyBorder="1" applyAlignment="1">
      <alignment horizontal="left" vertical="top" wrapText="1"/>
    </xf>
    <xf numFmtId="3" fontId="10" fillId="2" borderId="3" xfId="0" applyNumberFormat="1" applyFont="1" applyFill="1" applyBorder="1" applyAlignment="1">
      <alignment horizontal="left" vertical="top"/>
    </xf>
    <xf numFmtId="3" fontId="10" fillId="2" borderId="4" xfId="0" applyNumberFormat="1" applyFont="1" applyFill="1" applyBorder="1" applyAlignment="1">
      <alignment horizontal="left" vertical="top"/>
    </xf>
    <xf numFmtId="3" fontId="10" fillId="2" borderId="2" xfId="0" applyNumberFormat="1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justify" wrapText="1"/>
    </xf>
    <xf numFmtId="3" fontId="10" fillId="2" borderId="1" xfId="0" applyNumberFormat="1" applyFont="1" applyFill="1" applyBorder="1" applyAlignment="1">
      <alignment horizontal="left" vertical="top"/>
    </xf>
    <xf numFmtId="3" fontId="14" fillId="2" borderId="1" xfId="0" applyNumberFormat="1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left" vertical="top" wrapText="1"/>
    </xf>
    <xf numFmtId="3" fontId="22" fillId="2" borderId="0" xfId="0" applyNumberFormat="1" applyFont="1" applyFill="1" applyAlignment="1">
      <alignment horizontal="left" wrapText="1"/>
    </xf>
    <xf numFmtId="3" fontId="21" fillId="2" borderId="0" xfId="0" applyNumberFormat="1" applyFont="1" applyFill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0" fillId="2" borderId="14" xfId="0" applyNumberFormat="1" applyFont="1" applyFill="1" applyBorder="1" applyAlignment="1">
      <alignment horizontal="center" vertical="top" wrapText="1"/>
    </xf>
    <xf numFmtId="3" fontId="10" fillId="2" borderId="0" xfId="0" applyNumberFormat="1" applyFont="1" applyFill="1" applyBorder="1" applyAlignment="1">
      <alignment horizontal="center" vertical="top" wrapText="1"/>
    </xf>
    <xf numFmtId="3" fontId="32" fillId="2" borderId="0" xfId="0" applyNumberFormat="1" applyFont="1" applyFill="1" applyAlignment="1">
      <alignment horizontal="center" wrapText="1"/>
    </xf>
    <xf numFmtId="3" fontId="10" fillId="2" borderId="3" xfId="6" applyNumberFormat="1" applyFont="1" applyFill="1" applyBorder="1" applyAlignment="1">
      <alignment horizontal="left" vertical="top" wrapText="1"/>
    </xf>
    <xf numFmtId="3" fontId="10" fillId="2" borderId="4" xfId="6" applyNumberFormat="1" applyFont="1" applyFill="1" applyBorder="1" applyAlignment="1">
      <alignment horizontal="left" vertical="top" wrapText="1"/>
    </xf>
    <xf numFmtId="3" fontId="10" fillId="2" borderId="2" xfId="6" applyNumberFormat="1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 wrapText="1"/>
    </xf>
    <xf numFmtId="0" fontId="14" fillId="2" borderId="1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 vertical="top" wrapText="1"/>
    </xf>
    <xf numFmtId="0" fontId="9" fillId="2" borderId="12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center" vertical="top" wrapText="1"/>
    </xf>
    <xf numFmtId="0" fontId="9" fillId="2" borderId="9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/>
    </xf>
    <xf numFmtId="0" fontId="3" fillId="2" borderId="9" xfId="0" applyFont="1" applyFill="1" applyBorder="1" applyAlignment="1">
      <alignment horizontal="center" vertical="top"/>
    </xf>
    <xf numFmtId="0" fontId="1" fillId="2" borderId="3" xfId="0" applyFont="1" applyFill="1" applyBorder="1" applyAlignment="1">
      <alignment horizontal="left" vertical="top"/>
    </xf>
    <xf numFmtId="0" fontId="1" fillId="2" borderId="4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left" vertical="top"/>
    </xf>
    <xf numFmtId="0" fontId="9" fillId="2" borderId="9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/>
    </xf>
  </cellXfs>
  <cellStyles count="11">
    <cellStyle name="Обычный" xfId="0" builtinId="0"/>
    <cellStyle name="Обычный 2" xfId="1"/>
    <cellStyle name="Обычный 2 3" xfId="9"/>
    <cellStyle name="Обычный 3" xfId="2"/>
    <cellStyle name="Обычный 4" xfId="8"/>
    <cellStyle name="Обычный 7" xfId="10"/>
    <cellStyle name="Обычный_Dnepr" xfId="6"/>
    <cellStyle name="Обычный_Запит ПЦМ 2012 свод4 по уоз" xfId="7"/>
    <cellStyle name="Обычный_Лист1" xfId="3"/>
    <cellStyle name="Процентный 2" xfId="4"/>
    <cellStyle name="Стиль 1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M28"/>
  <sheetViews>
    <sheetView view="pageBreakPreview" topLeftCell="A19" zoomScale="84" zoomScaleSheetLayoutView="84" workbookViewId="0">
      <selection activeCell="A29" sqref="A29:IV29"/>
    </sheetView>
  </sheetViews>
  <sheetFormatPr defaultColWidth="9.140625" defaultRowHeight="18.75"/>
  <cols>
    <col min="1" max="1" width="40.85546875" style="1" customWidth="1"/>
    <col min="2" max="2" width="38.85546875" style="1" customWidth="1"/>
    <col min="3" max="3" width="52.140625" style="1" customWidth="1"/>
    <col min="4" max="4" width="9.140625" style="1"/>
    <col min="5" max="5" width="37.42578125" style="1" customWidth="1"/>
    <col min="6" max="16384" width="9.140625" style="1"/>
  </cols>
  <sheetData>
    <row r="1" spans="1:13">
      <c r="C1" s="1" t="s">
        <v>0</v>
      </c>
    </row>
    <row r="2" spans="1:13" ht="114" customHeight="1">
      <c r="C2" s="4" t="s">
        <v>37</v>
      </c>
      <c r="F2" s="276"/>
      <c r="G2" s="276"/>
      <c r="H2" s="276"/>
      <c r="I2" s="2"/>
      <c r="J2" s="2"/>
      <c r="K2" s="2"/>
      <c r="L2" s="15"/>
      <c r="M2" s="15"/>
    </row>
    <row r="3" spans="1:13" ht="24" customHeight="1">
      <c r="C3" s="4" t="s">
        <v>40</v>
      </c>
      <c r="E3" s="17"/>
      <c r="F3" s="277"/>
      <c r="G3" s="277"/>
      <c r="H3" s="277"/>
      <c r="J3" s="15"/>
      <c r="K3" s="15"/>
      <c r="L3" s="15"/>
      <c r="M3" s="15"/>
    </row>
    <row r="4" spans="1:13" ht="30" customHeight="1">
      <c r="C4" s="4"/>
      <c r="E4" s="17"/>
      <c r="F4" s="16"/>
      <c r="G4" s="16"/>
      <c r="H4" s="16"/>
      <c r="J4" s="15"/>
      <c r="K4" s="15"/>
      <c r="L4" s="15"/>
      <c r="M4" s="15"/>
    </row>
    <row r="5" spans="1:13" ht="17.25" customHeight="1">
      <c r="A5" s="272" t="s">
        <v>7</v>
      </c>
      <c r="B5" s="272"/>
      <c r="C5" s="272"/>
      <c r="F5" s="278"/>
      <c r="G5" s="278"/>
      <c r="H5" s="278"/>
      <c r="I5" s="278"/>
      <c r="J5" s="278"/>
      <c r="K5" s="278"/>
      <c r="L5" s="278"/>
      <c r="M5" s="278"/>
    </row>
    <row r="6" spans="1:13" ht="17.25" customHeight="1">
      <c r="A6" s="272" t="s">
        <v>16</v>
      </c>
      <c r="B6" s="272"/>
      <c r="C6" s="272"/>
    </row>
    <row r="7" spans="1:13" ht="17.25" customHeight="1">
      <c r="A7" s="272" t="s">
        <v>14</v>
      </c>
      <c r="B7" s="272"/>
      <c r="C7" s="272"/>
    </row>
    <row r="8" spans="1:13" ht="22.5" customHeight="1"/>
    <row r="9" spans="1:13" ht="37.5" customHeight="1">
      <c r="A9" s="274" t="s">
        <v>6</v>
      </c>
      <c r="B9" s="281" t="s">
        <v>8</v>
      </c>
      <c r="C9" s="282"/>
    </row>
    <row r="10" spans="1:13" ht="37.5" customHeight="1">
      <c r="A10" s="275"/>
      <c r="B10" s="284" t="s">
        <v>9</v>
      </c>
      <c r="C10" s="285"/>
    </row>
    <row r="11" spans="1:13">
      <c r="A11" s="7">
        <v>1</v>
      </c>
      <c r="B11" s="279">
        <v>2</v>
      </c>
      <c r="C11" s="280"/>
    </row>
    <row r="12" spans="1:13" ht="49.5" customHeight="1">
      <c r="A12" s="20" t="s">
        <v>26</v>
      </c>
      <c r="B12" s="273" t="s">
        <v>10</v>
      </c>
      <c r="C12" s="273"/>
    </row>
    <row r="13" spans="1:13" ht="49.5" customHeight="1">
      <c r="A13" s="20" t="s">
        <v>27</v>
      </c>
      <c r="B13" s="273" t="s">
        <v>13</v>
      </c>
      <c r="C13" s="273"/>
    </row>
    <row r="14" spans="1:13" ht="49.5" customHeight="1">
      <c r="A14" s="20" t="s">
        <v>28</v>
      </c>
      <c r="B14" s="273" t="s">
        <v>11</v>
      </c>
      <c r="C14" s="273"/>
    </row>
    <row r="15" spans="1:13" ht="49.5" customHeight="1">
      <c r="A15" s="20" t="s">
        <v>29</v>
      </c>
      <c r="B15" s="273" t="s">
        <v>19</v>
      </c>
      <c r="C15" s="273"/>
    </row>
    <row r="16" spans="1:13" ht="49.5" customHeight="1">
      <c r="A16" s="20" t="s">
        <v>30</v>
      </c>
      <c r="B16" s="273" t="s">
        <v>18</v>
      </c>
      <c r="C16" s="273"/>
    </row>
    <row r="17" spans="1:11" ht="49.5" customHeight="1">
      <c r="A17" s="20" t="s">
        <v>31</v>
      </c>
      <c r="B17" s="283" t="s">
        <v>39</v>
      </c>
      <c r="C17" s="283"/>
    </row>
    <row r="18" spans="1:11" ht="55.5" customHeight="1">
      <c r="A18" s="20" t="s">
        <v>32</v>
      </c>
      <c r="B18" s="283" t="s">
        <v>38</v>
      </c>
      <c r="C18" s="283"/>
    </row>
    <row r="19" spans="1:11" ht="57" customHeight="1">
      <c r="A19" s="20" t="s">
        <v>33</v>
      </c>
      <c r="B19" s="273" t="s">
        <v>12</v>
      </c>
      <c r="C19" s="273"/>
    </row>
    <row r="20" spans="1:11" ht="41.25" customHeight="1">
      <c r="A20" s="20" t="s">
        <v>34</v>
      </c>
      <c r="B20" s="283" t="s">
        <v>20</v>
      </c>
      <c r="C20" s="283"/>
    </row>
    <row r="21" spans="1:11" ht="41.25" customHeight="1">
      <c r="A21" s="20" t="s">
        <v>35</v>
      </c>
      <c r="B21" s="283" t="s">
        <v>21</v>
      </c>
      <c r="C21" s="283"/>
    </row>
    <row r="22" spans="1:11" ht="41.25" customHeight="1">
      <c r="A22" s="20" t="s">
        <v>36</v>
      </c>
      <c r="B22" s="283" t="s">
        <v>22</v>
      </c>
      <c r="C22" s="283"/>
    </row>
    <row r="23" spans="1:11" ht="14.25" customHeight="1">
      <c r="A23" s="19"/>
      <c r="B23" s="11"/>
      <c r="C23" s="11"/>
    </row>
    <row r="24" spans="1:11" ht="14.25" customHeight="1">
      <c r="A24" s="19"/>
      <c r="B24" s="11"/>
      <c r="C24" s="11"/>
    </row>
    <row r="25" spans="1:11" ht="14.25" customHeight="1">
      <c r="A25" s="19"/>
      <c r="B25" s="11"/>
      <c r="C25" s="11"/>
    </row>
    <row r="26" spans="1:11" ht="14.25" customHeight="1"/>
    <row r="27" spans="1:11" ht="22.5" customHeight="1">
      <c r="A27" s="8" t="s">
        <v>23</v>
      </c>
      <c r="B27" s="10"/>
      <c r="C27" s="9" t="s">
        <v>24</v>
      </c>
      <c r="D27" s="10"/>
      <c r="E27" s="12"/>
      <c r="F27" s="10"/>
      <c r="G27" s="13"/>
      <c r="H27" s="13"/>
      <c r="I27" s="13"/>
      <c r="J27" s="14"/>
      <c r="K27" s="13"/>
    </row>
    <row r="28" spans="1:11" ht="20.25" customHeight="1">
      <c r="A28" s="18" t="s">
        <v>25</v>
      </c>
      <c r="B28"/>
      <c r="C28" s="5"/>
      <c r="D28" s="3"/>
      <c r="F28" s="4"/>
      <c r="H28" s="6"/>
    </row>
  </sheetData>
  <mergeCells count="21">
    <mergeCell ref="B22:C22"/>
    <mergeCell ref="B10:C10"/>
    <mergeCell ref="B16:C16"/>
    <mergeCell ref="B20:C20"/>
    <mergeCell ref="B19:C19"/>
    <mergeCell ref="B13:C13"/>
    <mergeCell ref="B21:C21"/>
    <mergeCell ref="B14:C14"/>
    <mergeCell ref="B18:C18"/>
    <mergeCell ref="B17:C17"/>
    <mergeCell ref="B15:C15"/>
    <mergeCell ref="A7:C7"/>
    <mergeCell ref="B12:C12"/>
    <mergeCell ref="A6:C6"/>
    <mergeCell ref="A9:A10"/>
    <mergeCell ref="F2:H2"/>
    <mergeCell ref="F3:H3"/>
    <mergeCell ref="F5:M5"/>
    <mergeCell ref="B11:C11"/>
    <mergeCell ref="A5:C5"/>
    <mergeCell ref="B9:C9"/>
  </mergeCells>
  <pageMargins left="0.70866141732283472" right="0.51181102362204722" top="0.94488188976377963" bottom="0.55118110236220474" header="0.31496062992125984" footer="0.31496062992125984"/>
  <pageSetup paperSize="9" scale="6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M360"/>
  <sheetViews>
    <sheetView view="pageBreakPreview" zoomScale="30" zoomScaleNormal="30" zoomScaleSheetLayoutView="30" workbookViewId="0">
      <pane ySplit="9" topLeftCell="A21" activePane="bottomLeft" state="frozen"/>
      <selection pane="bottomLeft" activeCell="L2" sqref="L2"/>
    </sheetView>
  </sheetViews>
  <sheetFormatPr defaultColWidth="9.140625" defaultRowHeight="75" customHeight="1"/>
  <cols>
    <col min="1" max="1" width="8.42578125" style="95" customWidth="1"/>
    <col min="2" max="2" width="38.85546875" style="8" customWidth="1"/>
    <col min="3" max="3" width="51.28515625" style="96" customWidth="1"/>
    <col min="4" max="4" width="18.28515625" style="97" customWidth="1"/>
    <col min="5" max="5" width="69.42578125" style="98" customWidth="1"/>
    <col min="6" max="6" width="22.7109375" style="99" customWidth="1"/>
    <col min="7" max="7" width="43" style="103" customWidth="1"/>
    <col min="8" max="8" width="32.28515625" style="104" customWidth="1"/>
    <col min="9" max="9" width="28" style="104" customWidth="1"/>
    <col min="10" max="10" width="29.28515625" style="104" customWidth="1"/>
    <col min="11" max="11" width="30.7109375" style="104" customWidth="1"/>
    <col min="12" max="12" width="75.85546875" style="115" customWidth="1"/>
    <col min="13" max="13" width="30.140625" style="8" customWidth="1"/>
    <col min="14" max="16384" width="9.140625" style="8"/>
  </cols>
  <sheetData>
    <row r="1" spans="1:12" ht="33" customHeight="1">
      <c r="G1" s="100"/>
      <c r="H1" s="101"/>
      <c r="I1" s="101"/>
      <c r="J1" s="101"/>
      <c r="K1" s="101"/>
      <c r="L1" s="102" t="s">
        <v>156</v>
      </c>
    </row>
    <row r="2" spans="1:12" ht="225.75" customHeight="1">
      <c r="L2" s="105" t="s">
        <v>440</v>
      </c>
    </row>
    <row r="3" spans="1:12" s="107" customFormat="1" ht="29.25" customHeight="1">
      <c r="A3" s="106"/>
      <c r="C3" s="108"/>
      <c r="D3" s="109"/>
      <c r="E3" s="110"/>
      <c r="F3" s="111"/>
      <c r="G3" s="112"/>
      <c r="H3" s="113"/>
      <c r="I3" s="113"/>
      <c r="J3" s="113"/>
      <c r="K3" s="113"/>
      <c r="L3" s="102" t="s">
        <v>439</v>
      </c>
    </row>
    <row r="4" spans="1:12" ht="42" customHeight="1">
      <c r="A4" s="114"/>
    </row>
    <row r="5" spans="1:12" ht="75" customHeight="1">
      <c r="A5" s="391" t="s">
        <v>157</v>
      </c>
      <c r="B5" s="391"/>
      <c r="C5" s="391"/>
      <c r="D5" s="391"/>
      <c r="E5" s="391"/>
      <c r="F5" s="391"/>
      <c r="G5" s="391"/>
      <c r="H5" s="391"/>
      <c r="I5" s="391"/>
      <c r="J5" s="391"/>
      <c r="K5" s="391"/>
      <c r="L5" s="391"/>
    </row>
    <row r="6" spans="1:12" ht="2.25" customHeight="1">
      <c r="H6" s="104" t="s">
        <v>17</v>
      </c>
      <c r="I6" s="116" t="e">
        <f>#REF!+#REF!+#REF!+#REF!</f>
        <v>#REF!</v>
      </c>
    </row>
    <row r="7" spans="1:12" ht="75" customHeight="1">
      <c r="A7" s="392" t="s">
        <v>1</v>
      </c>
      <c r="B7" s="393" t="s">
        <v>2</v>
      </c>
      <c r="C7" s="393" t="s">
        <v>3</v>
      </c>
      <c r="D7" s="392" t="s">
        <v>45</v>
      </c>
      <c r="E7" s="394" t="s">
        <v>44</v>
      </c>
      <c r="F7" s="397" t="s">
        <v>41</v>
      </c>
      <c r="G7" s="393" t="s">
        <v>4</v>
      </c>
      <c r="H7" s="398" t="s">
        <v>15</v>
      </c>
      <c r="I7" s="399"/>
      <c r="J7" s="399"/>
      <c r="K7" s="400"/>
      <c r="L7" s="393" t="s">
        <v>5</v>
      </c>
    </row>
    <row r="8" spans="1:12" ht="75" customHeight="1">
      <c r="A8" s="392"/>
      <c r="B8" s="393"/>
      <c r="C8" s="393"/>
      <c r="D8" s="392"/>
      <c r="E8" s="395"/>
      <c r="F8" s="397"/>
      <c r="G8" s="393"/>
      <c r="H8" s="392" t="s">
        <v>62</v>
      </c>
      <c r="I8" s="401" t="s">
        <v>160</v>
      </c>
      <c r="J8" s="401"/>
      <c r="K8" s="401"/>
      <c r="L8" s="393"/>
    </row>
    <row r="9" spans="1:12" s="117" customFormat="1" ht="102.75" customHeight="1">
      <c r="A9" s="392"/>
      <c r="B9" s="393"/>
      <c r="C9" s="393"/>
      <c r="D9" s="392"/>
      <c r="E9" s="396"/>
      <c r="F9" s="397"/>
      <c r="G9" s="393"/>
      <c r="H9" s="392"/>
      <c r="I9" s="260" t="s">
        <v>162</v>
      </c>
      <c r="J9" s="260" t="s">
        <v>163</v>
      </c>
      <c r="K9" s="260" t="s">
        <v>164</v>
      </c>
      <c r="L9" s="393"/>
    </row>
    <row r="10" spans="1:12" s="117" customFormat="1" ht="26.25" customHeight="1">
      <c r="A10" s="118">
        <v>1</v>
      </c>
      <c r="B10" s="118">
        <v>2</v>
      </c>
      <c r="C10" s="260">
        <v>3</v>
      </c>
      <c r="D10" s="261">
        <v>4</v>
      </c>
      <c r="E10" s="260">
        <v>5</v>
      </c>
      <c r="F10" s="261">
        <v>6</v>
      </c>
      <c r="G10" s="261">
        <v>7</v>
      </c>
      <c r="H10" s="260">
        <v>8</v>
      </c>
      <c r="I10" s="260">
        <v>9</v>
      </c>
      <c r="J10" s="260">
        <v>10</v>
      </c>
      <c r="K10" s="260">
        <v>11</v>
      </c>
      <c r="L10" s="119">
        <v>12</v>
      </c>
    </row>
    <row r="11" spans="1:12" s="117" customFormat="1" ht="61.5" customHeight="1">
      <c r="A11" s="297" t="s">
        <v>113</v>
      </c>
      <c r="B11" s="298"/>
      <c r="C11" s="298"/>
      <c r="D11" s="298"/>
      <c r="E11" s="298"/>
      <c r="F11" s="298"/>
      <c r="G11" s="298"/>
      <c r="H11" s="298"/>
      <c r="I11" s="298"/>
      <c r="J11" s="298"/>
      <c r="K11" s="298"/>
      <c r="L11" s="299"/>
    </row>
    <row r="12" spans="1:12" s="10" customFormat="1" ht="92.25" hidden="1" customHeight="1">
      <c r="A12" s="420" t="s">
        <v>92</v>
      </c>
      <c r="B12" s="338" t="s">
        <v>87</v>
      </c>
      <c r="C12" s="421" t="s">
        <v>93</v>
      </c>
      <c r="D12" s="320" t="s">
        <v>125</v>
      </c>
      <c r="E12" s="321"/>
      <c r="F12" s="321"/>
      <c r="G12" s="322"/>
      <c r="H12" s="78">
        <f>H13+H14</f>
        <v>0</v>
      </c>
      <c r="I12" s="78">
        <f>I13+I14</f>
        <v>0</v>
      </c>
      <c r="J12" s="78">
        <f>J13+J14</f>
        <v>0</v>
      </c>
      <c r="K12" s="78">
        <f>K13+K14</f>
        <v>0</v>
      </c>
      <c r="L12" s="293" t="s">
        <v>247</v>
      </c>
    </row>
    <row r="13" spans="1:12" ht="92.25" hidden="1" customHeight="1">
      <c r="A13" s="420"/>
      <c r="B13" s="338"/>
      <c r="C13" s="421"/>
      <c r="D13" s="87" t="s">
        <v>33</v>
      </c>
      <c r="E13" s="238" t="s">
        <v>58</v>
      </c>
      <c r="F13" s="323" t="s">
        <v>142</v>
      </c>
      <c r="G13" s="323" t="s">
        <v>148</v>
      </c>
      <c r="H13" s="78">
        <f>I13+J13+K13</f>
        <v>0</v>
      </c>
      <c r="I13" s="81"/>
      <c r="J13" s="81"/>
      <c r="K13" s="81"/>
      <c r="L13" s="295"/>
    </row>
    <row r="14" spans="1:12" ht="92.25" hidden="1" customHeight="1">
      <c r="A14" s="420"/>
      <c r="B14" s="338"/>
      <c r="C14" s="421"/>
      <c r="D14" s="87" t="s">
        <v>33</v>
      </c>
      <c r="E14" s="238" t="s">
        <v>59</v>
      </c>
      <c r="F14" s="323"/>
      <c r="G14" s="323"/>
      <c r="H14" s="78">
        <f>I14+J14+K14</f>
        <v>0</v>
      </c>
      <c r="I14" s="81"/>
      <c r="J14" s="81"/>
      <c r="K14" s="81"/>
      <c r="L14" s="295"/>
    </row>
    <row r="15" spans="1:12" ht="75" customHeight="1">
      <c r="A15" s="420"/>
      <c r="B15" s="338"/>
      <c r="C15" s="421" t="s">
        <v>174</v>
      </c>
      <c r="D15" s="320" t="s">
        <v>309</v>
      </c>
      <c r="E15" s="321"/>
      <c r="F15" s="321"/>
      <c r="G15" s="322"/>
      <c r="H15" s="78">
        <f>H16+H17</f>
        <v>16889.699999999997</v>
      </c>
      <c r="I15" s="78">
        <f>I16+I17</f>
        <v>5307.1</v>
      </c>
      <c r="J15" s="78">
        <f>J16+J17</f>
        <v>5630.8</v>
      </c>
      <c r="K15" s="78">
        <f>K16+K17</f>
        <v>5951.7999999999993</v>
      </c>
      <c r="L15" s="295"/>
    </row>
    <row r="16" spans="1:12" ht="61.5" customHeight="1">
      <c r="A16" s="420"/>
      <c r="B16" s="338"/>
      <c r="C16" s="421"/>
      <c r="D16" s="87" t="s">
        <v>33</v>
      </c>
      <c r="E16" s="238" t="s">
        <v>58</v>
      </c>
      <c r="F16" s="323" t="s">
        <v>142</v>
      </c>
      <c r="G16" s="323" t="s">
        <v>169</v>
      </c>
      <c r="H16" s="78">
        <f>I16+J16+K16</f>
        <v>8772.0999999999985</v>
      </c>
      <c r="I16" s="81">
        <f>1567.4+1189</f>
        <v>2756.4</v>
      </c>
      <c r="J16" s="81">
        <v>2924.5</v>
      </c>
      <c r="K16" s="81">
        <v>3091.2</v>
      </c>
      <c r="L16" s="295"/>
    </row>
    <row r="17" spans="1:12" ht="61.5" customHeight="1">
      <c r="A17" s="420"/>
      <c r="B17" s="338"/>
      <c r="C17" s="421"/>
      <c r="D17" s="87" t="s">
        <v>33</v>
      </c>
      <c r="E17" s="238" t="s">
        <v>59</v>
      </c>
      <c r="F17" s="323"/>
      <c r="G17" s="323"/>
      <c r="H17" s="78">
        <f>I17+J17+K17</f>
        <v>8117.6</v>
      </c>
      <c r="I17" s="81">
        <f>1484.3+1066.4</f>
        <v>2550.6999999999998</v>
      </c>
      <c r="J17" s="81">
        <v>2706.3</v>
      </c>
      <c r="K17" s="81">
        <v>2860.6</v>
      </c>
      <c r="L17" s="294"/>
    </row>
    <row r="18" spans="1:12" ht="75" customHeight="1">
      <c r="A18" s="420"/>
      <c r="B18" s="338"/>
      <c r="C18" s="421" t="s">
        <v>200</v>
      </c>
      <c r="D18" s="320" t="s">
        <v>310</v>
      </c>
      <c r="E18" s="321"/>
      <c r="F18" s="321"/>
      <c r="G18" s="322"/>
      <c r="H18" s="79">
        <f>H19+H20</f>
        <v>3922.4</v>
      </c>
      <c r="I18" s="79">
        <f>I19+I20</f>
        <v>1241.8</v>
      </c>
      <c r="J18" s="79">
        <f>J19+J20</f>
        <v>1307.5999999999999</v>
      </c>
      <c r="K18" s="79">
        <f>K19+K20</f>
        <v>1373</v>
      </c>
      <c r="L18" s="291" t="s">
        <v>43</v>
      </c>
    </row>
    <row r="19" spans="1:12" ht="75" customHeight="1">
      <c r="A19" s="420"/>
      <c r="B19" s="338"/>
      <c r="C19" s="421"/>
      <c r="D19" s="87" t="s">
        <v>30</v>
      </c>
      <c r="E19" s="238" t="s">
        <v>58</v>
      </c>
      <c r="F19" s="323" t="s">
        <v>142</v>
      </c>
      <c r="G19" s="323" t="s">
        <v>169</v>
      </c>
      <c r="H19" s="78">
        <f>I19+J19+K19</f>
        <v>1929.9</v>
      </c>
      <c r="I19" s="81">
        <v>611</v>
      </c>
      <c r="J19" s="81">
        <v>643.4</v>
      </c>
      <c r="K19" s="81">
        <v>675.5</v>
      </c>
      <c r="L19" s="291"/>
    </row>
    <row r="20" spans="1:12" ht="75" customHeight="1">
      <c r="A20" s="420"/>
      <c r="B20" s="338"/>
      <c r="C20" s="421"/>
      <c r="D20" s="87" t="s">
        <v>30</v>
      </c>
      <c r="E20" s="120" t="s">
        <v>59</v>
      </c>
      <c r="F20" s="323"/>
      <c r="G20" s="323"/>
      <c r="H20" s="78">
        <f>I20+J20+K20</f>
        <v>1992.5</v>
      </c>
      <c r="I20" s="81">
        <v>630.79999999999995</v>
      </c>
      <c r="J20" s="81">
        <v>664.2</v>
      </c>
      <c r="K20" s="81">
        <v>697.5</v>
      </c>
      <c r="L20" s="293"/>
    </row>
    <row r="21" spans="1:12" ht="87.75" customHeight="1">
      <c r="A21" s="420"/>
      <c r="B21" s="338"/>
      <c r="C21" s="293" t="s">
        <v>226</v>
      </c>
      <c r="D21" s="320" t="s">
        <v>311</v>
      </c>
      <c r="E21" s="321"/>
      <c r="F21" s="321"/>
      <c r="G21" s="322"/>
      <c r="H21" s="78">
        <f>H22+H23</f>
        <v>2211.1</v>
      </c>
      <c r="I21" s="78">
        <f>I22+I23</f>
        <v>700</v>
      </c>
      <c r="J21" s="78">
        <f>J22+J23</f>
        <v>737.1</v>
      </c>
      <c r="K21" s="121">
        <f>K22+K23</f>
        <v>774</v>
      </c>
      <c r="L21" s="331" t="s">
        <v>292</v>
      </c>
    </row>
    <row r="22" spans="1:12" ht="92.25" hidden="1" customHeight="1">
      <c r="A22" s="420"/>
      <c r="B22" s="338"/>
      <c r="C22" s="295"/>
      <c r="D22" s="87" t="s">
        <v>30</v>
      </c>
      <c r="E22" s="238" t="s">
        <v>58</v>
      </c>
      <c r="F22" s="323" t="s">
        <v>142</v>
      </c>
      <c r="G22" s="323" t="s">
        <v>169</v>
      </c>
      <c r="H22" s="78">
        <f>I22+J22+K22</f>
        <v>0</v>
      </c>
      <c r="I22" s="81"/>
      <c r="J22" s="81"/>
      <c r="K22" s="122"/>
      <c r="L22" s="332"/>
    </row>
    <row r="23" spans="1:12" ht="101.25" customHeight="1">
      <c r="A23" s="420"/>
      <c r="B23" s="338"/>
      <c r="C23" s="294"/>
      <c r="D23" s="87" t="s">
        <v>30</v>
      </c>
      <c r="E23" s="120" t="s">
        <v>59</v>
      </c>
      <c r="F23" s="323"/>
      <c r="G23" s="323"/>
      <c r="H23" s="78">
        <f>I23+J23+K23</f>
        <v>2211.1</v>
      </c>
      <c r="I23" s="81">
        <v>700</v>
      </c>
      <c r="J23" s="81">
        <v>737.1</v>
      </c>
      <c r="K23" s="122">
        <v>774</v>
      </c>
      <c r="L23" s="332"/>
    </row>
    <row r="24" spans="1:12" ht="75" customHeight="1">
      <c r="A24" s="420"/>
      <c r="B24" s="338"/>
      <c r="C24" s="293" t="s">
        <v>374</v>
      </c>
      <c r="D24" s="320" t="s">
        <v>312</v>
      </c>
      <c r="E24" s="321"/>
      <c r="F24" s="321"/>
      <c r="G24" s="322"/>
      <c r="H24" s="78">
        <f>H25+H26+H27</f>
        <v>688.9</v>
      </c>
      <c r="I24" s="78">
        <f>I25+I26+I27</f>
        <v>218.1</v>
      </c>
      <c r="J24" s="78">
        <f>J25+J26+J27</f>
        <v>229.70000000000002</v>
      </c>
      <c r="K24" s="78">
        <f>K25+K26+K27</f>
        <v>241.10000000000002</v>
      </c>
      <c r="L24" s="332"/>
    </row>
    <row r="25" spans="1:12" ht="92.25" hidden="1" customHeight="1">
      <c r="A25" s="420"/>
      <c r="B25" s="338"/>
      <c r="C25" s="295"/>
      <c r="D25" s="87" t="s">
        <v>30</v>
      </c>
      <c r="E25" s="238" t="s">
        <v>58</v>
      </c>
      <c r="F25" s="323" t="s">
        <v>142</v>
      </c>
      <c r="G25" s="323" t="s">
        <v>148</v>
      </c>
      <c r="H25" s="78">
        <f>I25+J25+K25</f>
        <v>0</v>
      </c>
      <c r="I25" s="81"/>
      <c r="J25" s="81"/>
      <c r="K25" s="81"/>
      <c r="L25" s="332"/>
    </row>
    <row r="26" spans="1:12" ht="112.5" customHeight="1">
      <c r="A26" s="420"/>
      <c r="B26" s="338"/>
      <c r="C26" s="295"/>
      <c r="D26" s="87" t="s">
        <v>30</v>
      </c>
      <c r="E26" s="120" t="s">
        <v>59</v>
      </c>
      <c r="F26" s="323"/>
      <c r="G26" s="323"/>
      <c r="H26" s="78">
        <f>I26+J26+K26</f>
        <v>683.6</v>
      </c>
      <c r="I26" s="81">
        <v>216.4</v>
      </c>
      <c r="J26" s="81">
        <v>227.9</v>
      </c>
      <c r="K26" s="81">
        <v>239.3</v>
      </c>
      <c r="L26" s="332"/>
    </row>
    <row r="27" spans="1:12" ht="112.5" customHeight="1">
      <c r="A27" s="420"/>
      <c r="B27" s="338"/>
      <c r="C27" s="294"/>
      <c r="D27" s="87" t="s">
        <v>30</v>
      </c>
      <c r="E27" s="120" t="s">
        <v>149</v>
      </c>
      <c r="F27" s="323"/>
      <c r="G27" s="323"/>
      <c r="H27" s="78">
        <f>I27+J27+K27</f>
        <v>5.3</v>
      </c>
      <c r="I27" s="81">
        <v>1.7</v>
      </c>
      <c r="J27" s="81">
        <v>1.8</v>
      </c>
      <c r="K27" s="81">
        <v>1.8</v>
      </c>
      <c r="L27" s="332"/>
    </row>
    <row r="28" spans="1:12" ht="112.5" customHeight="1">
      <c r="A28" s="420"/>
      <c r="B28" s="338"/>
      <c r="C28" s="293" t="s">
        <v>375</v>
      </c>
      <c r="D28" s="320" t="s">
        <v>313</v>
      </c>
      <c r="E28" s="321"/>
      <c r="F28" s="321"/>
      <c r="G28" s="322"/>
      <c r="H28" s="78">
        <f>H29+H30</f>
        <v>137.4</v>
      </c>
      <c r="I28" s="78">
        <f>I29+I30</f>
        <v>42.5</v>
      </c>
      <c r="J28" s="78">
        <f>J29+J30</f>
        <v>44.7</v>
      </c>
      <c r="K28" s="78">
        <f>K29+K30</f>
        <v>50.2</v>
      </c>
      <c r="L28" s="332"/>
    </row>
    <row r="29" spans="1:12" ht="75" customHeight="1">
      <c r="A29" s="420"/>
      <c r="B29" s="338"/>
      <c r="C29" s="295"/>
      <c r="D29" s="87" t="s">
        <v>30</v>
      </c>
      <c r="E29" s="238" t="s">
        <v>58</v>
      </c>
      <c r="F29" s="323" t="s">
        <v>142</v>
      </c>
      <c r="G29" s="323" t="s">
        <v>169</v>
      </c>
      <c r="H29" s="78">
        <f>I29+J29+K29</f>
        <v>61.7</v>
      </c>
      <c r="I29" s="81">
        <v>12.6</v>
      </c>
      <c r="J29" s="81">
        <v>22.4</v>
      </c>
      <c r="K29" s="81">
        <v>26.7</v>
      </c>
      <c r="L29" s="332"/>
    </row>
    <row r="30" spans="1:12" ht="94.5" customHeight="1">
      <c r="A30" s="420"/>
      <c r="B30" s="338"/>
      <c r="C30" s="294"/>
      <c r="D30" s="87" t="s">
        <v>30</v>
      </c>
      <c r="E30" s="120" t="s">
        <v>59</v>
      </c>
      <c r="F30" s="323"/>
      <c r="G30" s="323"/>
      <c r="H30" s="78">
        <f>I30+J30+K30</f>
        <v>75.7</v>
      </c>
      <c r="I30" s="81">
        <v>29.9</v>
      </c>
      <c r="J30" s="81">
        <v>22.3</v>
      </c>
      <c r="K30" s="81">
        <v>23.5</v>
      </c>
      <c r="L30" s="332"/>
    </row>
    <row r="31" spans="1:12" s="117" customFormat="1" ht="75" customHeight="1">
      <c r="A31" s="359"/>
      <c r="B31" s="359"/>
      <c r="C31" s="359"/>
      <c r="D31" s="359"/>
      <c r="E31" s="297" t="s">
        <v>114</v>
      </c>
      <c r="F31" s="298"/>
      <c r="G31" s="299"/>
      <c r="H31" s="79">
        <f>H32+H33+H34</f>
        <v>23849.5</v>
      </c>
      <c r="I31" s="79">
        <f>I32+I33+I34</f>
        <v>7509.5</v>
      </c>
      <c r="J31" s="79">
        <f>J32+J33+J34</f>
        <v>7949.9000000000005</v>
      </c>
      <c r="K31" s="79">
        <f>K32+K33+K34</f>
        <v>8390.0999999999985</v>
      </c>
      <c r="L31" s="332"/>
    </row>
    <row r="32" spans="1:12" s="117" customFormat="1" ht="75" customHeight="1">
      <c r="A32" s="359"/>
      <c r="B32" s="359"/>
      <c r="C32" s="359"/>
      <c r="D32" s="359"/>
      <c r="E32" s="238" t="s">
        <v>58</v>
      </c>
      <c r="F32" s="323" t="s">
        <v>142</v>
      </c>
      <c r="G32" s="359" t="s">
        <v>169</v>
      </c>
      <c r="H32" s="79">
        <f>H13+H16+H19+H25+H29+H22</f>
        <v>10763.699999999999</v>
      </c>
      <c r="I32" s="79">
        <f t="shared" ref="I32:J33" si="0">I13+I16+I19+I25+I29+I22</f>
        <v>3380</v>
      </c>
      <c r="J32" s="79">
        <f t="shared" si="0"/>
        <v>3590.3</v>
      </c>
      <c r="K32" s="79">
        <f>K13+K16+K19+K25+K29+K22</f>
        <v>3793.3999999999996</v>
      </c>
      <c r="L32" s="332"/>
    </row>
    <row r="33" spans="1:12" s="117" customFormat="1" ht="75" customHeight="1">
      <c r="A33" s="359"/>
      <c r="B33" s="359"/>
      <c r="C33" s="359"/>
      <c r="D33" s="359"/>
      <c r="E33" s="265" t="s">
        <v>59</v>
      </c>
      <c r="F33" s="323"/>
      <c r="G33" s="359"/>
      <c r="H33" s="79">
        <f>H14+H17+H20+H26+H30+H23</f>
        <v>13080.500000000002</v>
      </c>
      <c r="I33" s="79">
        <f t="shared" si="0"/>
        <v>4127.8</v>
      </c>
      <c r="J33" s="79">
        <f t="shared" si="0"/>
        <v>4357.8</v>
      </c>
      <c r="K33" s="79">
        <f>K14+K17+K20+K26+K30+K23</f>
        <v>4594.8999999999996</v>
      </c>
      <c r="L33" s="332"/>
    </row>
    <row r="34" spans="1:12" s="117" customFormat="1" ht="75" customHeight="1">
      <c r="A34" s="359"/>
      <c r="B34" s="359"/>
      <c r="C34" s="359"/>
      <c r="D34" s="359"/>
      <c r="E34" s="120" t="s">
        <v>149</v>
      </c>
      <c r="F34" s="323"/>
      <c r="G34" s="359"/>
      <c r="H34" s="79">
        <f>H27</f>
        <v>5.3</v>
      </c>
      <c r="I34" s="79">
        <f>I27</f>
        <v>1.7</v>
      </c>
      <c r="J34" s="79">
        <f>J27</f>
        <v>1.8</v>
      </c>
      <c r="K34" s="79">
        <f>K27</f>
        <v>1.8</v>
      </c>
      <c r="L34" s="333"/>
    </row>
    <row r="35" spans="1:12" s="117" customFormat="1" ht="92.25" hidden="1" customHeight="1">
      <c r="A35" s="207" t="s">
        <v>96</v>
      </c>
      <c r="B35" s="338" t="s">
        <v>88</v>
      </c>
      <c r="C35" s="311" t="s">
        <v>94</v>
      </c>
      <c r="D35" s="318" t="s">
        <v>126</v>
      </c>
      <c r="E35" s="318"/>
      <c r="F35" s="318"/>
      <c r="G35" s="318"/>
      <c r="H35" s="79">
        <f>H36+H37+H38+H39+H40</f>
        <v>0</v>
      </c>
      <c r="I35" s="79">
        <f>I36+I37+I38+I39+I40</f>
        <v>0</v>
      </c>
      <c r="J35" s="79">
        <f>J36+J37+J38+J39+J40</f>
        <v>0</v>
      </c>
      <c r="K35" s="79">
        <f>K36+K37+K38+K39+K40</f>
        <v>0</v>
      </c>
      <c r="L35" s="291" t="s">
        <v>127</v>
      </c>
    </row>
    <row r="36" spans="1:12" s="117" customFormat="1" ht="92.25" hidden="1" customHeight="1">
      <c r="A36" s="208"/>
      <c r="B36" s="338"/>
      <c r="C36" s="311"/>
      <c r="D36" s="87" t="s">
        <v>26</v>
      </c>
      <c r="E36" s="238" t="s">
        <v>60</v>
      </c>
      <c r="F36" s="306" t="s">
        <v>142</v>
      </c>
      <c r="G36" s="323" t="s">
        <v>148</v>
      </c>
      <c r="H36" s="81">
        <f>I36+J36+K36</f>
        <v>0</v>
      </c>
      <c r="I36" s="81"/>
      <c r="J36" s="81"/>
      <c r="K36" s="81"/>
      <c r="L36" s="291"/>
    </row>
    <row r="37" spans="1:12" s="117" customFormat="1" ht="92.25" hidden="1" customHeight="1">
      <c r="A37" s="208"/>
      <c r="B37" s="338"/>
      <c r="C37" s="311"/>
      <c r="D37" s="87" t="s">
        <v>26</v>
      </c>
      <c r="E37" s="238" t="s">
        <v>54</v>
      </c>
      <c r="F37" s="306"/>
      <c r="G37" s="323"/>
      <c r="H37" s="81">
        <f>I37+J37+K37</f>
        <v>0</v>
      </c>
      <c r="I37" s="81"/>
      <c r="J37" s="81"/>
      <c r="K37" s="81"/>
      <c r="L37" s="291"/>
    </row>
    <row r="38" spans="1:12" s="117" customFormat="1" ht="92.25" hidden="1" customHeight="1">
      <c r="A38" s="208"/>
      <c r="B38" s="338"/>
      <c r="C38" s="311"/>
      <c r="D38" s="87" t="s">
        <v>26</v>
      </c>
      <c r="E38" s="238" t="s">
        <v>55</v>
      </c>
      <c r="F38" s="306"/>
      <c r="G38" s="323"/>
      <c r="H38" s="81">
        <f>I38+J38+K38</f>
        <v>0</v>
      </c>
      <c r="I38" s="81"/>
      <c r="J38" s="81"/>
      <c r="K38" s="81"/>
      <c r="L38" s="291"/>
    </row>
    <row r="39" spans="1:12" s="117" customFormat="1" ht="92.25" hidden="1" customHeight="1">
      <c r="A39" s="208"/>
      <c r="B39" s="338"/>
      <c r="C39" s="311"/>
      <c r="D39" s="87" t="s">
        <v>26</v>
      </c>
      <c r="E39" s="238" t="s">
        <v>53</v>
      </c>
      <c r="F39" s="306"/>
      <c r="G39" s="323"/>
      <c r="H39" s="81">
        <f>I39+J39+K39</f>
        <v>0</v>
      </c>
      <c r="I39" s="81"/>
      <c r="J39" s="81"/>
      <c r="K39" s="81"/>
      <c r="L39" s="291"/>
    </row>
    <row r="40" spans="1:12" s="117" customFormat="1" ht="92.25" hidden="1" customHeight="1">
      <c r="A40" s="208"/>
      <c r="B40" s="338"/>
      <c r="C40" s="311"/>
      <c r="D40" s="87" t="s">
        <v>26</v>
      </c>
      <c r="E40" s="238" t="s">
        <v>149</v>
      </c>
      <c r="F40" s="306"/>
      <c r="G40" s="323"/>
      <c r="H40" s="81">
        <f>I40+J40+K40</f>
        <v>0</v>
      </c>
      <c r="I40" s="81"/>
      <c r="J40" s="81"/>
      <c r="K40" s="81"/>
      <c r="L40" s="238"/>
    </row>
    <row r="41" spans="1:12" s="123" customFormat="1" ht="75" customHeight="1">
      <c r="A41" s="208"/>
      <c r="B41" s="338"/>
      <c r="C41" s="311" t="s">
        <v>155</v>
      </c>
      <c r="D41" s="318" t="s">
        <v>314</v>
      </c>
      <c r="E41" s="318"/>
      <c r="F41" s="318"/>
      <c r="G41" s="318"/>
      <c r="H41" s="78">
        <f>SUM(H42:H46)</f>
        <v>134834.1</v>
      </c>
      <c r="I41" s="78">
        <f>SUM(I42:I46)</f>
        <v>42367.700000000004</v>
      </c>
      <c r="J41" s="78">
        <f>SUM(J42:J46)</f>
        <v>44952.100000000006</v>
      </c>
      <c r="K41" s="78">
        <f>SUM(K42:K46)</f>
        <v>47514.3</v>
      </c>
      <c r="L41" s="291" t="s">
        <v>247</v>
      </c>
    </row>
    <row r="42" spans="1:12" ht="75" customHeight="1">
      <c r="A42" s="208"/>
      <c r="B42" s="338"/>
      <c r="C42" s="311"/>
      <c r="D42" s="87" t="s">
        <v>26</v>
      </c>
      <c r="E42" s="238" t="s">
        <v>60</v>
      </c>
      <c r="F42" s="323" t="s">
        <v>142</v>
      </c>
      <c r="G42" s="323" t="s">
        <v>169</v>
      </c>
      <c r="H42" s="78">
        <f t="shared" ref="H42:H50" si="1">I42+J42+K42</f>
        <v>25805.4</v>
      </c>
      <c r="I42" s="81">
        <f>5179.3+2929.3</f>
        <v>8108.6</v>
      </c>
      <c r="J42" s="81">
        <v>8603.2000000000007</v>
      </c>
      <c r="K42" s="81">
        <v>9093.6</v>
      </c>
      <c r="L42" s="291"/>
    </row>
    <row r="43" spans="1:12" ht="75" customHeight="1">
      <c r="A43" s="208"/>
      <c r="B43" s="338"/>
      <c r="C43" s="311"/>
      <c r="D43" s="87" t="s">
        <v>26</v>
      </c>
      <c r="E43" s="238" t="s">
        <v>54</v>
      </c>
      <c r="F43" s="323"/>
      <c r="G43" s="323"/>
      <c r="H43" s="78">
        <f t="shared" si="1"/>
        <v>24841.1</v>
      </c>
      <c r="I43" s="81">
        <f>4856.3+2949.3</f>
        <v>7805.6</v>
      </c>
      <c r="J43" s="81">
        <v>8281.7000000000007</v>
      </c>
      <c r="K43" s="81">
        <v>8753.7999999999993</v>
      </c>
      <c r="L43" s="291"/>
    </row>
    <row r="44" spans="1:12" s="117" customFormat="1" ht="75" customHeight="1">
      <c r="A44" s="208"/>
      <c r="B44" s="338"/>
      <c r="C44" s="311"/>
      <c r="D44" s="87" t="s">
        <v>26</v>
      </c>
      <c r="E44" s="238" t="s">
        <v>55</v>
      </c>
      <c r="F44" s="323"/>
      <c r="G44" s="323"/>
      <c r="H44" s="78">
        <f t="shared" si="1"/>
        <v>41176.400000000001</v>
      </c>
      <c r="I44" s="81">
        <f>8183.9+4754.6</f>
        <v>12938.5</v>
      </c>
      <c r="J44" s="81">
        <v>13727.7</v>
      </c>
      <c r="K44" s="81">
        <v>14510.2</v>
      </c>
      <c r="L44" s="291"/>
    </row>
    <row r="45" spans="1:12" s="117" customFormat="1" ht="75" customHeight="1">
      <c r="A45" s="208"/>
      <c r="B45" s="338"/>
      <c r="C45" s="311"/>
      <c r="D45" s="87" t="s">
        <v>26</v>
      </c>
      <c r="E45" s="238" t="s">
        <v>53</v>
      </c>
      <c r="F45" s="323"/>
      <c r="G45" s="323"/>
      <c r="H45" s="78">
        <f t="shared" si="1"/>
        <v>28613.999999999996</v>
      </c>
      <c r="I45" s="81">
        <f>5622.4+3368.7</f>
        <v>8991.0999999999985</v>
      </c>
      <c r="J45" s="81">
        <v>9539.6</v>
      </c>
      <c r="K45" s="81">
        <v>10083.299999999999</v>
      </c>
      <c r="L45" s="291"/>
    </row>
    <row r="46" spans="1:12" s="117" customFormat="1" ht="75" customHeight="1">
      <c r="A46" s="208"/>
      <c r="B46" s="338"/>
      <c r="C46" s="311"/>
      <c r="D46" s="87" t="s">
        <v>26</v>
      </c>
      <c r="E46" s="238" t="s">
        <v>149</v>
      </c>
      <c r="F46" s="323"/>
      <c r="G46" s="323"/>
      <c r="H46" s="78">
        <f t="shared" si="1"/>
        <v>14397.199999999999</v>
      </c>
      <c r="I46" s="81">
        <f>3046+1477.9</f>
        <v>4523.8999999999996</v>
      </c>
      <c r="J46" s="81">
        <v>4799.8999999999996</v>
      </c>
      <c r="K46" s="81">
        <v>5073.3999999999996</v>
      </c>
      <c r="L46" s="291"/>
    </row>
    <row r="47" spans="1:12" ht="107.25" customHeight="1">
      <c r="A47" s="208"/>
      <c r="B47" s="338"/>
      <c r="C47" s="255" t="s">
        <v>175</v>
      </c>
      <c r="D47" s="88" t="s">
        <v>26</v>
      </c>
      <c r="E47" s="238" t="s">
        <v>60</v>
      </c>
      <c r="F47" s="235" t="s">
        <v>142</v>
      </c>
      <c r="G47" s="235" t="s">
        <v>169</v>
      </c>
      <c r="H47" s="78">
        <f t="shared" si="1"/>
        <v>1006.5</v>
      </c>
      <c r="I47" s="81">
        <v>318.7</v>
      </c>
      <c r="J47" s="81">
        <v>335.5</v>
      </c>
      <c r="K47" s="81">
        <v>352.3</v>
      </c>
      <c r="L47" s="257" t="s">
        <v>46</v>
      </c>
    </row>
    <row r="48" spans="1:12" s="117" customFormat="1" ht="197.25" customHeight="1">
      <c r="A48" s="208"/>
      <c r="B48" s="338"/>
      <c r="C48" s="210" t="s">
        <v>295</v>
      </c>
      <c r="D48" s="87" t="s">
        <v>26</v>
      </c>
      <c r="E48" s="238" t="s">
        <v>55</v>
      </c>
      <c r="F48" s="235" t="s">
        <v>142</v>
      </c>
      <c r="G48" s="235" t="s">
        <v>169</v>
      </c>
      <c r="H48" s="78">
        <f t="shared" si="1"/>
        <v>201.7</v>
      </c>
      <c r="I48" s="81">
        <v>201.7</v>
      </c>
      <c r="J48" s="81">
        <v>0</v>
      </c>
      <c r="K48" s="81">
        <v>0</v>
      </c>
      <c r="L48" s="257" t="s">
        <v>176</v>
      </c>
    </row>
    <row r="49" spans="1:12" ht="300" customHeight="1">
      <c r="A49" s="208"/>
      <c r="B49" s="338"/>
      <c r="C49" s="211" t="s">
        <v>296</v>
      </c>
      <c r="D49" s="88" t="s">
        <v>30</v>
      </c>
      <c r="E49" s="238" t="s">
        <v>54</v>
      </c>
      <c r="F49" s="235" t="s">
        <v>142</v>
      </c>
      <c r="G49" s="235" t="s">
        <v>170</v>
      </c>
      <c r="H49" s="78">
        <f t="shared" si="1"/>
        <v>6709</v>
      </c>
      <c r="I49" s="89">
        <v>2124</v>
      </c>
      <c r="J49" s="81">
        <v>2236.6</v>
      </c>
      <c r="K49" s="89">
        <v>2348.4</v>
      </c>
      <c r="L49" s="257" t="s">
        <v>130</v>
      </c>
    </row>
    <row r="50" spans="1:12" ht="231.75" customHeight="1">
      <c r="A50" s="208"/>
      <c r="B50" s="338"/>
      <c r="C50" s="212" t="s">
        <v>297</v>
      </c>
      <c r="D50" s="88" t="s">
        <v>26</v>
      </c>
      <c r="E50" s="238" t="s">
        <v>53</v>
      </c>
      <c r="F50" s="235" t="s">
        <v>142</v>
      </c>
      <c r="G50" s="235" t="s">
        <v>171</v>
      </c>
      <c r="H50" s="78">
        <f t="shared" si="1"/>
        <v>5133.2</v>
      </c>
      <c r="I50" s="81">
        <f>1420.6+507.8</f>
        <v>1928.3999999999999</v>
      </c>
      <c r="J50" s="81">
        <v>1550.7</v>
      </c>
      <c r="K50" s="81">
        <v>1654.1</v>
      </c>
      <c r="L50" s="90" t="s">
        <v>177</v>
      </c>
    </row>
    <row r="51" spans="1:12" ht="47.25" customHeight="1">
      <c r="A51" s="208"/>
      <c r="B51" s="338"/>
      <c r="C51" s="296" t="s">
        <v>298</v>
      </c>
      <c r="D51" s="318" t="s">
        <v>316</v>
      </c>
      <c r="E51" s="318"/>
      <c r="F51" s="318"/>
      <c r="G51" s="318"/>
      <c r="H51" s="78">
        <f>H52+H53+H54</f>
        <v>10220.900000000001</v>
      </c>
      <c r="I51" s="78">
        <f>I52+I53+I54</f>
        <v>4158</v>
      </c>
      <c r="J51" s="78">
        <f>J52+J53+J54</f>
        <v>2950.4</v>
      </c>
      <c r="K51" s="78">
        <f>K52+K53+K54</f>
        <v>3112.5</v>
      </c>
      <c r="L51" s="334" t="s">
        <v>240</v>
      </c>
    </row>
    <row r="52" spans="1:12" ht="60" customHeight="1">
      <c r="A52" s="208"/>
      <c r="B52" s="338"/>
      <c r="C52" s="296"/>
      <c r="D52" s="87" t="s">
        <v>26</v>
      </c>
      <c r="E52" s="238" t="s">
        <v>53</v>
      </c>
      <c r="F52" s="323" t="s">
        <v>142</v>
      </c>
      <c r="G52" s="323" t="s">
        <v>171</v>
      </c>
      <c r="H52" s="78">
        <f>I52+J52+K52</f>
        <v>12.2</v>
      </c>
      <c r="I52" s="81">
        <v>12.2</v>
      </c>
      <c r="J52" s="81">
        <v>0</v>
      </c>
      <c r="K52" s="81">
        <v>0</v>
      </c>
      <c r="L52" s="334"/>
    </row>
    <row r="53" spans="1:12" ht="43.5" customHeight="1">
      <c r="A53" s="208"/>
      <c r="B53" s="338"/>
      <c r="C53" s="296"/>
      <c r="D53" s="87" t="s">
        <v>26</v>
      </c>
      <c r="E53" s="238" t="s">
        <v>54</v>
      </c>
      <c r="F53" s="323"/>
      <c r="G53" s="323"/>
      <c r="H53" s="78">
        <f>I53+J53+K53</f>
        <v>9908.7000000000007</v>
      </c>
      <c r="I53" s="81">
        <f>2528.7+1517.1</f>
        <v>4045.7999999999997</v>
      </c>
      <c r="J53" s="81">
        <v>2850.4</v>
      </c>
      <c r="K53" s="81">
        <v>3012.5</v>
      </c>
      <c r="L53" s="334"/>
    </row>
    <row r="54" spans="1:12" ht="57" customHeight="1">
      <c r="A54" s="208"/>
      <c r="B54" s="338"/>
      <c r="C54" s="296"/>
      <c r="D54" s="87" t="s">
        <v>30</v>
      </c>
      <c r="E54" s="238" t="s">
        <v>60</v>
      </c>
      <c r="F54" s="323"/>
      <c r="G54" s="323"/>
      <c r="H54" s="78">
        <f>I54+J54+K54</f>
        <v>300</v>
      </c>
      <c r="I54" s="81">
        <v>100</v>
      </c>
      <c r="J54" s="81">
        <v>100</v>
      </c>
      <c r="K54" s="81">
        <v>100</v>
      </c>
      <c r="L54" s="334"/>
    </row>
    <row r="55" spans="1:12" ht="106.5" customHeight="1">
      <c r="A55" s="208"/>
      <c r="B55" s="338"/>
      <c r="C55" s="212" t="s">
        <v>299</v>
      </c>
      <c r="D55" s="318" t="s">
        <v>315</v>
      </c>
      <c r="E55" s="318"/>
      <c r="F55" s="318"/>
      <c r="G55" s="318"/>
      <c r="H55" s="78">
        <f>H56+H57</f>
        <v>1200</v>
      </c>
      <c r="I55" s="78">
        <f>I56+I57</f>
        <v>1200</v>
      </c>
      <c r="J55" s="78">
        <f>J56+J57</f>
        <v>0</v>
      </c>
      <c r="K55" s="78">
        <f>K56+K57</f>
        <v>0</v>
      </c>
      <c r="L55" s="242" t="s">
        <v>246</v>
      </c>
    </row>
    <row r="56" spans="1:12" ht="117" customHeight="1">
      <c r="A56" s="208"/>
      <c r="B56" s="338"/>
      <c r="C56" s="266" t="s">
        <v>300</v>
      </c>
      <c r="D56" s="88" t="s">
        <v>26</v>
      </c>
      <c r="E56" s="238" t="s">
        <v>60</v>
      </c>
      <c r="F56" s="323" t="s">
        <v>142</v>
      </c>
      <c r="G56" s="235" t="s">
        <v>171</v>
      </c>
      <c r="H56" s="78">
        <f>I56+J56+K56</f>
        <v>1000</v>
      </c>
      <c r="I56" s="81">
        <v>1000</v>
      </c>
      <c r="J56" s="81">
        <v>0</v>
      </c>
      <c r="K56" s="81">
        <v>0</v>
      </c>
      <c r="L56" s="242" t="s">
        <v>293</v>
      </c>
    </row>
    <row r="57" spans="1:12" ht="175.5" customHeight="1">
      <c r="A57" s="208"/>
      <c r="B57" s="338"/>
      <c r="C57" s="212" t="s">
        <v>302</v>
      </c>
      <c r="D57" s="88" t="s">
        <v>26</v>
      </c>
      <c r="E57" s="238" t="s">
        <v>55</v>
      </c>
      <c r="F57" s="323"/>
      <c r="G57" s="235" t="s">
        <v>171</v>
      </c>
      <c r="H57" s="78">
        <f>I57+J57+K57</f>
        <v>200</v>
      </c>
      <c r="I57" s="81">
        <v>200</v>
      </c>
      <c r="J57" s="81">
        <v>0</v>
      </c>
      <c r="K57" s="81">
        <v>0</v>
      </c>
      <c r="L57" s="242" t="s">
        <v>150</v>
      </c>
    </row>
    <row r="58" spans="1:12" ht="163.5" customHeight="1">
      <c r="A58" s="208"/>
      <c r="B58" s="338"/>
      <c r="C58" s="212" t="s">
        <v>301</v>
      </c>
      <c r="D58" s="292" t="s">
        <v>317</v>
      </c>
      <c r="E58" s="292"/>
      <c r="F58" s="292"/>
      <c r="G58" s="292"/>
      <c r="H58" s="78">
        <f>SUM(H59:H61)</f>
        <v>5031.8</v>
      </c>
      <c r="I58" s="78">
        <f>SUM(I59:I61)</f>
        <v>1593</v>
      </c>
      <c r="J58" s="78">
        <f t="shared" ref="J58:K58" si="2">SUM(J59:J61)</f>
        <v>1677.5</v>
      </c>
      <c r="K58" s="78">
        <f t="shared" si="2"/>
        <v>1761.3</v>
      </c>
      <c r="L58" s="242"/>
    </row>
    <row r="59" spans="1:12" ht="118.5" customHeight="1">
      <c r="A59" s="208"/>
      <c r="B59" s="338"/>
      <c r="C59" s="212" t="s">
        <v>303</v>
      </c>
      <c r="D59" s="88" t="s">
        <v>26</v>
      </c>
      <c r="E59" s="238" t="s">
        <v>53</v>
      </c>
      <c r="F59" s="323" t="s">
        <v>142</v>
      </c>
      <c r="G59" s="235" t="s">
        <v>171</v>
      </c>
      <c r="H59" s="78">
        <f>I59+J59+K59</f>
        <v>339.4</v>
      </c>
      <c r="I59" s="81">
        <v>110</v>
      </c>
      <c r="J59" s="81">
        <v>112</v>
      </c>
      <c r="K59" s="81">
        <v>117.4</v>
      </c>
      <c r="L59" s="90" t="s">
        <v>167</v>
      </c>
    </row>
    <row r="60" spans="1:12" ht="118.5" customHeight="1">
      <c r="A60" s="208"/>
      <c r="B60" s="338"/>
      <c r="C60" s="212" t="s">
        <v>304</v>
      </c>
      <c r="D60" s="88" t="s">
        <v>26</v>
      </c>
      <c r="E60" s="238" t="s">
        <v>53</v>
      </c>
      <c r="F60" s="323"/>
      <c r="G60" s="235" t="s">
        <v>171</v>
      </c>
      <c r="H60" s="78">
        <f t="shared" ref="H60:H61" si="3">I60+J60+K60</f>
        <v>1673.4</v>
      </c>
      <c r="I60" s="81">
        <v>527.20000000000005</v>
      </c>
      <c r="J60" s="81">
        <v>559.1</v>
      </c>
      <c r="K60" s="81">
        <v>587.1</v>
      </c>
      <c r="L60" s="90" t="s">
        <v>168</v>
      </c>
    </row>
    <row r="61" spans="1:12" ht="154.5" customHeight="1">
      <c r="A61" s="209"/>
      <c r="B61" s="338"/>
      <c r="C61" s="212" t="s">
        <v>305</v>
      </c>
      <c r="D61" s="88" t="s">
        <v>26</v>
      </c>
      <c r="E61" s="238" t="s">
        <v>53</v>
      </c>
      <c r="F61" s="323"/>
      <c r="G61" s="235" t="s">
        <v>171</v>
      </c>
      <c r="H61" s="78">
        <f t="shared" si="3"/>
        <v>3019</v>
      </c>
      <c r="I61" s="81">
        <v>955.8</v>
      </c>
      <c r="J61" s="81">
        <v>1006.4</v>
      </c>
      <c r="K61" s="81">
        <v>1056.8</v>
      </c>
      <c r="L61" s="90" t="s">
        <v>241</v>
      </c>
    </row>
    <row r="62" spans="1:12" ht="154.5" customHeight="1">
      <c r="A62" s="368"/>
      <c r="B62" s="338"/>
      <c r="C62" s="212" t="s">
        <v>391</v>
      </c>
      <c r="D62" s="88" t="s">
        <v>26</v>
      </c>
      <c r="E62" s="238" t="s">
        <v>53</v>
      </c>
      <c r="F62" s="235"/>
      <c r="G62" s="235" t="s">
        <v>171</v>
      </c>
      <c r="H62" s="78">
        <f>I62+J62+K62</f>
        <v>50</v>
      </c>
      <c r="I62" s="81">
        <v>50</v>
      </c>
      <c r="J62" s="81">
        <v>0</v>
      </c>
      <c r="K62" s="81">
        <v>0</v>
      </c>
      <c r="L62" s="90" t="s">
        <v>393</v>
      </c>
    </row>
    <row r="63" spans="1:12" ht="69.75" customHeight="1">
      <c r="A63" s="368"/>
      <c r="B63" s="338"/>
      <c r="C63" s="335" t="s">
        <v>418</v>
      </c>
      <c r="D63" s="318" t="s">
        <v>420</v>
      </c>
      <c r="E63" s="318"/>
      <c r="F63" s="318"/>
      <c r="G63" s="318"/>
      <c r="H63" s="85">
        <f>H64+H65</f>
        <v>1000</v>
      </c>
      <c r="I63" s="85">
        <f t="shared" ref="I63:K63" si="4">I64+I65</f>
        <v>1000</v>
      </c>
      <c r="J63" s="85">
        <f t="shared" si="4"/>
        <v>0</v>
      </c>
      <c r="K63" s="85">
        <f t="shared" si="4"/>
        <v>0</v>
      </c>
      <c r="L63" s="139"/>
    </row>
    <row r="64" spans="1:12" ht="154.5" customHeight="1">
      <c r="A64" s="368"/>
      <c r="B64" s="338"/>
      <c r="C64" s="336"/>
      <c r="D64" s="88" t="s">
        <v>26</v>
      </c>
      <c r="E64" s="238" t="s">
        <v>60</v>
      </c>
      <c r="F64" s="300" t="s">
        <v>142</v>
      </c>
      <c r="G64" s="235" t="s">
        <v>171</v>
      </c>
      <c r="H64" s="85">
        <f>I64+J64+K64</f>
        <v>800</v>
      </c>
      <c r="I64" s="86">
        <v>800</v>
      </c>
      <c r="J64" s="86">
        <v>0</v>
      </c>
      <c r="K64" s="86">
        <v>0</v>
      </c>
      <c r="L64" s="286" t="s">
        <v>421</v>
      </c>
    </row>
    <row r="65" spans="1:12" ht="154.5" customHeight="1">
      <c r="A65" s="368"/>
      <c r="B65" s="338"/>
      <c r="C65" s="337"/>
      <c r="D65" s="88" t="s">
        <v>26</v>
      </c>
      <c r="E65" s="238" t="s">
        <v>149</v>
      </c>
      <c r="F65" s="302"/>
      <c r="G65" s="235" t="s">
        <v>171</v>
      </c>
      <c r="H65" s="85">
        <f>I65+J65+K65</f>
        <v>200</v>
      </c>
      <c r="I65" s="86">
        <v>200</v>
      </c>
      <c r="J65" s="86">
        <v>0</v>
      </c>
      <c r="K65" s="86">
        <v>0</v>
      </c>
      <c r="L65" s="287"/>
    </row>
    <row r="66" spans="1:12" ht="42" customHeight="1">
      <c r="A66" s="340"/>
      <c r="B66" s="341"/>
      <c r="C66" s="341"/>
      <c r="D66" s="342"/>
      <c r="E66" s="327" t="s">
        <v>116</v>
      </c>
      <c r="F66" s="328"/>
      <c r="G66" s="58"/>
      <c r="H66" s="85">
        <f>H67</f>
        <v>165387.20000000001</v>
      </c>
      <c r="I66" s="85">
        <f>I67</f>
        <v>54941.5</v>
      </c>
      <c r="J66" s="85">
        <f>J67</f>
        <v>53702.8</v>
      </c>
      <c r="K66" s="85">
        <f>K67</f>
        <v>56742.900000000009</v>
      </c>
      <c r="L66" s="402"/>
    </row>
    <row r="67" spans="1:12" ht="52.5" customHeight="1">
      <c r="A67" s="343"/>
      <c r="B67" s="344"/>
      <c r="C67" s="344"/>
      <c r="D67" s="345"/>
      <c r="E67" s="329"/>
      <c r="F67" s="330"/>
      <c r="G67" s="235" t="s">
        <v>171</v>
      </c>
      <c r="H67" s="78">
        <f>H35+H41+H47+H49+H50+H51+H55+H48+H58+H62+H64+H65</f>
        <v>165387.20000000001</v>
      </c>
      <c r="I67" s="78">
        <f>I35+I41+I47+I49+I50+I51+I55+I48+I58+I62+I64+I65</f>
        <v>54941.5</v>
      </c>
      <c r="J67" s="78">
        <f t="shared" ref="J67:K67" si="5">J35+J41+J47+J49+J50+J51+J55+J48+J58+J62+J64+J65</f>
        <v>53702.8</v>
      </c>
      <c r="K67" s="78">
        <f t="shared" si="5"/>
        <v>56742.900000000009</v>
      </c>
      <c r="L67" s="403"/>
    </row>
    <row r="68" spans="1:12" ht="42" customHeight="1">
      <c r="A68" s="343"/>
      <c r="B68" s="344"/>
      <c r="C68" s="344"/>
      <c r="D68" s="345"/>
      <c r="E68" s="320" t="s">
        <v>117</v>
      </c>
      <c r="F68" s="322"/>
      <c r="G68" s="235"/>
      <c r="H68" s="78"/>
      <c r="I68" s="86"/>
      <c r="J68" s="81"/>
      <c r="K68" s="81"/>
      <c r="L68" s="403"/>
    </row>
    <row r="69" spans="1:12" ht="57.75" customHeight="1">
      <c r="A69" s="343"/>
      <c r="B69" s="344"/>
      <c r="C69" s="344"/>
      <c r="D69" s="345"/>
      <c r="E69" s="404" t="s">
        <v>60</v>
      </c>
      <c r="F69" s="405"/>
      <c r="G69" s="256" t="s">
        <v>70</v>
      </c>
      <c r="H69" s="78">
        <f>H70</f>
        <v>28911.9</v>
      </c>
      <c r="I69" s="78">
        <f>I70</f>
        <v>10327.300000000001</v>
      </c>
      <c r="J69" s="78">
        <f>J70</f>
        <v>9038.7000000000007</v>
      </c>
      <c r="K69" s="78">
        <f>K70</f>
        <v>9545.9</v>
      </c>
      <c r="L69" s="403"/>
    </row>
    <row r="70" spans="1:12" ht="52.5" customHeight="1">
      <c r="A70" s="343"/>
      <c r="B70" s="344"/>
      <c r="C70" s="344"/>
      <c r="D70" s="345"/>
      <c r="E70" s="406"/>
      <c r="F70" s="407"/>
      <c r="G70" s="235" t="s">
        <v>171</v>
      </c>
      <c r="H70" s="78">
        <f>H36+H42+H47+H54+H56+H64</f>
        <v>28911.9</v>
      </c>
      <c r="I70" s="78">
        <f>I36+I42+I47+I54+I56+I64</f>
        <v>10327.300000000001</v>
      </c>
      <c r="J70" s="78">
        <f t="shared" ref="J70:K70" si="6">J36+J42+J47+J54+J56+J64</f>
        <v>9038.7000000000007</v>
      </c>
      <c r="K70" s="78">
        <f t="shared" si="6"/>
        <v>9545.9</v>
      </c>
      <c r="L70" s="403"/>
    </row>
    <row r="71" spans="1:12" ht="51.75" customHeight="1">
      <c r="A71" s="343"/>
      <c r="B71" s="344"/>
      <c r="C71" s="344"/>
      <c r="D71" s="345"/>
      <c r="E71" s="404" t="s">
        <v>54</v>
      </c>
      <c r="F71" s="405"/>
      <c r="G71" s="256" t="s">
        <v>70</v>
      </c>
      <c r="H71" s="78">
        <f>H72</f>
        <v>41458.800000000003</v>
      </c>
      <c r="I71" s="78">
        <f>I72</f>
        <v>13975.4</v>
      </c>
      <c r="J71" s="78">
        <f>J72</f>
        <v>13368.7</v>
      </c>
      <c r="K71" s="78">
        <f>K72</f>
        <v>14114.699999999999</v>
      </c>
      <c r="L71" s="403"/>
    </row>
    <row r="72" spans="1:12" ht="60.75" customHeight="1">
      <c r="A72" s="343"/>
      <c r="B72" s="344"/>
      <c r="C72" s="344"/>
      <c r="D72" s="345"/>
      <c r="E72" s="406"/>
      <c r="F72" s="407"/>
      <c r="G72" s="235" t="s">
        <v>171</v>
      </c>
      <c r="H72" s="78">
        <f>H37+H43+H49+H53</f>
        <v>41458.800000000003</v>
      </c>
      <c r="I72" s="78">
        <f>I37+I43+I49+I53</f>
        <v>13975.4</v>
      </c>
      <c r="J72" s="78">
        <f>J37+J43+J49+J53</f>
        <v>13368.7</v>
      </c>
      <c r="K72" s="78">
        <f>K37+K43+K49+K53</f>
        <v>14114.699999999999</v>
      </c>
      <c r="L72" s="403"/>
    </row>
    <row r="73" spans="1:12" ht="55.5" customHeight="1">
      <c r="A73" s="343"/>
      <c r="B73" s="344"/>
      <c r="C73" s="344"/>
      <c r="D73" s="345"/>
      <c r="E73" s="404" t="s">
        <v>55</v>
      </c>
      <c r="F73" s="405"/>
      <c r="G73" s="256" t="s">
        <v>70</v>
      </c>
      <c r="H73" s="78">
        <f>H74</f>
        <v>41578.1</v>
      </c>
      <c r="I73" s="78">
        <f>I74</f>
        <v>13340.2</v>
      </c>
      <c r="J73" s="78">
        <f>J74</f>
        <v>13727.7</v>
      </c>
      <c r="K73" s="78">
        <f>K74</f>
        <v>14510.2</v>
      </c>
      <c r="L73" s="403"/>
    </row>
    <row r="74" spans="1:12" ht="57.75" customHeight="1">
      <c r="A74" s="343"/>
      <c r="B74" s="344"/>
      <c r="C74" s="344"/>
      <c r="D74" s="345"/>
      <c r="E74" s="406"/>
      <c r="F74" s="407"/>
      <c r="G74" s="235" t="s">
        <v>171</v>
      </c>
      <c r="H74" s="78">
        <f>H38+H44+H48+H57</f>
        <v>41578.1</v>
      </c>
      <c r="I74" s="78">
        <f>I38+I44+I48+I57</f>
        <v>13340.2</v>
      </c>
      <c r="J74" s="78">
        <f>J38+J44+J48+J57</f>
        <v>13727.7</v>
      </c>
      <c r="K74" s="78">
        <f>K38+K44+K48+K57</f>
        <v>14510.2</v>
      </c>
      <c r="L74" s="403"/>
    </row>
    <row r="75" spans="1:12" ht="53.25" customHeight="1">
      <c r="A75" s="343"/>
      <c r="B75" s="344"/>
      <c r="C75" s="344"/>
      <c r="D75" s="345"/>
      <c r="E75" s="404" t="s">
        <v>53</v>
      </c>
      <c r="F75" s="405"/>
      <c r="G75" s="256" t="s">
        <v>70</v>
      </c>
      <c r="H75" s="78">
        <f>H76</f>
        <v>38841.199999999997</v>
      </c>
      <c r="I75" s="78">
        <f>I76</f>
        <v>12574.699999999999</v>
      </c>
      <c r="J75" s="78">
        <f>J76</f>
        <v>12767.800000000001</v>
      </c>
      <c r="K75" s="78">
        <f>K76</f>
        <v>13498.699999999999</v>
      </c>
      <c r="L75" s="403"/>
    </row>
    <row r="76" spans="1:12" ht="75" customHeight="1">
      <c r="A76" s="343"/>
      <c r="B76" s="344"/>
      <c r="C76" s="344"/>
      <c r="D76" s="345"/>
      <c r="E76" s="412"/>
      <c r="F76" s="413"/>
      <c r="G76" s="235" t="s">
        <v>171</v>
      </c>
      <c r="H76" s="78">
        <f>H39+H45+H50+H52+H59+H60+H61+H62</f>
        <v>38841.199999999997</v>
      </c>
      <c r="I76" s="78">
        <f>I39+I45+I50+I52+I59+I60+I61+I62</f>
        <v>12574.699999999999</v>
      </c>
      <c r="J76" s="78">
        <f t="shared" ref="J76:K76" si="7">J39+J45+J50+J52+J59+J60+J61+J62</f>
        <v>12767.800000000001</v>
      </c>
      <c r="K76" s="78">
        <f t="shared" si="7"/>
        <v>13498.699999999999</v>
      </c>
      <c r="L76" s="403"/>
    </row>
    <row r="77" spans="1:12" ht="52.5" customHeight="1">
      <c r="A77" s="250"/>
      <c r="B77" s="251"/>
      <c r="C77" s="251"/>
      <c r="D77" s="251"/>
      <c r="E77" s="404" t="s">
        <v>149</v>
      </c>
      <c r="F77" s="405"/>
      <c r="G77" s="256" t="s">
        <v>70</v>
      </c>
      <c r="H77" s="78">
        <f>H78</f>
        <v>14602.499999999998</v>
      </c>
      <c r="I77" s="78">
        <f>I78</f>
        <v>4725.5999999999995</v>
      </c>
      <c r="J77" s="78">
        <f>J78</f>
        <v>4801.7</v>
      </c>
      <c r="K77" s="78">
        <f>K78</f>
        <v>5075.2</v>
      </c>
      <c r="L77" s="258"/>
    </row>
    <row r="78" spans="1:12" ht="59.25" customHeight="1">
      <c r="A78" s="252"/>
      <c r="B78" s="324"/>
      <c r="C78" s="324"/>
      <c r="D78" s="324"/>
      <c r="E78" s="412"/>
      <c r="F78" s="413"/>
      <c r="G78" s="235" t="s">
        <v>171</v>
      </c>
      <c r="H78" s="78">
        <f>H46+H40+H27+H65</f>
        <v>14602.499999999998</v>
      </c>
      <c r="I78" s="78">
        <f>I46+I40+I27+I65</f>
        <v>4725.5999999999995</v>
      </c>
      <c r="J78" s="78">
        <f t="shared" ref="J78:K78" si="8">J46+J40+J27+J65</f>
        <v>4801.7</v>
      </c>
      <c r="K78" s="78">
        <f t="shared" si="8"/>
        <v>5075.2</v>
      </c>
      <c r="L78" s="124"/>
    </row>
    <row r="79" spans="1:12" s="117" customFormat="1" ht="92.25" hidden="1" customHeight="1">
      <c r="A79" s="125" t="s">
        <v>97</v>
      </c>
      <c r="B79" s="326" t="s">
        <v>140</v>
      </c>
      <c r="C79" s="126" t="s">
        <v>98</v>
      </c>
      <c r="D79" s="127" t="s">
        <v>27</v>
      </c>
      <c r="E79" s="228" t="s">
        <v>57</v>
      </c>
      <c r="F79" s="303" t="s">
        <v>142</v>
      </c>
      <c r="G79" s="235" t="s">
        <v>151</v>
      </c>
      <c r="H79" s="78">
        <f>I79+J79+K79</f>
        <v>0</v>
      </c>
      <c r="I79" s="81"/>
      <c r="J79" s="81"/>
      <c r="K79" s="81"/>
      <c r="L79" s="128" t="s">
        <v>173</v>
      </c>
    </row>
    <row r="80" spans="1:12" s="117" customFormat="1" ht="93.75" customHeight="1">
      <c r="A80" s="129" t="s">
        <v>97</v>
      </c>
      <c r="B80" s="326"/>
      <c r="C80" s="238" t="s">
        <v>306</v>
      </c>
      <c r="D80" s="130" t="s">
        <v>27</v>
      </c>
      <c r="E80" s="131" t="s">
        <v>57</v>
      </c>
      <c r="F80" s="304"/>
      <c r="G80" s="235" t="s">
        <v>169</v>
      </c>
      <c r="H80" s="78">
        <f>I80+J80+K80</f>
        <v>16098</v>
      </c>
      <c r="I80" s="81">
        <f>3473.5+1584.8</f>
        <v>5058.3</v>
      </c>
      <c r="J80" s="81">
        <v>5366.9</v>
      </c>
      <c r="K80" s="81">
        <v>5672.8</v>
      </c>
      <c r="L80" s="293" t="s">
        <v>247</v>
      </c>
    </row>
    <row r="81" spans="1:12" s="117" customFormat="1" ht="221.25" customHeight="1">
      <c r="A81" s="132"/>
      <c r="B81" s="339"/>
      <c r="C81" s="238" t="s">
        <v>307</v>
      </c>
      <c r="D81" s="130" t="s">
        <v>27</v>
      </c>
      <c r="E81" s="131" t="s">
        <v>57</v>
      </c>
      <c r="F81" s="304"/>
      <c r="G81" s="235" t="s">
        <v>169</v>
      </c>
      <c r="H81" s="78">
        <f>I81+J81+K81</f>
        <v>67.3</v>
      </c>
      <c r="I81" s="81">
        <v>67.3</v>
      </c>
      <c r="J81" s="81">
        <v>0</v>
      </c>
      <c r="K81" s="81">
        <v>0</v>
      </c>
      <c r="L81" s="295"/>
    </row>
    <row r="82" spans="1:12" s="117" customFormat="1" ht="54" customHeight="1">
      <c r="A82" s="368"/>
      <c r="B82" s="368"/>
      <c r="C82" s="368"/>
      <c r="D82" s="368"/>
      <c r="E82" s="325" t="s">
        <v>318</v>
      </c>
      <c r="F82" s="445"/>
      <c r="G82" s="235"/>
      <c r="H82" s="78">
        <f>H83</f>
        <v>16165.3</v>
      </c>
      <c r="I82" s="78">
        <f>I83</f>
        <v>5125.6000000000004</v>
      </c>
      <c r="J82" s="78">
        <f>J83</f>
        <v>5366.9</v>
      </c>
      <c r="K82" s="78">
        <f>K83</f>
        <v>5672.8</v>
      </c>
      <c r="L82" s="295"/>
    </row>
    <row r="83" spans="1:12" s="117" customFormat="1" ht="51" customHeight="1">
      <c r="A83" s="368"/>
      <c r="B83" s="368"/>
      <c r="C83" s="368"/>
      <c r="D83" s="368"/>
      <c r="E83" s="326"/>
      <c r="F83" s="445"/>
      <c r="G83" s="235" t="s">
        <v>169</v>
      </c>
      <c r="H83" s="78">
        <f>H79+H80+H81</f>
        <v>16165.3</v>
      </c>
      <c r="I83" s="78">
        <f>I79+I80+I81</f>
        <v>5125.6000000000004</v>
      </c>
      <c r="J83" s="78">
        <f>J79+J80+J81</f>
        <v>5366.9</v>
      </c>
      <c r="K83" s="78">
        <f>K79+K80+K81</f>
        <v>5672.8</v>
      </c>
      <c r="L83" s="295"/>
    </row>
    <row r="84" spans="1:12" s="117" customFormat="1" ht="177" customHeight="1">
      <c r="A84" s="133" t="s">
        <v>99</v>
      </c>
      <c r="B84" s="325" t="s">
        <v>115</v>
      </c>
      <c r="C84" s="131" t="s">
        <v>308</v>
      </c>
      <c r="D84" s="83" t="s">
        <v>28</v>
      </c>
      <c r="E84" s="228" t="s">
        <v>56</v>
      </c>
      <c r="F84" s="306" t="s">
        <v>142</v>
      </c>
      <c r="G84" s="235" t="s">
        <v>169</v>
      </c>
      <c r="H84" s="78">
        <f>I84+J84+K84</f>
        <v>28153.4</v>
      </c>
      <c r="I84" s="81">
        <f>7138.1+4925</f>
        <v>12063.1</v>
      </c>
      <c r="J84" s="81">
        <v>7786.2</v>
      </c>
      <c r="K84" s="81">
        <v>8304.1</v>
      </c>
      <c r="L84" s="295"/>
    </row>
    <row r="85" spans="1:12" s="117" customFormat="1" ht="101.25" customHeight="1">
      <c r="A85" s="132"/>
      <c r="B85" s="339"/>
      <c r="C85" s="238" t="s">
        <v>100</v>
      </c>
      <c r="D85" s="130" t="s">
        <v>28</v>
      </c>
      <c r="E85" s="131" t="s">
        <v>56</v>
      </c>
      <c r="F85" s="306"/>
      <c r="G85" s="235" t="s">
        <v>169</v>
      </c>
      <c r="H85" s="78">
        <f>I85+J85+K85</f>
        <v>2850.2</v>
      </c>
      <c r="I85" s="81">
        <f>612.4+283.2</f>
        <v>895.59999999999991</v>
      </c>
      <c r="J85" s="81">
        <v>950.2</v>
      </c>
      <c r="K85" s="81">
        <v>1004.4</v>
      </c>
      <c r="L85" s="294"/>
    </row>
    <row r="86" spans="1:12" s="117" customFormat="1" ht="75" customHeight="1">
      <c r="A86" s="420"/>
      <c r="B86" s="420"/>
      <c r="C86" s="420"/>
      <c r="D86" s="420"/>
      <c r="E86" s="325" t="s">
        <v>319</v>
      </c>
      <c r="F86" s="306"/>
      <c r="G86" s="235"/>
      <c r="H86" s="78">
        <f>H87</f>
        <v>31003.600000000002</v>
      </c>
      <c r="I86" s="78">
        <f>I87</f>
        <v>12958.7</v>
      </c>
      <c r="J86" s="78">
        <f>J87</f>
        <v>8736.4</v>
      </c>
      <c r="K86" s="78">
        <f>K87</f>
        <v>9308.5</v>
      </c>
      <c r="L86" s="373"/>
    </row>
    <row r="87" spans="1:12" s="117" customFormat="1" ht="75" customHeight="1">
      <c r="A87" s="420"/>
      <c r="B87" s="420"/>
      <c r="C87" s="420"/>
      <c r="D87" s="420"/>
      <c r="E87" s="326"/>
      <c r="F87" s="306"/>
      <c r="G87" s="235" t="s">
        <v>169</v>
      </c>
      <c r="H87" s="78">
        <f>H85+H84</f>
        <v>31003.600000000002</v>
      </c>
      <c r="I87" s="78">
        <f>I85+I84</f>
        <v>12958.7</v>
      </c>
      <c r="J87" s="78">
        <f>J85+J84</f>
        <v>8736.4</v>
      </c>
      <c r="K87" s="78">
        <f>K85+K84</f>
        <v>9308.5</v>
      </c>
      <c r="L87" s="374"/>
    </row>
    <row r="88" spans="1:12" ht="75" customHeight="1">
      <c r="A88" s="297" t="s">
        <v>48</v>
      </c>
      <c r="B88" s="298"/>
      <c r="C88" s="298"/>
      <c r="D88" s="298"/>
      <c r="E88" s="298"/>
      <c r="F88" s="298"/>
      <c r="G88" s="299"/>
      <c r="H88" s="79">
        <f>H89</f>
        <v>236405.6</v>
      </c>
      <c r="I88" s="79">
        <f>I89</f>
        <v>80535.3</v>
      </c>
      <c r="J88" s="79">
        <f>J89</f>
        <v>75756</v>
      </c>
      <c r="K88" s="79">
        <f>K89</f>
        <v>80114.3</v>
      </c>
      <c r="L88" s="447"/>
    </row>
    <row r="89" spans="1:12" s="117" customFormat="1" ht="75" customHeight="1">
      <c r="A89" s="319" t="s">
        <v>183</v>
      </c>
      <c r="B89" s="319"/>
      <c r="C89" s="319"/>
      <c r="D89" s="319"/>
      <c r="E89" s="319"/>
      <c r="F89" s="408"/>
      <c r="G89" s="134" t="s">
        <v>169</v>
      </c>
      <c r="H89" s="79">
        <f>H31+H67+H83+H87</f>
        <v>236405.6</v>
      </c>
      <c r="I89" s="135">
        <f>I31+I67+I83+I87</f>
        <v>80535.3</v>
      </c>
      <c r="J89" s="79">
        <f>J31+J67+J83+J87</f>
        <v>75756</v>
      </c>
      <c r="K89" s="79">
        <f>K31+K67+K83+K87</f>
        <v>80114.3</v>
      </c>
      <c r="L89" s="448"/>
    </row>
    <row r="90" spans="1:12" s="117" customFormat="1" ht="75" customHeight="1">
      <c r="A90" s="414" t="s">
        <v>182</v>
      </c>
      <c r="B90" s="415"/>
      <c r="C90" s="415"/>
      <c r="D90" s="415"/>
      <c r="E90" s="291" t="s">
        <v>60</v>
      </c>
      <c r="F90" s="409"/>
      <c r="G90" s="256" t="s">
        <v>69</v>
      </c>
      <c r="H90" s="79">
        <f>SUM(H91:H91)</f>
        <v>28911.9</v>
      </c>
      <c r="I90" s="79">
        <f>SUM(I91:I91)</f>
        <v>10327.300000000001</v>
      </c>
      <c r="J90" s="79">
        <f>SUM(J91:J91)</f>
        <v>9038.7000000000007</v>
      </c>
      <c r="K90" s="79">
        <f>SUM(K91:K91)</f>
        <v>9545.9</v>
      </c>
      <c r="L90" s="448"/>
    </row>
    <row r="91" spans="1:12" ht="75" customHeight="1">
      <c r="A91" s="416"/>
      <c r="B91" s="417"/>
      <c r="C91" s="417"/>
      <c r="D91" s="417"/>
      <c r="E91" s="291"/>
      <c r="F91" s="410"/>
      <c r="G91" s="235" t="s">
        <v>169</v>
      </c>
      <c r="H91" s="91">
        <f>H70</f>
        <v>28911.9</v>
      </c>
      <c r="I91" s="91">
        <f>I70</f>
        <v>10327.300000000001</v>
      </c>
      <c r="J91" s="91">
        <f>J70</f>
        <v>9038.7000000000007</v>
      </c>
      <c r="K91" s="91">
        <f>K70</f>
        <v>9545.9</v>
      </c>
      <c r="L91" s="448"/>
    </row>
    <row r="92" spans="1:12" ht="75" customHeight="1">
      <c r="A92" s="416"/>
      <c r="B92" s="417"/>
      <c r="C92" s="417"/>
      <c r="D92" s="417"/>
      <c r="E92" s="293" t="s">
        <v>54</v>
      </c>
      <c r="F92" s="410"/>
      <c r="G92" s="256" t="s">
        <v>69</v>
      </c>
      <c r="H92" s="79">
        <f>SUM(H93:H93)</f>
        <v>41458.800000000003</v>
      </c>
      <c r="I92" s="79">
        <f>SUM(I93:I93)</f>
        <v>13975.4</v>
      </c>
      <c r="J92" s="79">
        <f>SUM(J93:J93)</f>
        <v>13368.7</v>
      </c>
      <c r="K92" s="79">
        <f>SUM(K93:K93)</f>
        <v>14114.699999999999</v>
      </c>
      <c r="L92" s="448"/>
    </row>
    <row r="93" spans="1:12" ht="75" customHeight="1">
      <c r="A93" s="416"/>
      <c r="B93" s="417"/>
      <c r="C93" s="417"/>
      <c r="D93" s="417"/>
      <c r="E93" s="295"/>
      <c r="F93" s="410"/>
      <c r="G93" s="235" t="s">
        <v>169</v>
      </c>
      <c r="H93" s="91">
        <f>H72</f>
        <v>41458.800000000003</v>
      </c>
      <c r="I93" s="91">
        <f>I72</f>
        <v>13975.4</v>
      </c>
      <c r="J93" s="91">
        <f>J72</f>
        <v>13368.7</v>
      </c>
      <c r="K93" s="91">
        <f>K72</f>
        <v>14114.699999999999</v>
      </c>
      <c r="L93" s="448"/>
    </row>
    <row r="94" spans="1:12" ht="75" customHeight="1">
      <c r="A94" s="416"/>
      <c r="B94" s="417"/>
      <c r="C94" s="417"/>
      <c r="D94" s="417"/>
      <c r="E94" s="293" t="s">
        <v>55</v>
      </c>
      <c r="F94" s="410"/>
      <c r="G94" s="256" t="s">
        <v>69</v>
      </c>
      <c r="H94" s="79">
        <f>SUM(H95:H95)</f>
        <v>41578.1</v>
      </c>
      <c r="I94" s="79">
        <f>SUM(I95:I95)</f>
        <v>13340.2</v>
      </c>
      <c r="J94" s="79">
        <f>SUM(J95:J95)</f>
        <v>13727.7</v>
      </c>
      <c r="K94" s="79">
        <f>SUM(K95:K95)</f>
        <v>14510.2</v>
      </c>
      <c r="L94" s="448"/>
    </row>
    <row r="95" spans="1:12" ht="75" customHeight="1">
      <c r="A95" s="416"/>
      <c r="B95" s="417"/>
      <c r="C95" s="417"/>
      <c r="D95" s="417"/>
      <c r="E95" s="295"/>
      <c r="F95" s="410"/>
      <c r="G95" s="235" t="s">
        <v>169</v>
      </c>
      <c r="H95" s="91">
        <f>H74</f>
        <v>41578.1</v>
      </c>
      <c r="I95" s="91">
        <f>I74</f>
        <v>13340.2</v>
      </c>
      <c r="J95" s="91">
        <f>J74</f>
        <v>13727.7</v>
      </c>
      <c r="K95" s="91">
        <f>K74</f>
        <v>14510.2</v>
      </c>
      <c r="L95" s="448"/>
    </row>
    <row r="96" spans="1:12" ht="75" customHeight="1">
      <c r="A96" s="416"/>
      <c r="B96" s="417"/>
      <c r="C96" s="417"/>
      <c r="D96" s="417"/>
      <c r="E96" s="293" t="s">
        <v>53</v>
      </c>
      <c r="F96" s="410"/>
      <c r="G96" s="256" t="s">
        <v>69</v>
      </c>
      <c r="H96" s="79">
        <f>SUM(H97:H97)</f>
        <v>38841.199999999997</v>
      </c>
      <c r="I96" s="79">
        <f>SUM(I97:I97)</f>
        <v>12574.699999999999</v>
      </c>
      <c r="J96" s="79">
        <f>SUM(J97:J97)</f>
        <v>12767.800000000001</v>
      </c>
      <c r="K96" s="79">
        <f>SUM(K97:K97)</f>
        <v>13498.699999999999</v>
      </c>
      <c r="L96" s="448"/>
    </row>
    <row r="97" spans="1:12" ht="75" customHeight="1">
      <c r="A97" s="416"/>
      <c r="B97" s="417"/>
      <c r="C97" s="417"/>
      <c r="D97" s="417"/>
      <c r="E97" s="295"/>
      <c r="F97" s="410"/>
      <c r="G97" s="235" t="s">
        <v>169</v>
      </c>
      <c r="H97" s="91">
        <f>H76</f>
        <v>38841.199999999997</v>
      </c>
      <c r="I97" s="91">
        <f>I76</f>
        <v>12574.699999999999</v>
      </c>
      <c r="J97" s="91">
        <f>J76</f>
        <v>12767.800000000001</v>
      </c>
      <c r="K97" s="91">
        <f>K76</f>
        <v>13498.699999999999</v>
      </c>
      <c r="L97" s="448"/>
    </row>
    <row r="98" spans="1:12" ht="75" customHeight="1">
      <c r="A98" s="416"/>
      <c r="B98" s="417"/>
      <c r="C98" s="417"/>
      <c r="D98" s="417"/>
      <c r="E98" s="293" t="s">
        <v>57</v>
      </c>
      <c r="F98" s="410"/>
      <c r="G98" s="256" t="s">
        <v>69</v>
      </c>
      <c r="H98" s="79">
        <f>SUM(H99:H99)</f>
        <v>16165.3</v>
      </c>
      <c r="I98" s="79">
        <f>SUM(I99:I99)</f>
        <v>5125.6000000000004</v>
      </c>
      <c r="J98" s="79">
        <f>SUM(J99:J99)</f>
        <v>5366.9</v>
      </c>
      <c r="K98" s="79">
        <f>SUM(K99:K99)</f>
        <v>5672.8</v>
      </c>
      <c r="L98" s="448"/>
    </row>
    <row r="99" spans="1:12" ht="75" customHeight="1">
      <c r="A99" s="416"/>
      <c r="B99" s="417"/>
      <c r="C99" s="417"/>
      <c r="D99" s="417"/>
      <c r="E99" s="295"/>
      <c r="F99" s="410"/>
      <c r="G99" s="235" t="s">
        <v>169</v>
      </c>
      <c r="H99" s="91">
        <f>H83</f>
        <v>16165.3</v>
      </c>
      <c r="I99" s="91">
        <f>I83</f>
        <v>5125.6000000000004</v>
      </c>
      <c r="J99" s="91">
        <f>J83</f>
        <v>5366.9</v>
      </c>
      <c r="K99" s="91">
        <f>K83</f>
        <v>5672.8</v>
      </c>
      <c r="L99" s="448"/>
    </row>
    <row r="100" spans="1:12" ht="75" customHeight="1">
      <c r="A100" s="416"/>
      <c r="B100" s="417"/>
      <c r="C100" s="417"/>
      <c r="D100" s="417"/>
      <c r="E100" s="293" t="s">
        <v>56</v>
      </c>
      <c r="F100" s="410"/>
      <c r="G100" s="256" t="s">
        <v>69</v>
      </c>
      <c r="H100" s="79">
        <f>SUM(H101:H101)</f>
        <v>31003.600000000002</v>
      </c>
      <c r="I100" s="79">
        <f>SUM(I101:I101)</f>
        <v>12958.7</v>
      </c>
      <c r="J100" s="79">
        <f>SUM(J101:J101)</f>
        <v>8736.4</v>
      </c>
      <c r="K100" s="79">
        <f>SUM(K101:K101)</f>
        <v>9308.5</v>
      </c>
      <c r="L100" s="448"/>
    </row>
    <row r="101" spans="1:12" ht="75" customHeight="1">
      <c r="A101" s="416"/>
      <c r="B101" s="417"/>
      <c r="C101" s="417"/>
      <c r="D101" s="417"/>
      <c r="E101" s="295"/>
      <c r="F101" s="410"/>
      <c r="G101" s="235" t="s">
        <v>169</v>
      </c>
      <c r="H101" s="91">
        <f>H87</f>
        <v>31003.600000000002</v>
      </c>
      <c r="I101" s="91">
        <f>I87</f>
        <v>12958.7</v>
      </c>
      <c r="J101" s="91">
        <f>J87</f>
        <v>8736.4</v>
      </c>
      <c r="K101" s="91">
        <f>K87</f>
        <v>9308.5</v>
      </c>
      <c r="L101" s="448"/>
    </row>
    <row r="102" spans="1:12" ht="75" customHeight="1">
      <c r="A102" s="416"/>
      <c r="B102" s="417"/>
      <c r="C102" s="417"/>
      <c r="D102" s="417"/>
      <c r="E102" s="291" t="s">
        <v>58</v>
      </c>
      <c r="F102" s="410"/>
      <c r="G102" s="256" t="s">
        <v>69</v>
      </c>
      <c r="H102" s="79">
        <f>H103</f>
        <v>10763.699999999999</v>
      </c>
      <c r="I102" s="79">
        <f>I103</f>
        <v>3380</v>
      </c>
      <c r="J102" s="79">
        <f>J103</f>
        <v>3590.3</v>
      </c>
      <c r="K102" s="79">
        <f>K103</f>
        <v>3793.3999999999996</v>
      </c>
      <c r="L102" s="448"/>
    </row>
    <row r="103" spans="1:12" ht="75" customHeight="1">
      <c r="A103" s="416"/>
      <c r="B103" s="417"/>
      <c r="C103" s="417"/>
      <c r="D103" s="417"/>
      <c r="E103" s="291"/>
      <c r="F103" s="410"/>
      <c r="G103" s="235" t="s">
        <v>169</v>
      </c>
      <c r="H103" s="91">
        <f>H32</f>
        <v>10763.699999999999</v>
      </c>
      <c r="I103" s="91">
        <f>I32</f>
        <v>3380</v>
      </c>
      <c r="J103" s="91">
        <f>J32</f>
        <v>3590.3</v>
      </c>
      <c r="K103" s="91">
        <f>K32</f>
        <v>3793.3999999999996</v>
      </c>
      <c r="L103" s="448"/>
    </row>
    <row r="104" spans="1:12" ht="75" customHeight="1">
      <c r="A104" s="416"/>
      <c r="B104" s="417"/>
      <c r="C104" s="417"/>
      <c r="D104" s="417"/>
      <c r="E104" s="293" t="s">
        <v>59</v>
      </c>
      <c r="F104" s="410"/>
      <c r="G104" s="256" t="s">
        <v>69</v>
      </c>
      <c r="H104" s="79">
        <f>H105</f>
        <v>13080.500000000002</v>
      </c>
      <c r="I104" s="79">
        <f>I105</f>
        <v>4127.8</v>
      </c>
      <c r="J104" s="79">
        <f>J105</f>
        <v>4357.8</v>
      </c>
      <c r="K104" s="79">
        <f>K105</f>
        <v>4594.8999999999996</v>
      </c>
      <c r="L104" s="448"/>
    </row>
    <row r="105" spans="1:12" ht="63.75" customHeight="1">
      <c r="A105" s="416"/>
      <c r="B105" s="417"/>
      <c r="C105" s="417"/>
      <c r="D105" s="417"/>
      <c r="E105" s="294"/>
      <c r="F105" s="410"/>
      <c r="G105" s="235" t="s">
        <v>169</v>
      </c>
      <c r="H105" s="91">
        <f>H33</f>
        <v>13080.500000000002</v>
      </c>
      <c r="I105" s="91">
        <f>I33</f>
        <v>4127.8</v>
      </c>
      <c r="J105" s="91">
        <f>J33</f>
        <v>4357.8</v>
      </c>
      <c r="K105" s="91">
        <f>K33</f>
        <v>4594.8999999999996</v>
      </c>
      <c r="L105" s="448"/>
    </row>
    <row r="106" spans="1:12" ht="66" customHeight="1">
      <c r="A106" s="416"/>
      <c r="B106" s="417"/>
      <c r="C106" s="417"/>
      <c r="D106" s="417"/>
      <c r="E106" s="293" t="s">
        <v>149</v>
      </c>
      <c r="F106" s="410"/>
      <c r="G106" s="256" t="s">
        <v>69</v>
      </c>
      <c r="H106" s="79">
        <f>H107</f>
        <v>14602.499999999998</v>
      </c>
      <c r="I106" s="79">
        <f>I107</f>
        <v>4725.5999999999995</v>
      </c>
      <c r="J106" s="79">
        <f>J107</f>
        <v>4801.7</v>
      </c>
      <c r="K106" s="79">
        <f>K107</f>
        <v>5075.2</v>
      </c>
      <c r="L106" s="244"/>
    </row>
    <row r="107" spans="1:12" ht="47.25" customHeight="1">
      <c r="A107" s="418"/>
      <c r="B107" s="419"/>
      <c r="C107" s="419"/>
      <c r="D107" s="419"/>
      <c r="E107" s="294"/>
      <c r="F107" s="411"/>
      <c r="G107" s="235" t="s">
        <v>169</v>
      </c>
      <c r="H107" s="91">
        <f>H78</f>
        <v>14602.499999999998</v>
      </c>
      <c r="I107" s="91">
        <f>I78</f>
        <v>4725.5999999999995</v>
      </c>
      <c r="J107" s="91">
        <f>J78</f>
        <v>4801.7</v>
      </c>
      <c r="K107" s="91">
        <f>K78</f>
        <v>5075.2</v>
      </c>
      <c r="L107" s="136"/>
    </row>
    <row r="108" spans="1:12" ht="48" customHeight="1">
      <c r="A108" s="297" t="s">
        <v>89</v>
      </c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9"/>
    </row>
    <row r="109" spans="1:12" ht="56.25" customHeight="1">
      <c r="A109" s="366" t="s">
        <v>95</v>
      </c>
      <c r="B109" s="338" t="s">
        <v>90</v>
      </c>
      <c r="C109" s="293" t="s">
        <v>228</v>
      </c>
      <c r="D109" s="297" t="s">
        <v>320</v>
      </c>
      <c r="E109" s="298"/>
      <c r="F109" s="298"/>
      <c r="G109" s="299"/>
      <c r="H109" s="79">
        <f>SUM(H110:H112)</f>
        <v>41336.700000000004</v>
      </c>
      <c r="I109" s="79">
        <f>SUM(I110:I112)</f>
        <v>13142.2</v>
      </c>
      <c r="J109" s="79">
        <f>SUM(J110:J112)</f>
        <v>13754.9</v>
      </c>
      <c r="K109" s="79">
        <f>SUM(K110:K112)</f>
        <v>14439.6</v>
      </c>
      <c r="L109" s="286" t="s">
        <v>159</v>
      </c>
    </row>
    <row r="110" spans="1:12" ht="76.5" customHeight="1">
      <c r="A110" s="367"/>
      <c r="B110" s="338"/>
      <c r="C110" s="295"/>
      <c r="D110" s="87" t="s">
        <v>30</v>
      </c>
      <c r="E110" s="137" t="s">
        <v>58</v>
      </c>
      <c r="F110" s="363" t="s">
        <v>142</v>
      </c>
      <c r="G110" s="363" t="s">
        <v>169</v>
      </c>
      <c r="H110" s="78">
        <f>I110+J110+K110</f>
        <v>18656.900000000001</v>
      </c>
      <c r="I110" s="81">
        <v>5947</v>
      </c>
      <c r="J110" s="81">
        <v>6202.4</v>
      </c>
      <c r="K110" s="81">
        <v>6507.5</v>
      </c>
      <c r="L110" s="444"/>
    </row>
    <row r="111" spans="1:12" ht="69.75" customHeight="1">
      <c r="A111" s="367"/>
      <c r="B111" s="338"/>
      <c r="C111" s="295"/>
      <c r="D111" s="87" t="s">
        <v>30</v>
      </c>
      <c r="E111" s="137" t="s">
        <v>59</v>
      </c>
      <c r="F111" s="364"/>
      <c r="G111" s="364"/>
      <c r="H111" s="78">
        <f>I111+J111+K111</f>
        <v>22349.800000000003</v>
      </c>
      <c r="I111" s="81">
        <v>7115.2</v>
      </c>
      <c r="J111" s="81">
        <v>7432.5</v>
      </c>
      <c r="K111" s="81">
        <v>7802.1</v>
      </c>
      <c r="L111" s="444"/>
    </row>
    <row r="112" spans="1:12" ht="64.5" customHeight="1">
      <c r="A112" s="367"/>
      <c r="B112" s="338"/>
      <c r="C112" s="294"/>
      <c r="D112" s="87" t="s">
        <v>30</v>
      </c>
      <c r="E112" s="137" t="s">
        <v>149</v>
      </c>
      <c r="F112" s="365"/>
      <c r="G112" s="365"/>
      <c r="H112" s="78">
        <f>I112+J112+K112</f>
        <v>330</v>
      </c>
      <c r="I112" s="81">
        <v>80</v>
      </c>
      <c r="J112" s="81">
        <v>120</v>
      </c>
      <c r="K112" s="81">
        <v>130</v>
      </c>
      <c r="L112" s="287"/>
    </row>
    <row r="113" spans="1:12" s="117" customFormat="1" ht="75" customHeight="1">
      <c r="A113" s="367"/>
      <c r="B113" s="338"/>
      <c r="C113" s="404" t="s">
        <v>230</v>
      </c>
      <c r="D113" s="446" t="s">
        <v>321</v>
      </c>
      <c r="E113" s="446"/>
      <c r="F113" s="446"/>
      <c r="G113" s="446"/>
      <c r="H113" s="78">
        <f>H114+H115+H116</f>
        <v>4738</v>
      </c>
      <c r="I113" s="78">
        <f>I114+I115+I116</f>
        <v>1500</v>
      </c>
      <c r="J113" s="78">
        <f>J114+J115+J116</f>
        <v>1579.5</v>
      </c>
      <c r="K113" s="78">
        <f>K114+K115+K116</f>
        <v>1658.5</v>
      </c>
      <c r="L113" s="293" t="s">
        <v>42</v>
      </c>
    </row>
    <row r="114" spans="1:12" ht="75" customHeight="1">
      <c r="A114" s="367"/>
      <c r="B114" s="338"/>
      <c r="C114" s="406"/>
      <c r="D114" s="87" t="s">
        <v>30</v>
      </c>
      <c r="E114" s="238" t="s">
        <v>58</v>
      </c>
      <c r="F114" s="300" t="s">
        <v>142</v>
      </c>
      <c r="G114" s="300" t="s">
        <v>169</v>
      </c>
      <c r="H114" s="78">
        <f>I114+J114+K114</f>
        <v>2640.5</v>
      </c>
      <c r="I114" s="81">
        <v>835</v>
      </c>
      <c r="J114" s="81">
        <v>879.3</v>
      </c>
      <c r="K114" s="81">
        <v>926.2</v>
      </c>
      <c r="L114" s="295"/>
    </row>
    <row r="115" spans="1:12" ht="87.75" customHeight="1">
      <c r="A115" s="367"/>
      <c r="B115" s="338"/>
      <c r="C115" s="406"/>
      <c r="D115" s="87" t="s">
        <v>30</v>
      </c>
      <c r="E115" s="120" t="s">
        <v>59</v>
      </c>
      <c r="F115" s="301"/>
      <c r="G115" s="301"/>
      <c r="H115" s="78">
        <f>I115+J115+K115</f>
        <v>1971.2</v>
      </c>
      <c r="I115" s="81">
        <v>625</v>
      </c>
      <c r="J115" s="81">
        <v>658.2</v>
      </c>
      <c r="K115" s="81">
        <v>688</v>
      </c>
      <c r="L115" s="295"/>
    </row>
    <row r="116" spans="1:12" ht="87.75" customHeight="1">
      <c r="A116" s="367"/>
      <c r="B116" s="338"/>
      <c r="C116" s="412"/>
      <c r="D116" s="87" t="s">
        <v>30</v>
      </c>
      <c r="E116" s="238" t="s">
        <v>149</v>
      </c>
      <c r="F116" s="302"/>
      <c r="G116" s="302"/>
      <c r="H116" s="78">
        <f>I116+J116+K116</f>
        <v>126.3</v>
      </c>
      <c r="I116" s="81">
        <v>40</v>
      </c>
      <c r="J116" s="81">
        <v>42</v>
      </c>
      <c r="K116" s="81">
        <v>44.3</v>
      </c>
      <c r="L116" s="294"/>
    </row>
    <row r="117" spans="1:12" ht="75" customHeight="1">
      <c r="A117" s="367"/>
      <c r="B117" s="338"/>
      <c r="C117" s="334" t="s">
        <v>166</v>
      </c>
      <c r="D117" s="446" t="s">
        <v>322</v>
      </c>
      <c r="E117" s="446"/>
      <c r="F117" s="446"/>
      <c r="G117" s="446"/>
      <c r="H117" s="78">
        <f>H118+H119</f>
        <v>8386.2000000000007</v>
      </c>
      <c r="I117" s="78">
        <f>I118+I119</f>
        <v>2655</v>
      </c>
      <c r="J117" s="78">
        <f>J118+J119</f>
        <v>2795.7</v>
      </c>
      <c r="K117" s="78">
        <f>K118+K119</f>
        <v>2935.5</v>
      </c>
      <c r="L117" s="334" t="s">
        <v>161</v>
      </c>
    </row>
    <row r="118" spans="1:12" ht="52.5" customHeight="1">
      <c r="A118" s="367"/>
      <c r="B118" s="338"/>
      <c r="C118" s="334"/>
      <c r="D118" s="369" t="s">
        <v>30</v>
      </c>
      <c r="E118" s="238" t="s">
        <v>54</v>
      </c>
      <c r="F118" s="306" t="s">
        <v>142</v>
      </c>
      <c r="G118" s="323" t="s">
        <v>169</v>
      </c>
      <c r="H118" s="78">
        <f>I118+J118+K118</f>
        <v>2448.5</v>
      </c>
      <c r="I118" s="81">
        <v>775</v>
      </c>
      <c r="J118" s="81">
        <v>816.3</v>
      </c>
      <c r="K118" s="81">
        <v>857.2</v>
      </c>
      <c r="L118" s="334"/>
    </row>
    <row r="119" spans="1:12" ht="75" customHeight="1">
      <c r="A119" s="367"/>
      <c r="B119" s="338"/>
      <c r="C119" s="334"/>
      <c r="D119" s="369"/>
      <c r="E119" s="238" t="s">
        <v>56</v>
      </c>
      <c r="F119" s="306"/>
      <c r="G119" s="323"/>
      <c r="H119" s="78">
        <f>I119+J119+K119</f>
        <v>5937.7000000000007</v>
      </c>
      <c r="I119" s="81">
        <v>1880</v>
      </c>
      <c r="J119" s="81">
        <v>1979.4</v>
      </c>
      <c r="K119" s="81">
        <v>2078.3000000000002</v>
      </c>
      <c r="L119" s="334"/>
    </row>
    <row r="120" spans="1:12" ht="243" customHeight="1">
      <c r="A120" s="367"/>
      <c r="B120" s="338"/>
      <c r="C120" s="238" t="s">
        <v>414</v>
      </c>
      <c r="D120" s="138" t="s">
        <v>26</v>
      </c>
      <c r="E120" s="238" t="s">
        <v>55</v>
      </c>
      <c r="F120" s="259" t="s">
        <v>142</v>
      </c>
      <c r="G120" s="234" t="s">
        <v>169</v>
      </c>
      <c r="H120" s="78">
        <f>I120+J120+K120</f>
        <v>1012.4000000000001</v>
      </c>
      <c r="I120" s="81">
        <f>300+64.8</f>
        <v>364.8</v>
      </c>
      <c r="J120" s="81">
        <v>315.89999999999998</v>
      </c>
      <c r="K120" s="81">
        <v>331.7</v>
      </c>
      <c r="L120" s="139" t="s">
        <v>436</v>
      </c>
    </row>
    <row r="121" spans="1:12" ht="75" customHeight="1">
      <c r="A121" s="370" t="s">
        <v>49</v>
      </c>
      <c r="B121" s="371"/>
      <c r="C121" s="371"/>
      <c r="D121" s="371"/>
      <c r="E121" s="371"/>
      <c r="F121" s="372"/>
      <c r="G121" s="256"/>
      <c r="H121" s="78">
        <f>H109+H113+H117+H120</f>
        <v>55473.30000000001</v>
      </c>
      <c r="I121" s="78">
        <f>I109+I113+I117+I120</f>
        <v>17662</v>
      </c>
      <c r="J121" s="78">
        <f>J109+J113+J117+J120</f>
        <v>18446</v>
      </c>
      <c r="K121" s="78">
        <f>K109+K113+K117+K120</f>
        <v>19365.3</v>
      </c>
      <c r="L121" s="373"/>
    </row>
    <row r="122" spans="1:12" s="117" customFormat="1" ht="75" customHeight="1">
      <c r="A122" s="319" t="s">
        <v>183</v>
      </c>
      <c r="B122" s="319"/>
      <c r="C122" s="98"/>
      <c r="D122" s="140"/>
      <c r="E122" s="141"/>
      <c r="F122" s="142"/>
      <c r="G122" s="261" t="s">
        <v>169</v>
      </c>
      <c r="H122" s="79">
        <f>H110+H111+H114+H115+H118+H119+H120+H116+H112</f>
        <v>55473.30000000001</v>
      </c>
      <c r="I122" s="79">
        <f>I110+I111+I114+I115+I118+I119+I120+I116+I112</f>
        <v>17662</v>
      </c>
      <c r="J122" s="79">
        <f>J110+J111+J114+J115+J118+J119+J120+J116+J112</f>
        <v>18446</v>
      </c>
      <c r="K122" s="79">
        <f>K110+K111+K114+K115+K118+K119+K120+K116+K112</f>
        <v>19365.3</v>
      </c>
      <c r="L122" s="374"/>
    </row>
    <row r="123" spans="1:12" ht="75" customHeight="1">
      <c r="A123" s="318" t="s">
        <v>182</v>
      </c>
      <c r="B123" s="318"/>
      <c r="C123" s="318"/>
      <c r="D123" s="318"/>
      <c r="E123" s="291" t="s">
        <v>54</v>
      </c>
      <c r="F123" s="291"/>
      <c r="G123" s="307" t="s">
        <v>169</v>
      </c>
      <c r="H123" s="79">
        <f>H118</f>
        <v>2448.5</v>
      </c>
      <c r="I123" s="79">
        <f>I118</f>
        <v>775</v>
      </c>
      <c r="J123" s="79">
        <f>J118</f>
        <v>816.3</v>
      </c>
      <c r="K123" s="79">
        <f>K118</f>
        <v>857.2</v>
      </c>
      <c r="L123" s="374"/>
    </row>
    <row r="124" spans="1:12" ht="75" customHeight="1">
      <c r="A124" s="318"/>
      <c r="B124" s="318"/>
      <c r="C124" s="318"/>
      <c r="D124" s="318"/>
      <c r="E124" s="291" t="s">
        <v>55</v>
      </c>
      <c r="F124" s="291"/>
      <c r="G124" s="308"/>
      <c r="H124" s="79">
        <f>H120</f>
        <v>1012.4000000000001</v>
      </c>
      <c r="I124" s="79">
        <f>I120</f>
        <v>364.8</v>
      </c>
      <c r="J124" s="79">
        <f>J120</f>
        <v>315.89999999999998</v>
      </c>
      <c r="K124" s="79">
        <f>K120</f>
        <v>331.7</v>
      </c>
      <c r="L124" s="374"/>
    </row>
    <row r="125" spans="1:12" ht="75" customHeight="1">
      <c r="A125" s="318"/>
      <c r="B125" s="318"/>
      <c r="C125" s="318"/>
      <c r="D125" s="318"/>
      <c r="E125" s="310" t="s">
        <v>56</v>
      </c>
      <c r="F125" s="311"/>
      <c r="G125" s="308"/>
      <c r="H125" s="79">
        <f>H119</f>
        <v>5937.7000000000007</v>
      </c>
      <c r="I125" s="79">
        <f>I119</f>
        <v>1880</v>
      </c>
      <c r="J125" s="79">
        <f>J119</f>
        <v>1979.4</v>
      </c>
      <c r="K125" s="79">
        <f>K119</f>
        <v>2078.3000000000002</v>
      </c>
      <c r="L125" s="374"/>
    </row>
    <row r="126" spans="1:12" ht="75" customHeight="1">
      <c r="A126" s="318"/>
      <c r="B126" s="318"/>
      <c r="C126" s="318"/>
      <c r="D126" s="318"/>
      <c r="E126" s="291" t="s">
        <v>58</v>
      </c>
      <c r="F126" s="291"/>
      <c r="G126" s="308"/>
      <c r="H126" s="79">
        <f t="shared" ref="H126:K127" si="9">H110+H114</f>
        <v>21297.4</v>
      </c>
      <c r="I126" s="79">
        <f t="shared" si="9"/>
        <v>6782</v>
      </c>
      <c r="J126" s="79">
        <f t="shared" si="9"/>
        <v>7081.7</v>
      </c>
      <c r="K126" s="79">
        <f t="shared" si="9"/>
        <v>7433.7</v>
      </c>
      <c r="L126" s="374"/>
    </row>
    <row r="127" spans="1:12" ht="75" customHeight="1">
      <c r="A127" s="318"/>
      <c r="B127" s="318"/>
      <c r="C127" s="318"/>
      <c r="D127" s="318"/>
      <c r="E127" s="291" t="s">
        <v>59</v>
      </c>
      <c r="F127" s="291"/>
      <c r="G127" s="308"/>
      <c r="H127" s="79">
        <f t="shared" si="9"/>
        <v>24321.000000000004</v>
      </c>
      <c r="I127" s="79">
        <f t="shared" si="9"/>
        <v>7740.2</v>
      </c>
      <c r="J127" s="79">
        <f t="shared" si="9"/>
        <v>8090.7</v>
      </c>
      <c r="K127" s="79">
        <f t="shared" si="9"/>
        <v>8490.1</v>
      </c>
      <c r="L127" s="374"/>
    </row>
    <row r="128" spans="1:12" ht="75" customHeight="1">
      <c r="A128" s="318"/>
      <c r="B128" s="318"/>
      <c r="C128" s="318"/>
      <c r="D128" s="318"/>
      <c r="E128" s="310" t="s">
        <v>149</v>
      </c>
      <c r="F128" s="311"/>
      <c r="G128" s="309"/>
      <c r="H128" s="79">
        <f>H116+H112</f>
        <v>456.3</v>
      </c>
      <c r="I128" s="79">
        <f>I116+I112</f>
        <v>120</v>
      </c>
      <c r="J128" s="79">
        <f>J116+J112</f>
        <v>162</v>
      </c>
      <c r="K128" s="79">
        <f>K116+K112</f>
        <v>174.3</v>
      </c>
      <c r="L128" s="374"/>
    </row>
    <row r="129" spans="1:12" ht="75" customHeight="1">
      <c r="A129" s="312" t="s">
        <v>138</v>
      </c>
      <c r="B129" s="313"/>
      <c r="C129" s="313"/>
      <c r="D129" s="313"/>
      <c r="E129" s="313"/>
      <c r="F129" s="313"/>
      <c r="G129" s="313"/>
      <c r="H129" s="313"/>
      <c r="I129" s="313"/>
      <c r="J129" s="313"/>
      <c r="K129" s="313"/>
      <c r="L129" s="314"/>
    </row>
    <row r="130" spans="1:12" ht="309" customHeight="1">
      <c r="A130" s="133" t="s">
        <v>101</v>
      </c>
      <c r="B130" s="143" t="s">
        <v>91</v>
      </c>
      <c r="C130" s="144" t="s">
        <v>165</v>
      </c>
      <c r="D130" s="88" t="s">
        <v>29</v>
      </c>
      <c r="E130" s="237" t="s">
        <v>144</v>
      </c>
      <c r="F130" s="145"/>
      <c r="G130" s="235" t="s">
        <v>148</v>
      </c>
      <c r="H130" s="85">
        <f>I130+J130+K130</f>
        <v>11255.199999999999</v>
      </c>
      <c r="I130" s="81">
        <f>1509.8+1937.7+71</f>
        <v>3518.5</v>
      </c>
      <c r="J130" s="81">
        <f>1467.2+2108.5+167.6</f>
        <v>3743.2999999999997</v>
      </c>
      <c r="K130" s="81">
        <f>1566.4+2249.8+177.2</f>
        <v>3993.4</v>
      </c>
      <c r="L130" s="131" t="s">
        <v>242</v>
      </c>
    </row>
    <row r="131" spans="1:12" ht="60" customHeight="1">
      <c r="A131" s="370" t="s">
        <v>51</v>
      </c>
      <c r="B131" s="371"/>
      <c r="C131" s="371"/>
      <c r="D131" s="371"/>
      <c r="E131" s="371"/>
      <c r="F131" s="372"/>
      <c r="G131" s="146"/>
      <c r="H131" s="78">
        <f>H130</f>
        <v>11255.199999999999</v>
      </c>
      <c r="I131" s="78">
        <f>I130</f>
        <v>3518.5</v>
      </c>
      <c r="J131" s="78">
        <f>J130</f>
        <v>3743.2999999999997</v>
      </c>
      <c r="K131" s="78">
        <f>K130</f>
        <v>3993.4</v>
      </c>
      <c r="L131" s="262"/>
    </row>
    <row r="132" spans="1:12" ht="75" customHeight="1">
      <c r="A132" s="297" t="s">
        <v>102</v>
      </c>
      <c r="B132" s="298"/>
      <c r="C132" s="298"/>
      <c r="D132" s="298"/>
      <c r="E132" s="298"/>
      <c r="F132" s="298"/>
      <c r="G132" s="298"/>
      <c r="H132" s="298"/>
      <c r="I132" s="298"/>
      <c r="J132" s="298"/>
      <c r="K132" s="298"/>
      <c r="L132" s="299"/>
    </row>
    <row r="133" spans="1:12" ht="69" customHeight="1">
      <c r="A133" s="385" t="s">
        <v>103</v>
      </c>
      <c r="B133" s="382" t="s">
        <v>104</v>
      </c>
      <c r="C133" s="315" t="s">
        <v>291</v>
      </c>
      <c r="D133" s="297" t="s">
        <v>131</v>
      </c>
      <c r="E133" s="298"/>
      <c r="F133" s="298"/>
      <c r="G133" s="299"/>
      <c r="H133" s="79">
        <f>H134+H137+H138+H139+H140+H141+H142+H143+H144+H136+H135</f>
        <v>240490</v>
      </c>
      <c r="I133" s="79">
        <f>I134+I137+I138+I139+I140+I141+I142+I143+I144+I136+I135</f>
        <v>80430</v>
      </c>
      <c r="J133" s="79">
        <f t="shared" ref="J133:K133" si="10">J134+J137+J138+J139+J140+J141+J142+J143+J144+J136+J135</f>
        <v>80030</v>
      </c>
      <c r="K133" s="79">
        <f t="shared" si="10"/>
        <v>80030</v>
      </c>
      <c r="L133" s="388" t="s">
        <v>243</v>
      </c>
    </row>
    <row r="134" spans="1:12" ht="75" customHeight="1">
      <c r="A134" s="386"/>
      <c r="B134" s="383"/>
      <c r="C134" s="316"/>
      <c r="D134" s="264" t="s">
        <v>30</v>
      </c>
      <c r="E134" s="238" t="s">
        <v>144</v>
      </c>
      <c r="F134" s="306" t="s">
        <v>143</v>
      </c>
      <c r="G134" s="300" t="s">
        <v>172</v>
      </c>
      <c r="H134" s="85">
        <f>I134+J134+K134</f>
        <v>240090</v>
      </c>
      <c r="I134" s="81">
        <v>80030</v>
      </c>
      <c r="J134" s="81">
        <v>80030</v>
      </c>
      <c r="K134" s="81">
        <v>80030</v>
      </c>
      <c r="L134" s="389"/>
    </row>
    <row r="135" spans="1:12" ht="97.5" customHeight="1">
      <c r="A135" s="386"/>
      <c r="B135" s="383"/>
      <c r="C135" s="316"/>
      <c r="D135" s="264" t="s">
        <v>383</v>
      </c>
      <c r="E135" s="238" t="s">
        <v>384</v>
      </c>
      <c r="F135" s="306"/>
      <c r="G135" s="301"/>
      <c r="H135" s="85">
        <f>I135+J135+K135</f>
        <v>400</v>
      </c>
      <c r="I135" s="81">
        <v>400</v>
      </c>
      <c r="J135" s="81"/>
      <c r="K135" s="81"/>
      <c r="L135" s="389"/>
    </row>
    <row r="136" spans="1:12" ht="92.25" hidden="1" customHeight="1">
      <c r="A136" s="386"/>
      <c r="B136" s="383"/>
      <c r="C136" s="316"/>
      <c r="D136" s="88" t="s">
        <v>29</v>
      </c>
      <c r="E136" s="238" t="s">
        <v>144</v>
      </c>
      <c r="F136" s="306"/>
      <c r="G136" s="301"/>
      <c r="H136" s="85">
        <f>I136+J136+K136</f>
        <v>0</v>
      </c>
      <c r="I136" s="81"/>
      <c r="J136" s="81"/>
      <c r="K136" s="81"/>
      <c r="L136" s="389"/>
    </row>
    <row r="137" spans="1:12" ht="92.25" hidden="1" customHeight="1">
      <c r="A137" s="386"/>
      <c r="B137" s="383"/>
      <c r="C137" s="316"/>
      <c r="D137" s="264" t="s">
        <v>26</v>
      </c>
      <c r="E137" s="238" t="s">
        <v>60</v>
      </c>
      <c r="F137" s="306"/>
      <c r="G137" s="301"/>
      <c r="H137" s="78">
        <f t="shared" ref="H137:H155" si="11">I137+J137+K137</f>
        <v>0</v>
      </c>
      <c r="I137" s="81"/>
      <c r="J137" s="81"/>
      <c r="K137" s="81"/>
      <c r="L137" s="389"/>
    </row>
    <row r="138" spans="1:12" ht="92.25" hidden="1" customHeight="1">
      <c r="A138" s="386"/>
      <c r="B138" s="383"/>
      <c r="C138" s="316"/>
      <c r="D138" s="147" t="s">
        <v>26</v>
      </c>
      <c r="E138" s="238" t="s">
        <v>54</v>
      </c>
      <c r="F138" s="306"/>
      <c r="G138" s="301"/>
      <c r="H138" s="78">
        <f t="shared" si="11"/>
        <v>0</v>
      </c>
      <c r="I138" s="81"/>
      <c r="J138" s="81"/>
      <c r="K138" s="81"/>
      <c r="L138" s="389"/>
    </row>
    <row r="139" spans="1:12" ht="92.25" hidden="1" customHeight="1">
      <c r="A139" s="386"/>
      <c r="B139" s="383"/>
      <c r="C139" s="316"/>
      <c r="D139" s="147" t="s">
        <v>26</v>
      </c>
      <c r="E139" s="238" t="s">
        <v>55</v>
      </c>
      <c r="F139" s="306"/>
      <c r="G139" s="301"/>
      <c r="H139" s="78">
        <f t="shared" si="11"/>
        <v>0</v>
      </c>
      <c r="I139" s="81"/>
      <c r="J139" s="81"/>
      <c r="K139" s="81"/>
      <c r="L139" s="389"/>
    </row>
    <row r="140" spans="1:12" ht="92.25" hidden="1" customHeight="1">
      <c r="A140" s="386"/>
      <c r="B140" s="383"/>
      <c r="C140" s="316"/>
      <c r="D140" s="147" t="s">
        <v>26</v>
      </c>
      <c r="E140" s="238" t="s">
        <v>53</v>
      </c>
      <c r="F140" s="306"/>
      <c r="G140" s="301"/>
      <c r="H140" s="78">
        <f t="shared" si="11"/>
        <v>0</v>
      </c>
      <c r="I140" s="81"/>
      <c r="J140" s="81"/>
      <c r="K140" s="81"/>
      <c r="L140" s="389"/>
    </row>
    <row r="141" spans="1:12" ht="92.25" hidden="1" customHeight="1">
      <c r="A141" s="386"/>
      <c r="B141" s="383"/>
      <c r="C141" s="316"/>
      <c r="D141" s="87" t="s">
        <v>26</v>
      </c>
      <c r="E141" s="255" t="s">
        <v>149</v>
      </c>
      <c r="F141" s="306"/>
      <c r="G141" s="301"/>
      <c r="H141" s="78">
        <f t="shared" si="11"/>
        <v>0</v>
      </c>
      <c r="I141" s="81"/>
      <c r="J141" s="81"/>
      <c r="K141" s="81"/>
      <c r="L141" s="389"/>
    </row>
    <row r="142" spans="1:12" ht="92.25" hidden="1" customHeight="1">
      <c r="A142" s="386"/>
      <c r="B142" s="383"/>
      <c r="C142" s="316"/>
      <c r="D142" s="147" t="s">
        <v>27</v>
      </c>
      <c r="E142" s="228" t="s">
        <v>57</v>
      </c>
      <c r="F142" s="306"/>
      <c r="G142" s="301"/>
      <c r="H142" s="78">
        <f t="shared" si="11"/>
        <v>0</v>
      </c>
      <c r="I142" s="81"/>
      <c r="J142" s="81"/>
      <c r="K142" s="81"/>
      <c r="L142" s="389"/>
    </row>
    <row r="143" spans="1:12" ht="92.25" hidden="1" customHeight="1">
      <c r="A143" s="386"/>
      <c r="B143" s="383"/>
      <c r="C143" s="316"/>
      <c r="D143" s="264" t="s">
        <v>28</v>
      </c>
      <c r="E143" s="228" t="s">
        <v>56</v>
      </c>
      <c r="F143" s="306"/>
      <c r="G143" s="301"/>
      <c r="H143" s="78">
        <f t="shared" si="11"/>
        <v>0</v>
      </c>
      <c r="I143" s="86"/>
      <c r="J143" s="81"/>
      <c r="K143" s="81"/>
      <c r="L143" s="389"/>
    </row>
    <row r="144" spans="1:12" ht="92.25" hidden="1" customHeight="1">
      <c r="A144" s="386"/>
      <c r="B144" s="383"/>
      <c r="C144" s="254"/>
      <c r="D144" s="88" t="s">
        <v>33</v>
      </c>
      <c r="E144" s="238" t="s">
        <v>58</v>
      </c>
      <c r="F144" s="306"/>
      <c r="G144" s="302"/>
      <c r="H144" s="78">
        <f>I144+J144+K144</f>
        <v>0</v>
      </c>
      <c r="I144" s="86"/>
      <c r="J144" s="81"/>
      <c r="K144" s="81"/>
      <c r="L144" s="389"/>
    </row>
    <row r="145" spans="1:12" ht="75" customHeight="1">
      <c r="A145" s="386"/>
      <c r="B145" s="383"/>
      <c r="C145" s="315" t="s">
        <v>105</v>
      </c>
      <c r="D145" s="297" t="s">
        <v>132</v>
      </c>
      <c r="E145" s="298"/>
      <c r="F145" s="298"/>
      <c r="G145" s="299"/>
      <c r="H145" s="78">
        <f>H147+H148+H149+H150+H151+H152+H153+H154+H155+H146</f>
        <v>84900</v>
      </c>
      <c r="I145" s="78">
        <f>I147+I148+I149+I150+I151+I152+I153+I154+I155+I146</f>
        <v>28300</v>
      </c>
      <c r="J145" s="78">
        <f>J147+J148+J149+J150+J151+J152+J153+J154+J155+J146</f>
        <v>28300</v>
      </c>
      <c r="K145" s="78">
        <f>K147+K148+K149+K150+K151+K152+K153+K154+K155+K146</f>
        <v>28300</v>
      </c>
      <c r="L145" s="389"/>
    </row>
    <row r="146" spans="1:12" ht="75" customHeight="1">
      <c r="A146" s="386"/>
      <c r="B146" s="383"/>
      <c r="C146" s="316"/>
      <c r="D146" s="88" t="s">
        <v>29</v>
      </c>
      <c r="E146" s="238" t="s">
        <v>144</v>
      </c>
      <c r="F146" s="303" t="s">
        <v>143</v>
      </c>
      <c r="G146" s="300" t="s">
        <v>172</v>
      </c>
      <c r="H146" s="78">
        <f>I146+J146+K146</f>
        <v>900</v>
      </c>
      <c r="I146" s="81">
        <v>300</v>
      </c>
      <c r="J146" s="81">
        <v>300</v>
      </c>
      <c r="K146" s="81">
        <v>300</v>
      </c>
      <c r="L146" s="389"/>
    </row>
    <row r="147" spans="1:12" ht="75" customHeight="1">
      <c r="A147" s="386"/>
      <c r="B147" s="383"/>
      <c r="C147" s="316"/>
      <c r="D147" s="147" t="s">
        <v>26</v>
      </c>
      <c r="E147" s="238" t="s">
        <v>60</v>
      </c>
      <c r="F147" s="304"/>
      <c r="G147" s="301"/>
      <c r="H147" s="78">
        <f t="shared" si="11"/>
        <v>19480</v>
      </c>
      <c r="I147" s="81">
        <v>6580</v>
      </c>
      <c r="J147" s="81">
        <v>5600</v>
      </c>
      <c r="K147" s="81">
        <v>7300</v>
      </c>
      <c r="L147" s="389"/>
    </row>
    <row r="148" spans="1:12" ht="75" customHeight="1">
      <c r="A148" s="386"/>
      <c r="B148" s="383"/>
      <c r="C148" s="316"/>
      <c r="D148" s="147" t="s">
        <v>26</v>
      </c>
      <c r="E148" s="238" t="s">
        <v>54</v>
      </c>
      <c r="F148" s="304"/>
      <c r="G148" s="301"/>
      <c r="H148" s="78">
        <f t="shared" si="11"/>
        <v>9600</v>
      </c>
      <c r="I148" s="81">
        <v>2600</v>
      </c>
      <c r="J148" s="81">
        <v>5000</v>
      </c>
      <c r="K148" s="81">
        <v>2000</v>
      </c>
      <c r="L148" s="389"/>
    </row>
    <row r="149" spans="1:12" ht="75" customHeight="1">
      <c r="A149" s="386"/>
      <c r="B149" s="383"/>
      <c r="C149" s="316"/>
      <c r="D149" s="147" t="s">
        <v>26</v>
      </c>
      <c r="E149" s="238" t="s">
        <v>55</v>
      </c>
      <c r="F149" s="304"/>
      <c r="G149" s="301"/>
      <c r="H149" s="78">
        <f t="shared" si="11"/>
        <v>11910</v>
      </c>
      <c r="I149" s="81">
        <v>5310</v>
      </c>
      <c r="J149" s="81">
        <v>4000</v>
      </c>
      <c r="K149" s="81">
        <v>2600</v>
      </c>
      <c r="L149" s="389"/>
    </row>
    <row r="150" spans="1:12" ht="75" customHeight="1">
      <c r="A150" s="386"/>
      <c r="B150" s="383"/>
      <c r="C150" s="316"/>
      <c r="D150" s="147" t="s">
        <v>26</v>
      </c>
      <c r="E150" s="238" t="s">
        <v>53</v>
      </c>
      <c r="F150" s="304"/>
      <c r="G150" s="301"/>
      <c r="H150" s="78">
        <f t="shared" si="11"/>
        <v>17840</v>
      </c>
      <c r="I150" s="81">
        <v>7840</v>
      </c>
      <c r="J150" s="81">
        <v>6000</v>
      </c>
      <c r="K150" s="81">
        <v>4000</v>
      </c>
      <c r="L150" s="389"/>
    </row>
    <row r="151" spans="1:12" ht="75" customHeight="1">
      <c r="A151" s="386"/>
      <c r="B151" s="383"/>
      <c r="C151" s="316"/>
      <c r="D151" s="147" t="s">
        <v>26</v>
      </c>
      <c r="E151" s="255" t="s">
        <v>149</v>
      </c>
      <c r="F151" s="304"/>
      <c r="G151" s="301"/>
      <c r="H151" s="78">
        <f t="shared" si="11"/>
        <v>8130</v>
      </c>
      <c r="I151" s="86">
        <v>1300</v>
      </c>
      <c r="J151" s="81">
        <v>3830</v>
      </c>
      <c r="K151" s="81">
        <v>3000</v>
      </c>
      <c r="L151" s="389"/>
    </row>
    <row r="152" spans="1:12" ht="87.75" customHeight="1">
      <c r="A152" s="386"/>
      <c r="B152" s="383"/>
      <c r="C152" s="316"/>
      <c r="D152" s="147" t="s">
        <v>27</v>
      </c>
      <c r="E152" s="228" t="s">
        <v>57</v>
      </c>
      <c r="F152" s="304"/>
      <c r="G152" s="301"/>
      <c r="H152" s="78">
        <f t="shared" si="11"/>
        <v>11460</v>
      </c>
      <c r="I152" s="81">
        <v>1860</v>
      </c>
      <c r="J152" s="81">
        <v>3000</v>
      </c>
      <c r="K152" s="81">
        <v>6600</v>
      </c>
      <c r="L152" s="389"/>
    </row>
    <row r="153" spans="1:12" ht="75" customHeight="1">
      <c r="A153" s="386"/>
      <c r="B153" s="383"/>
      <c r="C153" s="316"/>
      <c r="D153" s="147" t="s">
        <v>28</v>
      </c>
      <c r="E153" s="228" t="s">
        <v>56</v>
      </c>
      <c r="F153" s="304"/>
      <c r="G153" s="301"/>
      <c r="H153" s="78">
        <f t="shared" si="11"/>
        <v>3180</v>
      </c>
      <c r="I153" s="86">
        <v>110</v>
      </c>
      <c r="J153" s="81">
        <v>570</v>
      </c>
      <c r="K153" s="81">
        <v>2500</v>
      </c>
      <c r="L153" s="389"/>
    </row>
    <row r="154" spans="1:12" ht="75" customHeight="1">
      <c r="A154" s="386"/>
      <c r="B154" s="383"/>
      <c r="C154" s="316"/>
      <c r="D154" s="147" t="s">
        <v>33</v>
      </c>
      <c r="E154" s="238" t="s">
        <v>58</v>
      </c>
      <c r="F154" s="304"/>
      <c r="G154" s="301"/>
      <c r="H154" s="78">
        <f t="shared" si="11"/>
        <v>2200</v>
      </c>
      <c r="I154" s="86">
        <v>2200</v>
      </c>
      <c r="J154" s="81">
        <v>0</v>
      </c>
      <c r="K154" s="81">
        <v>0</v>
      </c>
      <c r="L154" s="389"/>
    </row>
    <row r="155" spans="1:12" ht="75" customHeight="1">
      <c r="A155" s="386"/>
      <c r="B155" s="383"/>
      <c r="C155" s="317"/>
      <c r="D155" s="147" t="s">
        <v>33</v>
      </c>
      <c r="E155" s="238" t="s">
        <v>59</v>
      </c>
      <c r="F155" s="305"/>
      <c r="G155" s="302"/>
      <c r="H155" s="78">
        <f t="shared" si="11"/>
        <v>200</v>
      </c>
      <c r="I155" s="86">
        <v>200</v>
      </c>
      <c r="J155" s="81">
        <v>0</v>
      </c>
      <c r="K155" s="81">
        <v>0</v>
      </c>
      <c r="L155" s="389"/>
    </row>
    <row r="156" spans="1:12" ht="75" customHeight="1">
      <c r="A156" s="386"/>
      <c r="B156" s="383"/>
      <c r="C156" s="315" t="s">
        <v>133</v>
      </c>
      <c r="D156" s="297" t="s">
        <v>158</v>
      </c>
      <c r="E156" s="298"/>
      <c r="F156" s="298"/>
      <c r="G156" s="299"/>
      <c r="H156" s="84">
        <f>SUM(H157:H159)</f>
        <v>16800</v>
      </c>
      <c r="I156" s="82">
        <f>SUM(I157:I159)</f>
        <v>16800</v>
      </c>
      <c r="J156" s="84">
        <f>SUM(J157:J159)</f>
        <v>0</v>
      </c>
      <c r="K156" s="84">
        <f>SUM(K157:K159)</f>
        <v>0</v>
      </c>
      <c r="L156" s="126"/>
    </row>
    <row r="157" spans="1:12" ht="294.75" customHeight="1">
      <c r="A157" s="386"/>
      <c r="B157" s="383"/>
      <c r="C157" s="316"/>
      <c r="D157" s="83" t="s">
        <v>50</v>
      </c>
      <c r="E157" s="228" t="s">
        <v>53</v>
      </c>
      <c r="F157" s="303" t="s">
        <v>142</v>
      </c>
      <c r="G157" s="300" t="s">
        <v>172</v>
      </c>
      <c r="H157" s="84">
        <f>I157+J157+K157</f>
        <v>15700</v>
      </c>
      <c r="I157" s="82">
        <f>3100+12100+1600-1100</f>
        <v>15700</v>
      </c>
      <c r="J157" s="82">
        <v>0</v>
      </c>
      <c r="K157" s="82">
        <v>0</v>
      </c>
      <c r="L157" s="238" t="s">
        <v>244</v>
      </c>
    </row>
    <row r="158" spans="1:12" ht="92.25" hidden="1" customHeight="1">
      <c r="A158" s="386"/>
      <c r="B158" s="383"/>
      <c r="C158" s="316"/>
      <c r="D158" s="83" t="s">
        <v>50</v>
      </c>
      <c r="E158" s="238" t="s">
        <v>60</v>
      </c>
      <c r="F158" s="304"/>
      <c r="G158" s="301"/>
      <c r="H158" s="78"/>
      <c r="I158" s="81"/>
      <c r="J158" s="81"/>
      <c r="K158" s="81"/>
      <c r="L158" s="238"/>
    </row>
    <row r="159" spans="1:12" ht="169.5" customHeight="1">
      <c r="A159" s="386"/>
      <c r="B159" s="383"/>
      <c r="C159" s="317"/>
      <c r="D159" s="83" t="s">
        <v>50</v>
      </c>
      <c r="E159" s="228" t="s">
        <v>149</v>
      </c>
      <c r="F159" s="305"/>
      <c r="G159" s="302"/>
      <c r="H159" s="78">
        <f>I159+J159+K159</f>
        <v>1100</v>
      </c>
      <c r="I159" s="81">
        <v>1100</v>
      </c>
      <c r="J159" s="81">
        <v>0</v>
      </c>
      <c r="K159" s="81">
        <v>0</v>
      </c>
      <c r="L159" s="238" t="s">
        <v>392</v>
      </c>
    </row>
    <row r="160" spans="1:12" ht="87" customHeight="1">
      <c r="A160" s="386"/>
      <c r="B160" s="383"/>
      <c r="C160" s="315" t="s">
        <v>438</v>
      </c>
      <c r="D160" s="297" t="s">
        <v>397</v>
      </c>
      <c r="E160" s="298"/>
      <c r="F160" s="298"/>
      <c r="G160" s="299"/>
      <c r="H160" s="149">
        <f>SUM(H161:H166)</f>
        <v>7083.62</v>
      </c>
      <c r="I160" s="149">
        <f>SUM(I161:I166)</f>
        <v>7083.62</v>
      </c>
      <c r="J160" s="149">
        <f t="shared" ref="J160:K160" si="12">SUM(J161:J166)</f>
        <v>0</v>
      </c>
      <c r="K160" s="149">
        <f t="shared" si="12"/>
        <v>0</v>
      </c>
      <c r="L160" s="381" t="s">
        <v>398</v>
      </c>
    </row>
    <row r="161" spans="1:12" ht="87" customHeight="1">
      <c r="A161" s="386"/>
      <c r="B161" s="383"/>
      <c r="C161" s="316"/>
      <c r="D161" s="147" t="s">
        <v>26</v>
      </c>
      <c r="E161" s="230" t="s">
        <v>55</v>
      </c>
      <c r="F161" s="303" t="s">
        <v>142</v>
      </c>
      <c r="G161" s="300" t="s">
        <v>396</v>
      </c>
      <c r="H161" s="148">
        <f>I161+J161+K161</f>
        <v>612.24</v>
      </c>
      <c r="I161" s="149">
        <v>612.24</v>
      </c>
      <c r="J161" s="81">
        <v>0</v>
      </c>
      <c r="K161" s="81">
        <v>0</v>
      </c>
      <c r="L161" s="381"/>
    </row>
    <row r="162" spans="1:12" ht="99.75" customHeight="1">
      <c r="A162" s="386"/>
      <c r="B162" s="383"/>
      <c r="C162" s="316"/>
      <c r="D162" s="147" t="s">
        <v>26</v>
      </c>
      <c r="E162" s="238" t="s">
        <v>53</v>
      </c>
      <c r="F162" s="304"/>
      <c r="G162" s="301"/>
      <c r="H162" s="148">
        <f t="shared" ref="H162" si="13">I162+J162+K162</f>
        <v>612.24</v>
      </c>
      <c r="I162" s="149">
        <v>612.24</v>
      </c>
      <c r="J162" s="81">
        <v>0</v>
      </c>
      <c r="K162" s="81">
        <v>0</v>
      </c>
      <c r="L162" s="381"/>
    </row>
    <row r="163" spans="1:12" ht="99" customHeight="1">
      <c r="A163" s="386"/>
      <c r="B163" s="383"/>
      <c r="C163" s="316"/>
      <c r="D163" s="147" t="s">
        <v>26</v>
      </c>
      <c r="E163" s="255" t="s">
        <v>149</v>
      </c>
      <c r="F163" s="305"/>
      <c r="G163" s="302"/>
      <c r="H163" s="148">
        <f>I163+J163+K163</f>
        <v>612.24</v>
      </c>
      <c r="I163" s="149">
        <v>612.24</v>
      </c>
      <c r="J163" s="81">
        <v>0</v>
      </c>
      <c r="K163" s="81">
        <v>0</v>
      </c>
      <c r="L163" s="381"/>
    </row>
    <row r="164" spans="1:12" ht="99" customHeight="1">
      <c r="A164" s="386"/>
      <c r="B164" s="383"/>
      <c r="C164" s="316"/>
      <c r="D164" s="147" t="s">
        <v>26</v>
      </c>
      <c r="E164" s="230" t="s">
        <v>55</v>
      </c>
      <c r="F164" s="303" t="s">
        <v>142</v>
      </c>
      <c r="G164" s="300" t="s">
        <v>172</v>
      </c>
      <c r="H164" s="148">
        <f>I164+J164+K164</f>
        <v>2773.5</v>
      </c>
      <c r="I164" s="81">
        <v>2773.5</v>
      </c>
      <c r="J164" s="81">
        <v>0</v>
      </c>
      <c r="K164" s="81">
        <v>0</v>
      </c>
      <c r="L164" s="288" t="s">
        <v>422</v>
      </c>
    </row>
    <row r="165" spans="1:12" ht="99" customHeight="1">
      <c r="A165" s="386"/>
      <c r="B165" s="383"/>
      <c r="C165" s="316"/>
      <c r="D165" s="147" t="s">
        <v>26</v>
      </c>
      <c r="E165" s="238" t="s">
        <v>53</v>
      </c>
      <c r="F165" s="304"/>
      <c r="G165" s="301"/>
      <c r="H165" s="148">
        <f t="shared" ref="H165:H166" si="14">I165+J165+K165</f>
        <v>1792.1</v>
      </c>
      <c r="I165" s="149">
        <v>1792.1</v>
      </c>
      <c r="J165" s="81">
        <v>0</v>
      </c>
      <c r="K165" s="81">
        <v>0</v>
      </c>
      <c r="L165" s="289"/>
    </row>
    <row r="166" spans="1:12" ht="99" customHeight="1">
      <c r="A166" s="386"/>
      <c r="B166" s="383"/>
      <c r="C166" s="317"/>
      <c r="D166" s="147" t="s">
        <v>26</v>
      </c>
      <c r="E166" s="255" t="s">
        <v>149</v>
      </c>
      <c r="F166" s="305"/>
      <c r="G166" s="302"/>
      <c r="H166" s="148">
        <f t="shared" si="14"/>
        <v>681.3</v>
      </c>
      <c r="I166" s="81">
        <v>681.3</v>
      </c>
      <c r="J166" s="81">
        <v>0</v>
      </c>
      <c r="K166" s="81">
        <v>0</v>
      </c>
      <c r="L166" s="290"/>
    </row>
    <row r="167" spans="1:12" ht="71.25" customHeight="1">
      <c r="A167" s="386"/>
      <c r="B167" s="383"/>
      <c r="C167" s="315" t="s">
        <v>412</v>
      </c>
      <c r="D167" s="297" t="s">
        <v>413</v>
      </c>
      <c r="E167" s="298"/>
      <c r="F167" s="298"/>
      <c r="G167" s="299"/>
      <c r="H167" s="148">
        <f>I167+J167+K167</f>
        <v>3000</v>
      </c>
      <c r="I167" s="81">
        <f>I168+I169+I170+I171+I172+I173+I174+I175+I176</f>
        <v>3000</v>
      </c>
      <c r="J167" s="81">
        <f t="shared" ref="J167:K167" si="15">J168+J169+J170+J171+J172+J173+J174+J175+J176</f>
        <v>0</v>
      </c>
      <c r="K167" s="81">
        <f t="shared" si="15"/>
        <v>0</v>
      </c>
      <c r="L167" s="388" t="s">
        <v>423</v>
      </c>
    </row>
    <row r="168" spans="1:12" ht="63.75" customHeight="1">
      <c r="A168" s="386"/>
      <c r="B168" s="383"/>
      <c r="C168" s="316"/>
      <c r="D168" s="147" t="s">
        <v>26</v>
      </c>
      <c r="E168" s="238" t="s">
        <v>60</v>
      </c>
      <c r="F168" s="303" t="s">
        <v>142</v>
      </c>
      <c r="G168" s="300" t="s">
        <v>172</v>
      </c>
      <c r="H168" s="148">
        <f>I168+J168+K168</f>
        <v>100</v>
      </c>
      <c r="I168" s="81">
        <v>100</v>
      </c>
      <c r="J168" s="81">
        <v>0</v>
      </c>
      <c r="K168" s="81">
        <v>0</v>
      </c>
      <c r="L168" s="389"/>
    </row>
    <row r="169" spans="1:12" ht="58.5" customHeight="1">
      <c r="A169" s="386"/>
      <c r="B169" s="383"/>
      <c r="C169" s="316"/>
      <c r="D169" s="147" t="s">
        <v>26</v>
      </c>
      <c r="E169" s="238" t="s">
        <v>54</v>
      </c>
      <c r="F169" s="304"/>
      <c r="G169" s="301"/>
      <c r="H169" s="148">
        <f t="shared" ref="H169:H176" si="16">I169+J169+K169</f>
        <v>900</v>
      </c>
      <c r="I169" s="81">
        <v>900</v>
      </c>
      <c r="J169" s="81">
        <v>0</v>
      </c>
      <c r="K169" s="81">
        <v>0</v>
      </c>
      <c r="L169" s="389"/>
    </row>
    <row r="170" spans="1:12" ht="58.5" customHeight="1">
      <c r="A170" s="386"/>
      <c r="B170" s="383"/>
      <c r="C170" s="316"/>
      <c r="D170" s="147" t="s">
        <v>26</v>
      </c>
      <c r="E170" s="238" t="s">
        <v>55</v>
      </c>
      <c r="F170" s="304"/>
      <c r="G170" s="301"/>
      <c r="H170" s="148">
        <f t="shared" si="16"/>
        <v>100</v>
      </c>
      <c r="I170" s="81">
        <v>100</v>
      </c>
      <c r="J170" s="81">
        <v>0</v>
      </c>
      <c r="K170" s="81">
        <v>0</v>
      </c>
      <c r="L170" s="389"/>
    </row>
    <row r="171" spans="1:12" ht="69" customHeight="1">
      <c r="A171" s="386"/>
      <c r="B171" s="383"/>
      <c r="C171" s="316"/>
      <c r="D171" s="147" t="s">
        <v>26</v>
      </c>
      <c r="E171" s="238" t="s">
        <v>53</v>
      </c>
      <c r="F171" s="304"/>
      <c r="G171" s="301"/>
      <c r="H171" s="148">
        <f t="shared" si="16"/>
        <v>800</v>
      </c>
      <c r="I171" s="81">
        <v>800</v>
      </c>
      <c r="J171" s="81">
        <v>0</v>
      </c>
      <c r="K171" s="81">
        <v>0</v>
      </c>
      <c r="L171" s="389"/>
    </row>
    <row r="172" spans="1:12" ht="66" customHeight="1">
      <c r="A172" s="386"/>
      <c r="B172" s="383"/>
      <c r="C172" s="316"/>
      <c r="D172" s="147" t="s">
        <v>26</v>
      </c>
      <c r="E172" s="255" t="s">
        <v>149</v>
      </c>
      <c r="F172" s="304"/>
      <c r="G172" s="301"/>
      <c r="H172" s="148">
        <f t="shared" si="16"/>
        <v>500</v>
      </c>
      <c r="I172" s="81">
        <v>500</v>
      </c>
      <c r="J172" s="81">
        <v>0</v>
      </c>
      <c r="K172" s="81">
        <v>0</v>
      </c>
      <c r="L172" s="389"/>
    </row>
    <row r="173" spans="1:12" ht="96.75" customHeight="1">
      <c r="A173" s="386"/>
      <c r="B173" s="383"/>
      <c r="C173" s="316"/>
      <c r="D173" s="147" t="s">
        <v>27</v>
      </c>
      <c r="E173" s="228" t="s">
        <v>57</v>
      </c>
      <c r="F173" s="304"/>
      <c r="G173" s="301"/>
      <c r="H173" s="148">
        <f t="shared" si="16"/>
        <v>100</v>
      </c>
      <c r="I173" s="81">
        <v>100</v>
      </c>
      <c r="J173" s="81">
        <v>0</v>
      </c>
      <c r="K173" s="81">
        <v>0</v>
      </c>
      <c r="L173" s="389"/>
    </row>
    <row r="174" spans="1:12" ht="63.75" customHeight="1">
      <c r="A174" s="386"/>
      <c r="B174" s="383"/>
      <c r="C174" s="316"/>
      <c r="D174" s="147" t="s">
        <v>28</v>
      </c>
      <c r="E174" s="228" t="s">
        <v>56</v>
      </c>
      <c r="F174" s="304"/>
      <c r="G174" s="301"/>
      <c r="H174" s="148">
        <f t="shared" si="16"/>
        <v>100</v>
      </c>
      <c r="I174" s="81">
        <v>100</v>
      </c>
      <c r="J174" s="81">
        <v>0</v>
      </c>
      <c r="K174" s="81">
        <v>0</v>
      </c>
      <c r="L174" s="389"/>
    </row>
    <row r="175" spans="1:12" ht="69" customHeight="1">
      <c r="A175" s="386"/>
      <c r="B175" s="383"/>
      <c r="C175" s="316"/>
      <c r="D175" s="147" t="s">
        <v>33</v>
      </c>
      <c r="E175" s="238" t="s">
        <v>58</v>
      </c>
      <c r="F175" s="304"/>
      <c r="G175" s="301"/>
      <c r="H175" s="148">
        <f t="shared" si="16"/>
        <v>300</v>
      </c>
      <c r="I175" s="81">
        <v>300</v>
      </c>
      <c r="J175" s="81">
        <v>0</v>
      </c>
      <c r="K175" s="81">
        <v>0</v>
      </c>
      <c r="L175" s="389"/>
    </row>
    <row r="176" spans="1:12" ht="71.25" customHeight="1">
      <c r="A176" s="387"/>
      <c r="B176" s="384"/>
      <c r="C176" s="317"/>
      <c r="D176" s="147" t="s">
        <v>33</v>
      </c>
      <c r="E176" s="238" t="s">
        <v>59</v>
      </c>
      <c r="F176" s="305"/>
      <c r="G176" s="302"/>
      <c r="H176" s="148">
        <f t="shared" si="16"/>
        <v>100</v>
      </c>
      <c r="I176" s="81">
        <v>100</v>
      </c>
      <c r="J176" s="81">
        <v>0</v>
      </c>
      <c r="K176" s="81">
        <v>0</v>
      </c>
      <c r="L176" s="390"/>
    </row>
    <row r="177" spans="1:12" ht="75" customHeight="1">
      <c r="A177" s="379" t="s">
        <v>52</v>
      </c>
      <c r="B177" s="379"/>
      <c r="C177" s="379"/>
      <c r="D177" s="379"/>
      <c r="E177" s="379"/>
      <c r="F177" s="379"/>
      <c r="G177" s="379"/>
      <c r="H177" s="78">
        <f>H178+H179</f>
        <v>352273.61999999994</v>
      </c>
      <c r="I177" s="78">
        <f>I178+I179</f>
        <v>135613.62000000002</v>
      </c>
      <c r="J177" s="78">
        <f t="shared" ref="J177:K177" si="17">J178+J179</f>
        <v>108330</v>
      </c>
      <c r="K177" s="78">
        <f t="shared" si="17"/>
        <v>108330</v>
      </c>
      <c r="L177" s="380"/>
    </row>
    <row r="178" spans="1:12" ht="75" customHeight="1">
      <c r="A178" s="357" t="s">
        <v>183</v>
      </c>
      <c r="B178" s="357"/>
      <c r="C178" s="357"/>
      <c r="D178" s="357"/>
      <c r="E178" s="357"/>
      <c r="F178" s="358"/>
      <c r="G178" s="256" t="s">
        <v>172</v>
      </c>
      <c r="H178" s="78">
        <f>H134+H137+H138+H139+H140+H141+H142+H143+H147+H148+H149+H150+H151+H152+H153+H157+H144+H146+H154+H155+H136+H158+H159+H135+H164+H165+H166+H168+H169+H170+H171+H172+H173+H174+H175+H176</f>
        <v>350436.89999999997</v>
      </c>
      <c r="I178" s="78">
        <f>I134+I137+I138+I139+I140+I141+I142+I143+I147+I148+I149+I150+I151+I152+I153+I157+I144+I146+I154+I155+I136+I158+I159+I135+I164+I165+I166+I168+I169+I170+I171+I172+I173+I174+I175+I176</f>
        <v>133776.90000000002</v>
      </c>
      <c r="J178" s="78">
        <f t="shared" ref="J178:K178" si="18">J134+J137+J138+J139+J140+J141+J142+J143+J147+J148+J149+J150+J151+J152+J153+J157+J144+J146+J154+J155+J136+J158+J159+J135+J164+J165+J166+J168+J169+J170+J171+J172+J173+J174+J175+J176</f>
        <v>108330</v>
      </c>
      <c r="K178" s="78">
        <f t="shared" si="18"/>
        <v>108330</v>
      </c>
      <c r="L178" s="380"/>
    </row>
    <row r="179" spans="1:12" ht="303" customHeight="1">
      <c r="A179" s="270"/>
      <c r="B179" s="270"/>
      <c r="C179" s="270"/>
      <c r="D179" s="270"/>
      <c r="E179" s="270"/>
      <c r="F179" s="263"/>
      <c r="G179" s="256" t="s">
        <v>396</v>
      </c>
      <c r="H179" s="78">
        <f>H161+H162+H163</f>
        <v>1836.72</v>
      </c>
      <c r="I179" s="78">
        <f>I161+I162+I163</f>
        <v>1836.72</v>
      </c>
      <c r="J179" s="78">
        <f t="shared" ref="J179:K179" si="19">J161+J162+J163</f>
        <v>0</v>
      </c>
      <c r="K179" s="78">
        <f t="shared" si="19"/>
        <v>0</v>
      </c>
      <c r="L179" s="380"/>
    </row>
    <row r="180" spans="1:12" ht="75" customHeight="1">
      <c r="A180" s="340" t="s">
        <v>182</v>
      </c>
      <c r="B180" s="341"/>
      <c r="C180" s="341"/>
      <c r="D180" s="342"/>
      <c r="E180" s="131" t="s">
        <v>60</v>
      </c>
      <c r="F180" s="359"/>
      <c r="G180" s="256" t="s">
        <v>172</v>
      </c>
      <c r="H180" s="79">
        <f>I180+J180+K180</f>
        <v>19580</v>
      </c>
      <c r="I180" s="79">
        <f>I137+I147+I158+I168</f>
        <v>6680</v>
      </c>
      <c r="J180" s="79">
        <f t="shared" ref="J180:K180" si="20">J137+J147+J158</f>
        <v>5600</v>
      </c>
      <c r="K180" s="79">
        <f t="shared" si="20"/>
        <v>7300</v>
      </c>
      <c r="L180" s="380"/>
    </row>
    <row r="181" spans="1:12" ht="75" customHeight="1">
      <c r="A181" s="343"/>
      <c r="B181" s="344"/>
      <c r="C181" s="344"/>
      <c r="D181" s="345"/>
      <c r="E181" s="238" t="s">
        <v>54</v>
      </c>
      <c r="F181" s="359"/>
      <c r="G181" s="253" t="s">
        <v>172</v>
      </c>
      <c r="H181" s="79">
        <f>I181+J181+K181</f>
        <v>10500</v>
      </c>
      <c r="I181" s="79">
        <f>I138+I148+I169</f>
        <v>3500</v>
      </c>
      <c r="J181" s="79">
        <f t="shared" ref="J181:K181" si="21">J138+J148</f>
        <v>5000</v>
      </c>
      <c r="K181" s="79">
        <f t="shared" si="21"/>
        <v>2000</v>
      </c>
      <c r="L181" s="380"/>
    </row>
    <row r="182" spans="1:12" ht="75" customHeight="1">
      <c r="A182" s="343"/>
      <c r="B182" s="344"/>
      <c r="C182" s="344"/>
      <c r="D182" s="345"/>
      <c r="E182" s="293" t="s">
        <v>55</v>
      </c>
      <c r="F182" s="359"/>
      <c r="G182" s="253" t="s">
        <v>172</v>
      </c>
      <c r="H182" s="79">
        <f>H139+H149+H164+H170</f>
        <v>14783.5</v>
      </c>
      <c r="I182" s="79">
        <f>I139+I149+I164+I170</f>
        <v>8183.5</v>
      </c>
      <c r="J182" s="79">
        <f t="shared" ref="J182:K182" si="22">J139+J149+J164+J170</f>
        <v>4000</v>
      </c>
      <c r="K182" s="79">
        <f t="shared" si="22"/>
        <v>2600</v>
      </c>
      <c r="L182" s="380"/>
    </row>
    <row r="183" spans="1:12" ht="309.75" customHeight="1">
      <c r="A183" s="343"/>
      <c r="B183" s="344"/>
      <c r="C183" s="344"/>
      <c r="D183" s="345"/>
      <c r="E183" s="294"/>
      <c r="F183" s="359"/>
      <c r="G183" s="256" t="s">
        <v>396</v>
      </c>
      <c r="H183" s="79">
        <f>H161</f>
        <v>612.24</v>
      </c>
      <c r="I183" s="79">
        <f>I161</f>
        <v>612.24</v>
      </c>
      <c r="J183" s="79">
        <f t="shared" ref="J183:K183" si="23">J161</f>
        <v>0</v>
      </c>
      <c r="K183" s="79">
        <f t="shared" si="23"/>
        <v>0</v>
      </c>
      <c r="L183" s="380"/>
    </row>
    <row r="184" spans="1:12" ht="75" customHeight="1">
      <c r="A184" s="343"/>
      <c r="B184" s="344"/>
      <c r="C184" s="344"/>
      <c r="D184" s="345"/>
      <c r="E184" s="293" t="s">
        <v>53</v>
      </c>
      <c r="F184" s="359"/>
      <c r="G184" s="253" t="s">
        <v>172</v>
      </c>
      <c r="H184" s="79">
        <f>H140+H150+H157+H165+H171</f>
        <v>36132.1</v>
      </c>
      <c r="I184" s="79">
        <f>I140+I150+I157+I165+I171</f>
        <v>26132.1</v>
      </c>
      <c r="J184" s="79">
        <f t="shared" ref="J184:K184" si="24">J140+J150+J157+J165+J171</f>
        <v>6000</v>
      </c>
      <c r="K184" s="79">
        <f t="shared" si="24"/>
        <v>4000</v>
      </c>
      <c r="L184" s="380"/>
    </row>
    <row r="185" spans="1:12" ht="319.5" customHeight="1">
      <c r="A185" s="343"/>
      <c r="B185" s="344"/>
      <c r="C185" s="344"/>
      <c r="D185" s="345"/>
      <c r="E185" s="294"/>
      <c r="F185" s="359"/>
      <c r="G185" s="256" t="s">
        <v>396</v>
      </c>
      <c r="H185" s="79">
        <f>H162</f>
        <v>612.24</v>
      </c>
      <c r="I185" s="79">
        <f>I162</f>
        <v>612.24</v>
      </c>
      <c r="J185" s="79">
        <f t="shared" ref="J185:K185" si="25">J162</f>
        <v>0</v>
      </c>
      <c r="K185" s="79">
        <f t="shared" si="25"/>
        <v>0</v>
      </c>
      <c r="L185" s="380"/>
    </row>
    <row r="186" spans="1:12" ht="90.75" customHeight="1">
      <c r="A186" s="343"/>
      <c r="B186" s="344"/>
      <c r="C186" s="344"/>
      <c r="D186" s="345"/>
      <c r="E186" s="293" t="s">
        <v>149</v>
      </c>
      <c r="F186" s="359"/>
      <c r="G186" s="253" t="s">
        <v>172</v>
      </c>
      <c r="H186" s="79">
        <f>H151+H141+H159+H166+H172</f>
        <v>10411.299999999999</v>
      </c>
      <c r="I186" s="79">
        <f>I151+I141+I159+I166+I172</f>
        <v>3581.3</v>
      </c>
      <c r="J186" s="79">
        <f t="shared" ref="J186:K186" si="26">J151+J141+J159+J166+J172</f>
        <v>3830</v>
      </c>
      <c r="K186" s="79">
        <f t="shared" si="26"/>
        <v>3000</v>
      </c>
      <c r="L186" s="380"/>
    </row>
    <row r="187" spans="1:12" ht="326.25" customHeight="1">
      <c r="A187" s="343"/>
      <c r="B187" s="344"/>
      <c r="C187" s="344"/>
      <c r="D187" s="345"/>
      <c r="E187" s="294"/>
      <c r="F187" s="359"/>
      <c r="G187" s="256" t="s">
        <v>396</v>
      </c>
      <c r="H187" s="79">
        <f>H163</f>
        <v>612.24</v>
      </c>
      <c r="I187" s="79">
        <f>I163</f>
        <v>612.24</v>
      </c>
      <c r="J187" s="79">
        <f t="shared" ref="J187:K187" si="27">J163</f>
        <v>0</v>
      </c>
      <c r="K187" s="79">
        <f t="shared" si="27"/>
        <v>0</v>
      </c>
      <c r="L187" s="380"/>
    </row>
    <row r="188" spans="1:12" ht="112.5" customHeight="1">
      <c r="A188" s="343"/>
      <c r="B188" s="344"/>
      <c r="C188" s="344"/>
      <c r="D188" s="345"/>
      <c r="E188" s="131" t="s">
        <v>57</v>
      </c>
      <c r="F188" s="359"/>
      <c r="G188" s="253" t="s">
        <v>172</v>
      </c>
      <c r="H188" s="79">
        <f t="shared" ref="H188:H191" si="28">I188+J188+K188</f>
        <v>11560</v>
      </c>
      <c r="I188" s="79">
        <f>I142+I152+I173</f>
        <v>1960</v>
      </c>
      <c r="J188" s="79">
        <f t="shared" ref="J188:K189" si="29">J142+J152</f>
        <v>3000</v>
      </c>
      <c r="K188" s="79">
        <f t="shared" si="29"/>
        <v>6600</v>
      </c>
      <c r="L188" s="380"/>
    </row>
    <row r="189" spans="1:12" ht="99.75" customHeight="1">
      <c r="A189" s="343"/>
      <c r="B189" s="344"/>
      <c r="C189" s="344"/>
      <c r="D189" s="345"/>
      <c r="E189" s="238" t="s">
        <v>56</v>
      </c>
      <c r="F189" s="359"/>
      <c r="G189" s="253" t="s">
        <v>172</v>
      </c>
      <c r="H189" s="79">
        <f t="shared" si="28"/>
        <v>3280</v>
      </c>
      <c r="I189" s="79">
        <f>I143+I153+I174</f>
        <v>210</v>
      </c>
      <c r="J189" s="79">
        <f t="shared" si="29"/>
        <v>570</v>
      </c>
      <c r="K189" s="79">
        <f t="shared" si="29"/>
        <v>2500</v>
      </c>
      <c r="L189" s="380"/>
    </row>
    <row r="190" spans="1:12" ht="99.75" customHeight="1">
      <c r="A190" s="343"/>
      <c r="B190" s="344"/>
      <c r="C190" s="344"/>
      <c r="D190" s="345"/>
      <c r="E190" s="238" t="s">
        <v>58</v>
      </c>
      <c r="F190" s="359"/>
      <c r="G190" s="253" t="s">
        <v>172</v>
      </c>
      <c r="H190" s="79">
        <f t="shared" si="28"/>
        <v>2500</v>
      </c>
      <c r="I190" s="79">
        <f>I144+I154+I175</f>
        <v>2500</v>
      </c>
      <c r="J190" s="79">
        <f>J144+J154</f>
        <v>0</v>
      </c>
      <c r="K190" s="79">
        <f>K144+K154</f>
        <v>0</v>
      </c>
      <c r="L190" s="380"/>
    </row>
    <row r="191" spans="1:12" ht="99.75" customHeight="1">
      <c r="A191" s="343"/>
      <c r="B191" s="344"/>
      <c r="C191" s="344"/>
      <c r="D191" s="345"/>
      <c r="E191" s="238" t="s">
        <v>59</v>
      </c>
      <c r="F191" s="359"/>
      <c r="G191" s="253" t="s">
        <v>172</v>
      </c>
      <c r="H191" s="79">
        <f t="shared" si="28"/>
        <v>300</v>
      </c>
      <c r="I191" s="79">
        <f>I155+I176</f>
        <v>300</v>
      </c>
      <c r="J191" s="79">
        <f>J155</f>
        <v>0</v>
      </c>
      <c r="K191" s="79">
        <f>K155</f>
        <v>0</v>
      </c>
      <c r="L191" s="380"/>
    </row>
    <row r="192" spans="1:12" ht="75" customHeight="1">
      <c r="A192" s="343"/>
      <c r="B192" s="344"/>
      <c r="C192" s="344"/>
      <c r="D192" s="345"/>
      <c r="E192" s="131" t="s">
        <v>144</v>
      </c>
      <c r="F192" s="359"/>
      <c r="G192" s="253" t="s">
        <v>172</v>
      </c>
      <c r="H192" s="79">
        <f>I192+J192+K192</f>
        <v>240990</v>
      </c>
      <c r="I192" s="79">
        <f>I134+I146+I136</f>
        <v>80330</v>
      </c>
      <c r="J192" s="79">
        <f t="shared" ref="J192:K192" si="30">J134+J146+J136</f>
        <v>80330</v>
      </c>
      <c r="K192" s="79">
        <f t="shared" si="30"/>
        <v>80330</v>
      </c>
      <c r="L192" s="380"/>
    </row>
    <row r="193" spans="1:13" ht="122.25" customHeight="1">
      <c r="A193" s="346"/>
      <c r="B193" s="324"/>
      <c r="C193" s="324"/>
      <c r="D193" s="347"/>
      <c r="E193" s="238" t="s">
        <v>384</v>
      </c>
      <c r="F193" s="150"/>
      <c r="G193" s="253" t="s">
        <v>172</v>
      </c>
      <c r="H193" s="79">
        <f>I193+J193+K193</f>
        <v>400</v>
      </c>
      <c r="I193" s="79">
        <f>I135</f>
        <v>400</v>
      </c>
      <c r="J193" s="79">
        <f t="shared" ref="J193:K193" si="31">J135</f>
        <v>0</v>
      </c>
      <c r="K193" s="79">
        <f t="shared" si="31"/>
        <v>0</v>
      </c>
      <c r="L193" s="239"/>
    </row>
    <row r="194" spans="1:13" ht="75" customHeight="1">
      <c r="A194" s="360" t="s">
        <v>71</v>
      </c>
      <c r="B194" s="361"/>
      <c r="C194" s="361"/>
      <c r="D194" s="361"/>
      <c r="E194" s="361"/>
      <c r="F194" s="362"/>
      <c r="G194" s="151"/>
      <c r="H194" s="78">
        <f>H88+H121+H131+H177</f>
        <v>655407.72</v>
      </c>
      <c r="I194" s="78">
        <f>I88+I121+I131+I177</f>
        <v>237329.42000000004</v>
      </c>
      <c r="J194" s="78">
        <f>J88+J121+J131+J177</f>
        <v>206275.3</v>
      </c>
      <c r="K194" s="78">
        <f>K88+K121+K131+K177</f>
        <v>211803</v>
      </c>
      <c r="L194" s="373"/>
      <c r="M194" s="271">
        <f>M195+M196+M197</f>
        <v>237329.41999999998</v>
      </c>
    </row>
    <row r="195" spans="1:13" ht="75" customHeight="1">
      <c r="A195" s="375" t="s">
        <v>183</v>
      </c>
      <c r="B195" s="375"/>
      <c r="C195" s="375"/>
      <c r="D195" s="375"/>
      <c r="E195" s="375"/>
      <c r="F195" s="376"/>
      <c r="G195" s="253" t="s">
        <v>170</v>
      </c>
      <c r="H195" s="78">
        <f>H89+H122+H130</f>
        <v>303134.10000000003</v>
      </c>
      <c r="I195" s="78">
        <f>I89+I122+I130</f>
        <v>101715.8</v>
      </c>
      <c r="J195" s="78">
        <f>J89+J122+J130</f>
        <v>97945.3</v>
      </c>
      <c r="K195" s="78">
        <f>K89+K122+K130</f>
        <v>103473</v>
      </c>
      <c r="L195" s="374"/>
      <c r="M195" s="214">
        <f>M199+M202+M205+M209+M213+M217+M220+M223+M226+M229</f>
        <v>101715.79999999999</v>
      </c>
    </row>
    <row r="196" spans="1:13" ht="75" customHeight="1">
      <c r="A196" s="377"/>
      <c r="B196" s="377"/>
      <c r="C196" s="377"/>
      <c r="D196" s="377"/>
      <c r="E196" s="377"/>
      <c r="F196" s="378"/>
      <c r="G196" s="253" t="s">
        <v>152</v>
      </c>
      <c r="H196" s="78">
        <f>H178</f>
        <v>350436.89999999997</v>
      </c>
      <c r="I196" s="78">
        <f>I178</f>
        <v>133776.90000000002</v>
      </c>
      <c r="J196" s="78">
        <f>J178</f>
        <v>108330</v>
      </c>
      <c r="K196" s="78">
        <f>K178</f>
        <v>108330</v>
      </c>
      <c r="L196" s="374"/>
      <c r="M196" s="214">
        <f>M200+M203+M206+M210+M214+M218+M221+M224+M227+M230+M231</f>
        <v>133776.9</v>
      </c>
    </row>
    <row r="197" spans="1:13" ht="315" customHeight="1">
      <c r="A197" s="226"/>
      <c r="B197" s="226"/>
      <c r="C197" s="226"/>
      <c r="D197" s="226"/>
      <c r="E197" s="226"/>
      <c r="F197" s="227"/>
      <c r="G197" s="256" t="s">
        <v>396</v>
      </c>
      <c r="H197" s="78">
        <f>H179</f>
        <v>1836.72</v>
      </c>
      <c r="I197" s="78">
        <f>I179</f>
        <v>1836.72</v>
      </c>
      <c r="J197" s="78">
        <f t="shared" ref="J197:K197" si="32">J179</f>
        <v>0</v>
      </c>
      <c r="K197" s="78">
        <f t="shared" si="32"/>
        <v>0</v>
      </c>
      <c r="L197" s="240"/>
      <c r="M197" s="214">
        <f>H197</f>
        <v>1836.72</v>
      </c>
    </row>
    <row r="198" spans="1:13" ht="75" customHeight="1">
      <c r="A198" s="348" t="s">
        <v>68</v>
      </c>
      <c r="B198" s="348"/>
      <c r="C198" s="348"/>
      <c r="D198" s="349"/>
      <c r="E198" s="325" t="s">
        <v>60</v>
      </c>
      <c r="F198" s="354"/>
      <c r="G198" s="253" t="s">
        <v>66</v>
      </c>
      <c r="H198" s="78">
        <f>SUM(H199:H200)</f>
        <v>48491.9</v>
      </c>
      <c r="I198" s="78">
        <f>SUM(I199:I200)</f>
        <v>17007.300000000003</v>
      </c>
      <c r="J198" s="78">
        <f>SUM(J199:J200)</f>
        <v>14638.7</v>
      </c>
      <c r="K198" s="78">
        <f>SUM(K199:K200)</f>
        <v>16845.900000000001</v>
      </c>
      <c r="L198" s="152"/>
    </row>
    <row r="199" spans="1:13" ht="75" customHeight="1">
      <c r="A199" s="350"/>
      <c r="B199" s="350"/>
      <c r="C199" s="350"/>
      <c r="D199" s="351"/>
      <c r="E199" s="326"/>
      <c r="F199" s="355"/>
      <c r="G199" s="235" t="s">
        <v>169</v>
      </c>
      <c r="H199" s="81">
        <f>H91</f>
        <v>28911.9</v>
      </c>
      <c r="I199" s="81">
        <f>I91</f>
        <v>10327.300000000001</v>
      </c>
      <c r="J199" s="81">
        <f>J91</f>
        <v>9038.7000000000007</v>
      </c>
      <c r="K199" s="81">
        <f>K91</f>
        <v>9545.9</v>
      </c>
      <c r="L199" s="153"/>
      <c r="M199" s="213">
        <f>I91</f>
        <v>10327.300000000001</v>
      </c>
    </row>
    <row r="200" spans="1:13" ht="85.5" customHeight="1">
      <c r="A200" s="350"/>
      <c r="B200" s="350"/>
      <c r="C200" s="350"/>
      <c r="D200" s="351"/>
      <c r="E200" s="339"/>
      <c r="F200" s="355"/>
      <c r="G200" s="235" t="s">
        <v>172</v>
      </c>
      <c r="H200" s="81">
        <f>H180</f>
        <v>19580</v>
      </c>
      <c r="I200" s="81">
        <f>I180</f>
        <v>6680</v>
      </c>
      <c r="J200" s="81">
        <f>J180</f>
        <v>5600</v>
      </c>
      <c r="K200" s="81">
        <f>K180</f>
        <v>7300</v>
      </c>
      <c r="L200" s="153"/>
      <c r="M200" s="214">
        <f>I180</f>
        <v>6680</v>
      </c>
    </row>
    <row r="201" spans="1:13" ht="75" customHeight="1">
      <c r="A201" s="350"/>
      <c r="B201" s="350"/>
      <c r="C201" s="350"/>
      <c r="D201" s="351"/>
      <c r="E201" s="325" t="s">
        <v>54</v>
      </c>
      <c r="F201" s="355"/>
      <c r="G201" s="253" t="s">
        <v>66</v>
      </c>
      <c r="H201" s="78">
        <f>SUM(H202:H203)</f>
        <v>54407.3</v>
      </c>
      <c r="I201" s="78">
        <f>SUM(I202:I203)</f>
        <v>18250.400000000001</v>
      </c>
      <c r="J201" s="78">
        <f>SUM(J202:J203)</f>
        <v>19185</v>
      </c>
      <c r="K201" s="78">
        <f>SUM(K202:K203)</f>
        <v>16971.900000000001</v>
      </c>
      <c r="L201" s="153"/>
    </row>
    <row r="202" spans="1:13" ht="75" customHeight="1">
      <c r="A202" s="350"/>
      <c r="B202" s="350"/>
      <c r="C202" s="350"/>
      <c r="D202" s="351"/>
      <c r="E202" s="326"/>
      <c r="F202" s="355"/>
      <c r="G202" s="235" t="s">
        <v>169</v>
      </c>
      <c r="H202" s="81">
        <f>H93+H123</f>
        <v>43907.3</v>
      </c>
      <c r="I202" s="81">
        <f>I93+I123</f>
        <v>14750.4</v>
      </c>
      <c r="J202" s="81">
        <f>J93+J123</f>
        <v>14185</v>
      </c>
      <c r="K202" s="81">
        <f>K93+K123</f>
        <v>14971.9</v>
      </c>
      <c r="L202" s="240"/>
      <c r="M202" s="214">
        <f>I93+I123</f>
        <v>14750.4</v>
      </c>
    </row>
    <row r="203" spans="1:13" ht="75" customHeight="1">
      <c r="A203" s="350"/>
      <c r="B203" s="350"/>
      <c r="C203" s="350"/>
      <c r="D203" s="351"/>
      <c r="E203" s="339"/>
      <c r="F203" s="355"/>
      <c r="G203" s="235" t="s">
        <v>172</v>
      </c>
      <c r="H203" s="81">
        <f>H181</f>
        <v>10500</v>
      </c>
      <c r="I203" s="81">
        <f>I181</f>
        <v>3500</v>
      </c>
      <c r="J203" s="81">
        <f>J181</f>
        <v>5000</v>
      </c>
      <c r="K203" s="81">
        <f>K181</f>
        <v>2000</v>
      </c>
      <c r="L203" s="240"/>
      <c r="M203" s="214">
        <f>I181</f>
        <v>3500</v>
      </c>
    </row>
    <row r="204" spans="1:13" ht="75" customHeight="1">
      <c r="A204" s="350"/>
      <c r="B204" s="350"/>
      <c r="C204" s="350"/>
      <c r="D204" s="351"/>
      <c r="E204" s="325" t="s">
        <v>55</v>
      </c>
      <c r="F204" s="355"/>
      <c r="G204" s="253" t="s">
        <v>66</v>
      </c>
      <c r="H204" s="78">
        <f>SUM(H205:H206)</f>
        <v>57374</v>
      </c>
      <c r="I204" s="78">
        <f>SUM(I205:I206)</f>
        <v>21888.5</v>
      </c>
      <c r="J204" s="78">
        <f>SUM(J205:J206)</f>
        <v>18043.599999999999</v>
      </c>
      <c r="K204" s="78">
        <f>SUM(K205:K206)</f>
        <v>17441.900000000001</v>
      </c>
      <c r="L204" s="240"/>
    </row>
    <row r="205" spans="1:13" ht="75" customHeight="1">
      <c r="A205" s="350"/>
      <c r="B205" s="350"/>
      <c r="C205" s="350"/>
      <c r="D205" s="351"/>
      <c r="E205" s="326"/>
      <c r="F205" s="355"/>
      <c r="G205" s="235" t="s">
        <v>169</v>
      </c>
      <c r="H205" s="81">
        <f>H95+H124</f>
        <v>42590.5</v>
      </c>
      <c r="I205" s="81">
        <f>I95+I124</f>
        <v>13705</v>
      </c>
      <c r="J205" s="81">
        <f>J95+J124</f>
        <v>14043.6</v>
      </c>
      <c r="K205" s="81">
        <f>K95+K124</f>
        <v>14841.900000000001</v>
      </c>
      <c r="L205" s="240"/>
      <c r="M205" s="214">
        <f>I95+I124</f>
        <v>13705</v>
      </c>
    </row>
    <row r="206" spans="1:13" ht="75" customHeight="1">
      <c r="A206" s="350"/>
      <c r="B206" s="350"/>
      <c r="C206" s="350"/>
      <c r="D206" s="351"/>
      <c r="E206" s="326"/>
      <c r="F206" s="355"/>
      <c r="G206" s="235" t="s">
        <v>172</v>
      </c>
      <c r="H206" s="81">
        <f>H182</f>
        <v>14783.5</v>
      </c>
      <c r="I206" s="81">
        <f>I182</f>
        <v>8183.5</v>
      </c>
      <c r="J206" s="81">
        <f>J182</f>
        <v>4000</v>
      </c>
      <c r="K206" s="81">
        <f>K182</f>
        <v>2600</v>
      </c>
      <c r="L206" s="240"/>
      <c r="M206" s="214">
        <f>I182</f>
        <v>8183.5</v>
      </c>
    </row>
    <row r="207" spans="1:13" ht="327.75" customHeight="1">
      <c r="A207" s="350"/>
      <c r="B207" s="350"/>
      <c r="C207" s="350"/>
      <c r="D207" s="351"/>
      <c r="E207" s="339"/>
      <c r="F207" s="355"/>
      <c r="G207" s="256" t="s">
        <v>396</v>
      </c>
      <c r="H207" s="81">
        <f>H183</f>
        <v>612.24</v>
      </c>
      <c r="I207" s="81">
        <f>I183</f>
        <v>612.24</v>
      </c>
      <c r="J207" s="81">
        <f t="shared" ref="J207:K207" si="33">J183</f>
        <v>0</v>
      </c>
      <c r="K207" s="81">
        <f t="shared" si="33"/>
        <v>0</v>
      </c>
      <c r="L207" s="240"/>
      <c r="M207" s="214"/>
    </row>
    <row r="208" spans="1:13" ht="42" customHeight="1">
      <c r="A208" s="350"/>
      <c r="B208" s="350"/>
      <c r="C208" s="350"/>
      <c r="D208" s="351"/>
      <c r="E208" s="325" t="s">
        <v>53</v>
      </c>
      <c r="F208" s="355"/>
      <c r="G208" s="253" t="s">
        <v>66</v>
      </c>
      <c r="H208" s="78">
        <f>SUM(H209:H210)</f>
        <v>74973.299999999988</v>
      </c>
      <c r="I208" s="78">
        <f>SUM(I209:I210)</f>
        <v>38706.799999999996</v>
      </c>
      <c r="J208" s="78">
        <f>SUM(J209:J210)</f>
        <v>18767.800000000003</v>
      </c>
      <c r="K208" s="78">
        <f>SUM(K209:K210)</f>
        <v>17498.699999999997</v>
      </c>
      <c r="L208" s="240"/>
    </row>
    <row r="209" spans="1:13" ht="55.5" customHeight="1">
      <c r="A209" s="350"/>
      <c r="B209" s="350"/>
      <c r="C209" s="350"/>
      <c r="D209" s="351"/>
      <c r="E209" s="326"/>
      <c r="F209" s="355"/>
      <c r="G209" s="154" t="s">
        <v>169</v>
      </c>
      <c r="H209" s="81">
        <f>H97</f>
        <v>38841.199999999997</v>
      </c>
      <c r="I209" s="81">
        <f>I97</f>
        <v>12574.699999999999</v>
      </c>
      <c r="J209" s="81">
        <f>J97</f>
        <v>12767.800000000001</v>
      </c>
      <c r="K209" s="81">
        <f>K97</f>
        <v>13498.699999999999</v>
      </c>
      <c r="L209" s="240"/>
      <c r="M209" s="214">
        <f>I97</f>
        <v>12574.699999999999</v>
      </c>
    </row>
    <row r="210" spans="1:13" ht="58.5" customHeight="1">
      <c r="A210" s="350"/>
      <c r="B210" s="350"/>
      <c r="C210" s="350"/>
      <c r="D210" s="351"/>
      <c r="E210" s="326"/>
      <c r="F210" s="355"/>
      <c r="G210" s="235" t="s">
        <v>172</v>
      </c>
      <c r="H210" s="81">
        <f>H184</f>
        <v>36132.1</v>
      </c>
      <c r="I210" s="81">
        <f>I184</f>
        <v>26132.1</v>
      </c>
      <c r="J210" s="81">
        <f>J184</f>
        <v>6000</v>
      </c>
      <c r="K210" s="81">
        <f>K184</f>
        <v>4000</v>
      </c>
      <c r="L210" s="240"/>
      <c r="M210" s="214">
        <f>I184</f>
        <v>26132.1</v>
      </c>
    </row>
    <row r="211" spans="1:13" ht="303.75" customHeight="1">
      <c r="A211" s="350"/>
      <c r="B211" s="350"/>
      <c r="C211" s="350"/>
      <c r="D211" s="351"/>
      <c r="E211" s="339"/>
      <c r="F211" s="355"/>
      <c r="G211" s="256" t="s">
        <v>396</v>
      </c>
      <c r="H211" s="81">
        <f>H185</f>
        <v>612.24</v>
      </c>
      <c r="I211" s="81">
        <f>I185</f>
        <v>612.24</v>
      </c>
      <c r="J211" s="81">
        <f t="shared" ref="J211:K211" si="34">J185</f>
        <v>0</v>
      </c>
      <c r="K211" s="81">
        <f t="shared" si="34"/>
        <v>0</v>
      </c>
      <c r="L211" s="240"/>
      <c r="M211" s="214"/>
    </row>
    <row r="212" spans="1:13" ht="42" customHeight="1">
      <c r="A212" s="350"/>
      <c r="B212" s="350"/>
      <c r="C212" s="350"/>
      <c r="D212" s="351"/>
      <c r="E212" s="325" t="s">
        <v>149</v>
      </c>
      <c r="F212" s="355"/>
      <c r="G212" s="253" t="s">
        <v>66</v>
      </c>
      <c r="H212" s="81">
        <f>H213+H214</f>
        <v>25470.1</v>
      </c>
      <c r="I212" s="81">
        <f>I213+I214</f>
        <v>8426.9</v>
      </c>
      <c r="J212" s="81">
        <f>J213+J214</f>
        <v>8793.7000000000007</v>
      </c>
      <c r="K212" s="81">
        <f>K213+K214</f>
        <v>8249.5</v>
      </c>
      <c r="L212" s="240"/>
    </row>
    <row r="213" spans="1:13" ht="56.25" customHeight="1">
      <c r="A213" s="350"/>
      <c r="B213" s="350"/>
      <c r="C213" s="350"/>
      <c r="D213" s="351"/>
      <c r="E213" s="326"/>
      <c r="F213" s="355"/>
      <c r="G213" s="154" t="s">
        <v>169</v>
      </c>
      <c r="H213" s="81">
        <f>H107+H128</f>
        <v>15058.799999999997</v>
      </c>
      <c r="I213" s="81">
        <f>I107+I128</f>
        <v>4845.5999999999995</v>
      </c>
      <c r="J213" s="81">
        <f>J107+J128</f>
        <v>4963.7</v>
      </c>
      <c r="K213" s="81">
        <f>K107+K128</f>
        <v>5249.5</v>
      </c>
      <c r="L213" s="240"/>
      <c r="M213" s="214">
        <f>I78+I128</f>
        <v>4845.5999999999995</v>
      </c>
    </row>
    <row r="214" spans="1:13" ht="75" customHeight="1">
      <c r="A214" s="350"/>
      <c r="B214" s="350"/>
      <c r="C214" s="350"/>
      <c r="D214" s="351"/>
      <c r="E214" s="326"/>
      <c r="F214" s="355"/>
      <c r="G214" s="235" t="s">
        <v>172</v>
      </c>
      <c r="H214" s="81">
        <f>H186</f>
        <v>10411.299999999999</v>
      </c>
      <c r="I214" s="81">
        <f>I186</f>
        <v>3581.3</v>
      </c>
      <c r="J214" s="81">
        <f>J186</f>
        <v>3830</v>
      </c>
      <c r="K214" s="81">
        <f>K186</f>
        <v>3000</v>
      </c>
      <c r="L214" s="240"/>
      <c r="M214" s="214">
        <f>I186</f>
        <v>3581.3</v>
      </c>
    </row>
    <row r="215" spans="1:13" ht="310.5" customHeight="1">
      <c r="A215" s="350"/>
      <c r="B215" s="350"/>
      <c r="C215" s="350"/>
      <c r="D215" s="351"/>
      <c r="E215" s="339"/>
      <c r="F215" s="355"/>
      <c r="G215" s="256" t="s">
        <v>396</v>
      </c>
      <c r="H215" s="81">
        <f>H187</f>
        <v>612.24</v>
      </c>
      <c r="I215" s="81">
        <f>I187</f>
        <v>612.24</v>
      </c>
      <c r="J215" s="81">
        <f t="shared" ref="J215:K215" si="35">J187</f>
        <v>0</v>
      </c>
      <c r="K215" s="81">
        <f t="shared" si="35"/>
        <v>0</v>
      </c>
      <c r="L215" s="240"/>
      <c r="M215" s="214"/>
    </row>
    <row r="216" spans="1:13" ht="58.5" customHeight="1">
      <c r="A216" s="350"/>
      <c r="B216" s="350"/>
      <c r="C216" s="350"/>
      <c r="D216" s="351"/>
      <c r="E216" s="325" t="s">
        <v>57</v>
      </c>
      <c r="F216" s="355"/>
      <c r="G216" s="253" t="s">
        <v>66</v>
      </c>
      <c r="H216" s="78">
        <f>SUM(H217:H218)</f>
        <v>27725.3</v>
      </c>
      <c r="I216" s="78">
        <f>SUM(I217:I218)</f>
        <v>7085.6</v>
      </c>
      <c r="J216" s="78">
        <f>SUM(J217:J218)</f>
        <v>8366.9</v>
      </c>
      <c r="K216" s="78">
        <f>SUM(K217:K218)</f>
        <v>12272.8</v>
      </c>
      <c r="L216" s="240"/>
    </row>
    <row r="217" spans="1:13" ht="75" customHeight="1">
      <c r="A217" s="350"/>
      <c r="B217" s="350"/>
      <c r="C217" s="350"/>
      <c r="D217" s="351"/>
      <c r="E217" s="326"/>
      <c r="F217" s="355"/>
      <c r="G217" s="154" t="s">
        <v>169</v>
      </c>
      <c r="H217" s="81">
        <f>H99</f>
        <v>16165.3</v>
      </c>
      <c r="I217" s="81">
        <f>I99</f>
        <v>5125.6000000000004</v>
      </c>
      <c r="J217" s="81">
        <f>J99</f>
        <v>5366.9</v>
      </c>
      <c r="K217" s="81">
        <f>K99</f>
        <v>5672.8</v>
      </c>
      <c r="L217" s="240"/>
      <c r="M217" s="214">
        <f>I99</f>
        <v>5125.6000000000004</v>
      </c>
    </row>
    <row r="218" spans="1:13" ht="63" customHeight="1">
      <c r="A218" s="350"/>
      <c r="B218" s="350"/>
      <c r="C218" s="350"/>
      <c r="D218" s="351"/>
      <c r="E218" s="339"/>
      <c r="F218" s="355"/>
      <c r="G218" s="235" t="s">
        <v>172</v>
      </c>
      <c r="H218" s="81">
        <f>H188</f>
        <v>11560</v>
      </c>
      <c r="I218" s="81">
        <f>I188</f>
        <v>1960</v>
      </c>
      <c r="J218" s="81">
        <f>J188</f>
        <v>3000</v>
      </c>
      <c r="K218" s="81">
        <f>K188</f>
        <v>6600</v>
      </c>
      <c r="L218" s="240"/>
      <c r="M218" s="214">
        <f>I188</f>
        <v>1960</v>
      </c>
    </row>
    <row r="219" spans="1:13" ht="64.5" customHeight="1">
      <c r="A219" s="350"/>
      <c r="B219" s="350"/>
      <c r="C219" s="350"/>
      <c r="D219" s="351"/>
      <c r="E219" s="325" t="s">
        <v>56</v>
      </c>
      <c r="F219" s="355"/>
      <c r="G219" s="253" t="s">
        <v>66</v>
      </c>
      <c r="H219" s="78">
        <f>SUM(H220:H221)</f>
        <v>40221.300000000003</v>
      </c>
      <c r="I219" s="78">
        <f>SUM(I220:I221)</f>
        <v>15048.7</v>
      </c>
      <c r="J219" s="78">
        <f>SUM(J220:J221)</f>
        <v>11285.8</v>
      </c>
      <c r="K219" s="78">
        <f>SUM(K220:K221)</f>
        <v>13886.8</v>
      </c>
      <c r="L219" s="240"/>
    </row>
    <row r="220" spans="1:13" ht="75" customHeight="1">
      <c r="A220" s="350"/>
      <c r="B220" s="350"/>
      <c r="C220" s="350"/>
      <c r="D220" s="351"/>
      <c r="E220" s="326"/>
      <c r="F220" s="355"/>
      <c r="G220" s="154" t="s">
        <v>169</v>
      </c>
      <c r="H220" s="81">
        <f>H101+H125</f>
        <v>36941.300000000003</v>
      </c>
      <c r="I220" s="81">
        <f>I101+I125</f>
        <v>14838.7</v>
      </c>
      <c r="J220" s="81">
        <f>J84+J85+J119</f>
        <v>10715.8</v>
      </c>
      <c r="K220" s="81">
        <f>K101+K125</f>
        <v>11386.8</v>
      </c>
      <c r="L220" s="240"/>
      <c r="M220" s="214">
        <f>I101+I125</f>
        <v>14838.7</v>
      </c>
    </row>
    <row r="221" spans="1:13" ht="75" customHeight="1">
      <c r="A221" s="350"/>
      <c r="B221" s="350"/>
      <c r="C221" s="350"/>
      <c r="D221" s="351"/>
      <c r="E221" s="339"/>
      <c r="F221" s="355"/>
      <c r="G221" s="235" t="s">
        <v>172</v>
      </c>
      <c r="H221" s="81">
        <f>H189</f>
        <v>3280</v>
      </c>
      <c r="I221" s="81">
        <f>I189</f>
        <v>210</v>
      </c>
      <c r="J221" s="81">
        <f>J189</f>
        <v>570</v>
      </c>
      <c r="K221" s="81">
        <f>K189</f>
        <v>2500</v>
      </c>
      <c r="L221" s="240"/>
      <c r="M221" s="214">
        <f>I189</f>
        <v>210</v>
      </c>
    </row>
    <row r="222" spans="1:13" ht="75" customHeight="1">
      <c r="A222" s="350"/>
      <c r="B222" s="350"/>
      <c r="C222" s="350"/>
      <c r="D222" s="351"/>
      <c r="E222" s="325" t="s">
        <v>58</v>
      </c>
      <c r="F222" s="355"/>
      <c r="G222" s="253" t="s">
        <v>66</v>
      </c>
      <c r="H222" s="78">
        <f>SUM(H223:H224)</f>
        <v>34561.1</v>
      </c>
      <c r="I222" s="78">
        <f>SUM(I223:I224)</f>
        <v>12662</v>
      </c>
      <c r="J222" s="78">
        <f>SUM(J223:J224)</f>
        <v>10672</v>
      </c>
      <c r="K222" s="78">
        <f>SUM(K223:K224)</f>
        <v>11227.099999999999</v>
      </c>
      <c r="L222" s="240"/>
    </row>
    <row r="223" spans="1:13" ht="75" customHeight="1">
      <c r="A223" s="350"/>
      <c r="B223" s="350"/>
      <c r="C223" s="350"/>
      <c r="D223" s="351"/>
      <c r="E223" s="326"/>
      <c r="F223" s="355"/>
      <c r="G223" s="154" t="s">
        <v>169</v>
      </c>
      <c r="H223" s="81">
        <f>H103+H126</f>
        <v>32061.1</v>
      </c>
      <c r="I223" s="81">
        <f>I103+I126</f>
        <v>10162</v>
      </c>
      <c r="J223" s="81">
        <f>J103+J126</f>
        <v>10672</v>
      </c>
      <c r="K223" s="81">
        <f>K103+K126</f>
        <v>11227.099999999999</v>
      </c>
      <c r="L223" s="240"/>
      <c r="M223" s="214">
        <f>I103+I126</f>
        <v>10162</v>
      </c>
    </row>
    <row r="224" spans="1:13" ht="75" customHeight="1">
      <c r="A224" s="350"/>
      <c r="B224" s="350"/>
      <c r="C224" s="350"/>
      <c r="D224" s="351"/>
      <c r="E224" s="339"/>
      <c r="F224" s="355"/>
      <c r="G224" s="235" t="s">
        <v>172</v>
      </c>
      <c r="H224" s="81">
        <f>H190</f>
        <v>2500</v>
      </c>
      <c r="I224" s="81">
        <f>I190</f>
        <v>2500</v>
      </c>
      <c r="J224" s="81">
        <f>J190</f>
        <v>0</v>
      </c>
      <c r="K224" s="81">
        <f>K190</f>
        <v>0</v>
      </c>
      <c r="L224" s="240"/>
      <c r="M224" s="214">
        <f>I190</f>
        <v>2500</v>
      </c>
    </row>
    <row r="225" spans="1:13" ht="75" customHeight="1">
      <c r="A225" s="350"/>
      <c r="B225" s="350"/>
      <c r="C225" s="350"/>
      <c r="D225" s="351"/>
      <c r="E225" s="325" t="s">
        <v>59</v>
      </c>
      <c r="F225" s="355"/>
      <c r="G225" s="253" t="s">
        <v>66</v>
      </c>
      <c r="H225" s="78">
        <f>H226+H227</f>
        <v>37701.500000000007</v>
      </c>
      <c r="I225" s="78">
        <f>I226+I227</f>
        <v>12168</v>
      </c>
      <c r="J225" s="78">
        <f>J226+J227</f>
        <v>12448.5</v>
      </c>
      <c r="K225" s="78">
        <f>K226+K227</f>
        <v>13085</v>
      </c>
      <c r="L225" s="240"/>
    </row>
    <row r="226" spans="1:13" ht="75" customHeight="1">
      <c r="A226" s="350"/>
      <c r="B226" s="350"/>
      <c r="C226" s="350"/>
      <c r="D226" s="351"/>
      <c r="E226" s="326"/>
      <c r="F226" s="355"/>
      <c r="G226" s="154" t="s">
        <v>169</v>
      </c>
      <c r="H226" s="81">
        <f>H105+H127</f>
        <v>37401.500000000007</v>
      </c>
      <c r="I226" s="81">
        <f>I105+I127</f>
        <v>11868</v>
      </c>
      <c r="J226" s="81">
        <f>J105+J127</f>
        <v>12448.5</v>
      </c>
      <c r="K226" s="81">
        <f>K105+K127</f>
        <v>13085</v>
      </c>
      <c r="L226" s="240"/>
      <c r="M226" s="214">
        <f>I105+I127</f>
        <v>11868</v>
      </c>
    </row>
    <row r="227" spans="1:13" ht="75" customHeight="1">
      <c r="A227" s="350"/>
      <c r="B227" s="350"/>
      <c r="C227" s="350"/>
      <c r="D227" s="351"/>
      <c r="E227" s="339"/>
      <c r="F227" s="355"/>
      <c r="G227" s="235" t="s">
        <v>172</v>
      </c>
      <c r="H227" s="81">
        <f>I227+J227+K227</f>
        <v>300</v>
      </c>
      <c r="I227" s="81">
        <f>I191</f>
        <v>300</v>
      </c>
      <c r="J227" s="81">
        <f>J191</f>
        <v>0</v>
      </c>
      <c r="K227" s="81">
        <f>K191</f>
        <v>0</v>
      </c>
      <c r="L227" s="240"/>
      <c r="M227" s="214">
        <f>I191</f>
        <v>300</v>
      </c>
    </row>
    <row r="228" spans="1:13" ht="75" customHeight="1">
      <c r="A228" s="350"/>
      <c r="B228" s="350"/>
      <c r="C228" s="350"/>
      <c r="D228" s="351"/>
      <c r="E228" s="325" t="s">
        <v>144</v>
      </c>
      <c r="F228" s="355"/>
      <c r="G228" s="253" t="s">
        <v>66</v>
      </c>
      <c r="H228" s="78">
        <f>SUM(H229:H230)</f>
        <v>252245.2</v>
      </c>
      <c r="I228" s="78">
        <f>SUM(I229:I230)</f>
        <v>83848.5</v>
      </c>
      <c r="J228" s="78">
        <f>SUM(J229:J230)</f>
        <v>84073.3</v>
      </c>
      <c r="K228" s="78">
        <f>SUM(K229:K230)</f>
        <v>84323.4</v>
      </c>
      <c r="L228" s="240"/>
    </row>
    <row r="229" spans="1:13" ht="75" customHeight="1">
      <c r="A229" s="350"/>
      <c r="B229" s="350"/>
      <c r="C229" s="350"/>
      <c r="D229" s="351"/>
      <c r="E229" s="326"/>
      <c r="F229" s="355"/>
      <c r="G229" s="154" t="s">
        <v>169</v>
      </c>
      <c r="H229" s="81">
        <f>H130</f>
        <v>11255.199999999999</v>
      </c>
      <c r="I229" s="81">
        <f>I130</f>
        <v>3518.5</v>
      </c>
      <c r="J229" s="81">
        <f>J130</f>
        <v>3743.2999999999997</v>
      </c>
      <c r="K229" s="81">
        <f>K130</f>
        <v>3993.4</v>
      </c>
      <c r="L229" s="240"/>
      <c r="M229" s="214">
        <f>I130</f>
        <v>3518.5</v>
      </c>
    </row>
    <row r="230" spans="1:13" ht="97.5" customHeight="1">
      <c r="A230" s="350"/>
      <c r="B230" s="350"/>
      <c r="C230" s="350"/>
      <c r="D230" s="351"/>
      <c r="E230" s="339"/>
      <c r="F230" s="355"/>
      <c r="G230" s="235" t="s">
        <v>172</v>
      </c>
      <c r="H230" s="81">
        <f>H192</f>
        <v>240990</v>
      </c>
      <c r="I230" s="81">
        <f>I192</f>
        <v>80330</v>
      </c>
      <c r="J230" s="81">
        <f>J192</f>
        <v>80330</v>
      </c>
      <c r="K230" s="81">
        <f>K192</f>
        <v>80330</v>
      </c>
      <c r="L230" s="246"/>
      <c r="M230" s="214">
        <f>I192</f>
        <v>80330</v>
      </c>
    </row>
    <row r="231" spans="1:13" ht="112.5" customHeight="1">
      <c r="A231" s="352"/>
      <c r="B231" s="352"/>
      <c r="C231" s="352"/>
      <c r="D231" s="353"/>
      <c r="E231" s="231" t="s">
        <v>384</v>
      </c>
      <c r="F231" s="356"/>
      <c r="G231" s="253" t="s">
        <v>172</v>
      </c>
      <c r="H231" s="81">
        <f>H193</f>
        <v>400</v>
      </c>
      <c r="I231" s="81">
        <f>I193</f>
        <v>400</v>
      </c>
      <c r="J231" s="81">
        <f t="shared" ref="J231:K231" si="36">J193</f>
        <v>0</v>
      </c>
      <c r="K231" s="81">
        <f t="shared" si="36"/>
        <v>0</v>
      </c>
      <c r="L231" s="155"/>
      <c r="M231" s="214">
        <f>I193</f>
        <v>400</v>
      </c>
    </row>
    <row r="232" spans="1:13" ht="75" customHeight="1">
      <c r="A232" s="452" t="s">
        <v>106</v>
      </c>
      <c r="B232" s="452"/>
      <c r="C232" s="452"/>
      <c r="D232" s="452"/>
      <c r="E232" s="452"/>
      <c r="F232" s="452"/>
      <c r="G232" s="452"/>
      <c r="H232" s="452"/>
      <c r="I232" s="452"/>
      <c r="J232" s="452"/>
      <c r="K232" s="452"/>
      <c r="L232" s="453"/>
    </row>
    <row r="233" spans="1:13" ht="88.5" customHeight="1">
      <c r="A233" s="243" t="s">
        <v>107</v>
      </c>
      <c r="B233" s="427" t="s">
        <v>376</v>
      </c>
      <c r="C233" s="428"/>
      <c r="D233" s="428"/>
      <c r="E233" s="428"/>
      <c r="F233" s="429"/>
      <c r="G233" s="156" t="s">
        <v>62</v>
      </c>
      <c r="H233" s="78">
        <f>SUM(H234:H238)</f>
        <v>1960.2</v>
      </c>
      <c r="I233" s="78">
        <f>SUM(I234:I238)</f>
        <v>653.4</v>
      </c>
      <c r="J233" s="78">
        <f>SUM(J234:J238)</f>
        <v>653.4</v>
      </c>
      <c r="K233" s="78">
        <f>SUM(K234:K238)</f>
        <v>653.4</v>
      </c>
      <c r="L233" s="293" t="s">
        <v>377</v>
      </c>
    </row>
    <row r="234" spans="1:13" ht="92.25" hidden="1" customHeight="1">
      <c r="A234" s="456" t="s">
        <v>109</v>
      </c>
      <c r="B234" s="375"/>
      <c r="C234" s="375"/>
      <c r="D234" s="376"/>
      <c r="E234" s="238" t="s">
        <v>60</v>
      </c>
      <c r="F234" s="449"/>
      <c r="G234" s="300" t="s">
        <v>169</v>
      </c>
      <c r="H234" s="78">
        <f>I234+J234+K234</f>
        <v>0</v>
      </c>
      <c r="I234" s="81"/>
      <c r="J234" s="81"/>
      <c r="K234" s="81"/>
      <c r="L234" s="295"/>
    </row>
    <row r="235" spans="1:13" ht="82.5" customHeight="1">
      <c r="A235" s="457"/>
      <c r="B235" s="377"/>
      <c r="C235" s="377"/>
      <c r="D235" s="378"/>
      <c r="E235" s="238" t="s">
        <v>54</v>
      </c>
      <c r="F235" s="450"/>
      <c r="G235" s="301"/>
      <c r="H235" s="78">
        <f>I235+J235+K235</f>
        <v>490.20000000000005</v>
      </c>
      <c r="I235" s="81">
        <v>163.4</v>
      </c>
      <c r="J235" s="81">
        <v>163.4</v>
      </c>
      <c r="K235" s="81">
        <v>163.4</v>
      </c>
      <c r="L235" s="295"/>
    </row>
    <row r="236" spans="1:13" ht="92.25" hidden="1" customHeight="1">
      <c r="A236" s="457"/>
      <c r="B236" s="377"/>
      <c r="C236" s="377"/>
      <c r="D236" s="378"/>
      <c r="E236" s="238" t="s">
        <v>55</v>
      </c>
      <c r="F236" s="450"/>
      <c r="G236" s="301"/>
      <c r="H236" s="78">
        <f>I236+J236+K236</f>
        <v>0</v>
      </c>
      <c r="I236" s="81"/>
      <c r="J236" s="81"/>
      <c r="K236" s="81"/>
      <c r="L236" s="295"/>
    </row>
    <row r="237" spans="1:13" ht="92.25" hidden="1" customHeight="1">
      <c r="A237" s="457"/>
      <c r="B237" s="377"/>
      <c r="C237" s="377"/>
      <c r="D237" s="378"/>
      <c r="E237" s="238" t="s">
        <v>57</v>
      </c>
      <c r="F237" s="450"/>
      <c r="G237" s="301"/>
      <c r="H237" s="78">
        <f>I237+J237+K237</f>
        <v>0</v>
      </c>
      <c r="I237" s="81"/>
      <c r="J237" s="81"/>
      <c r="K237" s="81"/>
      <c r="L237" s="295"/>
    </row>
    <row r="238" spans="1:13" ht="92.25" customHeight="1">
      <c r="A238" s="458"/>
      <c r="B238" s="459"/>
      <c r="C238" s="459"/>
      <c r="D238" s="460"/>
      <c r="E238" s="228" t="s">
        <v>56</v>
      </c>
      <c r="F238" s="451"/>
      <c r="G238" s="302"/>
      <c r="H238" s="78">
        <f>I238+J238+K238</f>
        <v>1470</v>
      </c>
      <c r="I238" s="81">
        <v>490</v>
      </c>
      <c r="J238" s="81">
        <v>490</v>
      </c>
      <c r="K238" s="81">
        <v>490</v>
      </c>
      <c r="L238" s="294"/>
    </row>
    <row r="239" spans="1:13" ht="90" customHeight="1">
      <c r="A239" s="157" t="s">
        <v>118</v>
      </c>
      <c r="B239" s="427" t="s">
        <v>154</v>
      </c>
      <c r="C239" s="428"/>
      <c r="D239" s="428"/>
      <c r="E239" s="428"/>
      <c r="F239" s="429"/>
      <c r="G239" s="156" t="s">
        <v>62</v>
      </c>
      <c r="H239" s="78">
        <f>SUM(H240:H251)</f>
        <v>73447.099999999991</v>
      </c>
      <c r="I239" s="78">
        <f>SUM(I240:I251)</f>
        <v>9596.6</v>
      </c>
      <c r="J239" s="78">
        <f t="shared" ref="J239:K239" si="37">SUM(J240:J251)</f>
        <v>31850.5</v>
      </c>
      <c r="K239" s="78">
        <f t="shared" si="37"/>
        <v>32000</v>
      </c>
      <c r="L239" s="293" t="s">
        <v>108</v>
      </c>
    </row>
    <row r="240" spans="1:13" ht="92.25" hidden="1" customHeight="1">
      <c r="A240" s="414" t="s">
        <v>109</v>
      </c>
      <c r="B240" s="415"/>
      <c r="C240" s="415"/>
      <c r="D240" s="441"/>
      <c r="E240" s="293" t="s">
        <v>60</v>
      </c>
      <c r="F240" s="454"/>
      <c r="G240" s="235" t="s">
        <v>169</v>
      </c>
      <c r="H240" s="78">
        <f t="shared" ref="H240:H251" si="38">I240+J240+K240</f>
        <v>0</v>
      </c>
      <c r="I240" s="78"/>
      <c r="J240" s="78"/>
      <c r="K240" s="78"/>
      <c r="L240" s="295"/>
    </row>
    <row r="241" spans="1:12" ht="75" customHeight="1">
      <c r="A241" s="416"/>
      <c r="B241" s="417"/>
      <c r="C241" s="417"/>
      <c r="D241" s="442"/>
      <c r="E241" s="294"/>
      <c r="F241" s="455"/>
      <c r="G241" s="235" t="s">
        <v>172</v>
      </c>
      <c r="H241" s="81">
        <f>I241+J241+K241</f>
        <v>22495</v>
      </c>
      <c r="I241" s="158">
        <v>495</v>
      </c>
      <c r="J241" s="81">
        <v>18000</v>
      </c>
      <c r="K241" s="81">
        <v>4000</v>
      </c>
      <c r="L241" s="295"/>
    </row>
    <row r="242" spans="1:12" ht="82.5" customHeight="1">
      <c r="A242" s="416"/>
      <c r="B242" s="417"/>
      <c r="C242" s="417"/>
      <c r="D242" s="442"/>
      <c r="E242" s="293" t="s">
        <v>288</v>
      </c>
      <c r="F242" s="454"/>
      <c r="G242" s="235" t="s">
        <v>169</v>
      </c>
      <c r="H242" s="81">
        <f t="shared" ref="H242:H243" si="39">I242+J242+K242</f>
        <v>59.2</v>
      </c>
      <c r="I242" s="81">
        <f>47.2+12</f>
        <v>59.2</v>
      </c>
      <c r="J242" s="81"/>
      <c r="K242" s="81"/>
      <c r="L242" s="295"/>
    </row>
    <row r="243" spans="1:12" ht="80.25" customHeight="1">
      <c r="A243" s="416"/>
      <c r="B243" s="417"/>
      <c r="C243" s="417"/>
      <c r="D243" s="442"/>
      <c r="E243" s="294"/>
      <c r="F243" s="455"/>
      <c r="G243" s="235" t="s">
        <v>172</v>
      </c>
      <c r="H243" s="81">
        <f t="shared" si="39"/>
        <v>20350.5</v>
      </c>
      <c r="I243" s="81">
        <v>500</v>
      </c>
      <c r="J243" s="81">
        <v>2850.5</v>
      </c>
      <c r="K243" s="81">
        <v>17000</v>
      </c>
      <c r="L243" s="295"/>
    </row>
    <row r="244" spans="1:12" ht="95.25" customHeight="1">
      <c r="A244" s="416"/>
      <c r="B244" s="417"/>
      <c r="C244" s="417"/>
      <c r="D244" s="442"/>
      <c r="E244" s="228" t="s">
        <v>289</v>
      </c>
      <c r="F244" s="241"/>
      <c r="G244" s="235" t="s">
        <v>172</v>
      </c>
      <c r="H244" s="81">
        <f>I244+J244+K244</f>
        <v>17000</v>
      </c>
      <c r="I244" s="81"/>
      <c r="J244" s="81">
        <v>11000</v>
      </c>
      <c r="K244" s="81">
        <v>6000</v>
      </c>
      <c r="L244" s="295"/>
    </row>
    <row r="245" spans="1:12" ht="82.5" customHeight="1">
      <c r="A245" s="416"/>
      <c r="B245" s="417"/>
      <c r="C245" s="417"/>
      <c r="D245" s="442"/>
      <c r="E245" s="293" t="s">
        <v>57</v>
      </c>
      <c r="F245" s="454"/>
      <c r="G245" s="235" t="s">
        <v>169</v>
      </c>
      <c r="H245" s="81">
        <f>I245+J245+K245</f>
        <v>65.2</v>
      </c>
      <c r="I245" s="81">
        <f>47.2+6+12</f>
        <v>65.2</v>
      </c>
      <c r="J245" s="81"/>
      <c r="K245" s="81"/>
      <c r="L245" s="295"/>
    </row>
    <row r="246" spans="1:12" ht="84.75" customHeight="1">
      <c r="A246" s="416"/>
      <c r="B246" s="417"/>
      <c r="C246" s="417"/>
      <c r="D246" s="442"/>
      <c r="E246" s="294"/>
      <c r="F246" s="455"/>
      <c r="G246" s="235" t="s">
        <v>172</v>
      </c>
      <c r="H246" s="81">
        <f>I246+J246+K246</f>
        <v>7640.5</v>
      </c>
      <c r="I246" s="81">
        <f>6900+700+40.5</f>
        <v>7640.5</v>
      </c>
      <c r="J246" s="81"/>
      <c r="K246" s="81"/>
      <c r="L246" s="295"/>
    </row>
    <row r="247" spans="1:12" ht="89.25" customHeight="1">
      <c r="A247" s="416"/>
      <c r="B247" s="417"/>
      <c r="C247" s="417"/>
      <c r="D247" s="442"/>
      <c r="E247" s="255" t="s">
        <v>149</v>
      </c>
      <c r="F247" s="159"/>
      <c r="G247" s="235" t="s">
        <v>172</v>
      </c>
      <c r="H247" s="81">
        <f>I247+J247+K247</f>
        <v>836.7</v>
      </c>
      <c r="I247" s="81">
        <v>836.7</v>
      </c>
      <c r="J247" s="81"/>
      <c r="K247" s="81"/>
      <c r="L247" s="295"/>
    </row>
    <row r="248" spans="1:12" ht="92.25" hidden="1" customHeight="1">
      <c r="A248" s="416"/>
      <c r="B248" s="417"/>
      <c r="C248" s="417"/>
      <c r="D248" s="442"/>
      <c r="E248" s="293" t="s">
        <v>53</v>
      </c>
      <c r="F248" s="449"/>
      <c r="G248" s="235" t="s">
        <v>169</v>
      </c>
      <c r="H248" s="81">
        <f t="shared" si="38"/>
        <v>0</v>
      </c>
      <c r="I248" s="81"/>
      <c r="J248" s="81"/>
      <c r="K248" s="81"/>
      <c r="L248" s="295"/>
    </row>
    <row r="249" spans="1:12" ht="108" customHeight="1">
      <c r="A249" s="416"/>
      <c r="B249" s="417"/>
      <c r="C249" s="417"/>
      <c r="D249" s="442"/>
      <c r="E249" s="295"/>
      <c r="F249" s="450"/>
      <c r="G249" s="235" t="s">
        <v>152</v>
      </c>
      <c r="H249" s="78">
        <f t="shared" si="38"/>
        <v>5000</v>
      </c>
      <c r="I249" s="81"/>
      <c r="J249" s="81"/>
      <c r="K249" s="86">
        <v>5000</v>
      </c>
      <c r="L249" s="295"/>
    </row>
    <row r="250" spans="1:12" ht="92.25" hidden="1" customHeight="1">
      <c r="A250" s="416"/>
      <c r="B250" s="417"/>
      <c r="C250" s="417"/>
      <c r="D250" s="442"/>
      <c r="E250" s="295"/>
      <c r="F250" s="450"/>
      <c r="G250" s="234" t="s">
        <v>136</v>
      </c>
      <c r="H250" s="84">
        <f t="shared" si="38"/>
        <v>0</v>
      </c>
      <c r="I250" s="82"/>
      <c r="J250" s="82"/>
      <c r="K250" s="84"/>
      <c r="L250" s="295"/>
    </row>
    <row r="251" spans="1:12" ht="92.25" hidden="1" customHeight="1">
      <c r="A251" s="418"/>
      <c r="B251" s="419"/>
      <c r="C251" s="419"/>
      <c r="D251" s="443"/>
      <c r="E251" s="294"/>
      <c r="F251" s="261"/>
      <c r="G251" s="235" t="s">
        <v>61</v>
      </c>
      <c r="H251" s="78">
        <f t="shared" si="38"/>
        <v>0</v>
      </c>
      <c r="I251" s="81"/>
      <c r="J251" s="81"/>
      <c r="K251" s="81"/>
      <c r="L251" s="294"/>
    </row>
    <row r="252" spans="1:12" ht="97.5" customHeight="1">
      <c r="A252" s="157" t="s">
        <v>119</v>
      </c>
      <c r="B252" s="318" t="s">
        <v>146</v>
      </c>
      <c r="C252" s="318"/>
      <c r="D252" s="318"/>
      <c r="E252" s="318"/>
      <c r="F252" s="318"/>
      <c r="G252" s="261" t="s">
        <v>62</v>
      </c>
      <c r="H252" s="78">
        <f>H257+H258+H256+H255+H254+H253</f>
        <v>24330.1</v>
      </c>
      <c r="I252" s="78">
        <f>I257+I258+I256+I255+I254+I253</f>
        <v>24330.1</v>
      </c>
      <c r="J252" s="78">
        <f t="shared" ref="J252:K252" si="40">J257+J258+J256+J255+J254+J253</f>
        <v>0</v>
      </c>
      <c r="K252" s="78">
        <f t="shared" si="40"/>
        <v>0</v>
      </c>
      <c r="L252" s="131"/>
    </row>
    <row r="253" spans="1:12" ht="92.25" hidden="1" customHeight="1">
      <c r="A253" s="327" t="s">
        <v>109</v>
      </c>
      <c r="B253" s="472"/>
      <c r="C253" s="472"/>
      <c r="D253" s="328"/>
      <c r="E253" s="238" t="s">
        <v>60</v>
      </c>
      <c r="F253" s="231"/>
      <c r="G253" s="300" t="s">
        <v>72</v>
      </c>
      <c r="H253" s="81">
        <f>I253+J253+K253</f>
        <v>0</v>
      </c>
      <c r="I253" s="267"/>
      <c r="J253" s="78">
        <v>0</v>
      </c>
      <c r="K253" s="78">
        <v>0</v>
      </c>
      <c r="L253" s="126"/>
    </row>
    <row r="254" spans="1:12" ht="294" customHeight="1">
      <c r="A254" s="160"/>
      <c r="B254" s="160"/>
      <c r="C254" s="160"/>
      <c r="D254" s="160"/>
      <c r="E254" s="238" t="s">
        <v>53</v>
      </c>
      <c r="F254" s="261"/>
      <c r="G254" s="301"/>
      <c r="H254" s="81">
        <f t="shared" ref="H254:H257" si="41">I254+J254+K254</f>
        <v>16800</v>
      </c>
      <c r="I254" s="267">
        <f>3100+13000-900+1600</f>
        <v>16800</v>
      </c>
      <c r="J254" s="81">
        <v>0</v>
      </c>
      <c r="K254" s="81">
        <v>0</v>
      </c>
      <c r="L254" s="257" t="s">
        <v>245</v>
      </c>
    </row>
    <row r="255" spans="1:12" ht="167.1" customHeight="1">
      <c r="A255" s="161"/>
      <c r="B255" s="161"/>
      <c r="C255" s="161"/>
      <c r="D255" s="161"/>
      <c r="E255" s="228" t="s">
        <v>149</v>
      </c>
      <c r="F255" s="236"/>
      <c r="G255" s="302"/>
      <c r="H255" s="81">
        <f t="shared" si="41"/>
        <v>7530.1</v>
      </c>
      <c r="I255" s="267">
        <v>7530.1</v>
      </c>
      <c r="J255" s="78">
        <v>0</v>
      </c>
      <c r="K255" s="81">
        <v>0</v>
      </c>
      <c r="L255" s="257" t="s">
        <v>294</v>
      </c>
    </row>
    <row r="256" spans="1:12" ht="92.25" hidden="1" customHeight="1">
      <c r="A256" s="161"/>
      <c r="B256" s="161"/>
      <c r="C256" s="161"/>
      <c r="D256" s="161"/>
      <c r="E256" s="238" t="s">
        <v>60</v>
      </c>
      <c r="F256" s="236"/>
      <c r="G256" s="323"/>
      <c r="H256" s="81">
        <f t="shared" si="41"/>
        <v>0</v>
      </c>
      <c r="I256" s="81"/>
      <c r="J256" s="78"/>
      <c r="K256" s="81"/>
      <c r="L256" s="126"/>
    </row>
    <row r="257" spans="1:12" ht="92.25" hidden="1" customHeight="1">
      <c r="A257" s="161"/>
      <c r="B257" s="161"/>
      <c r="C257" s="161"/>
      <c r="D257" s="161"/>
      <c r="E257" s="238" t="s">
        <v>53</v>
      </c>
      <c r="F257" s="236"/>
      <c r="G257" s="323"/>
      <c r="H257" s="81">
        <f t="shared" si="41"/>
        <v>0</v>
      </c>
      <c r="I257" s="81"/>
      <c r="J257" s="78"/>
      <c r="K257" s="81"/>
      <c r="L257" s="126"/>
    </row>
    <row r="258" spans="1:12" ht="92.25" hidden="1" customHeight="1">
      <c r="A258" s="161"/>
      <c r="B258" s="161"/>
      <c r="C258" s="161"/>
      <c r="D258" s="161"/>
      <c r="E258" s="228" t="s">
        <v>149</v>
      </c>
      <c r="F258" s="236"/>
      <c r="G258" s="323"/>
      <c r="H258" s="81">
        <f>I258+J258+K258</f>
        <v>0</v>
      </c>
      <c r="I258" s="81"/>
      <c r="J258" s="78"/>
      <c r="K258" s="81"/>
      <c r="L258" s="162"/>
    </row>
    <row r="259" spans="1:12" ht="92.25" hidden="1" customHeight="1">
      <c r="A259" s="243" t="s">
        <v>120</v>
      </c>
      <c r="B259" s="318" t="s">
        <v>145</v>
      </c>
      <c r="C259" s="318"/>
      <c r="D259" s="318"/>
      <c r="E259" s="318"/>
      <c r="F259" s="318"/>
      <c r="G259" s="261" t="s">
        <v>62</v>
      </c>
      <c r="H259" s="78">
        <f>H260</f>
        <v>0</v>
      </c>
      <c r="I259" s="78">
        <f>I260</f>
        <v>0</v>
      </c>
      <c r="J259" s="78">
        <f>J260</f>
        <v>0</v>
      </c>
      <c r="K259" s="78">
        <f>K260</f>
        <v>0</v>
      </c>
      <c r="L259" s="293"/>
    </row>
    <row r="260" spans="1:12" ht="92.25" hidden="1" customHeight="1">
      <c r="A260" s="462" t="s">
        <v>109</v>
      </c>
      <c r="B260" s="463"/>
      <c r="C260" s="463"/>
      <c r="D260" s="464"/>
      <c r="E260" s="238"/>
      <c r="F260" s="261"/>
      <c r="G260" s="235" t="s">
        <v>139</v>
      </c>
      <c r="H260" s="78">
        <f>I260+J260+K260</f>
        <v>0</v>
      </c>
      <c r="I260" s="81"/>
      <c r="J260" s="81"/>
      <c r="K260" s="81"/>
      <c r="L260" s="294"/>
    </row>
    <row r="261" spans="1:12" ht="92.25" hidden="1" customHeight="1">
      <c r="A261" s="243" t="s">
        <v>121</v>
      </c>
      <c r="B261" s="318" t="s">
        <v>110</v>
      </c>
      <c r="C261" s="318"/>
      <c r="D261" s="318"/>
      <c r="E261" s="318"/>
      <c r="F261" s="318"/>
      <c r="G261" s="261" t="s">
        <v>62</v>
      </c>
      <c r="H261" s="78">
        <f>H262</f>
        <v>0</v>
      </c>
      <c r="I261" s="78">
        <f>I262</f>
        <v>0</v>
      </c>
      <c r="J261" s="78">
        <f>J262</f>
        <v>0</v>
      </c>
      <c r="K261" s="78">
        <f>K262</f>
        <v>0</v>
      </c>
      <c r="L261" s="293" t="s">
        <v>47</v>
      </c>
    </row>
    <row r="262" spans="1:12" ht="92.25" hidden="1" customHeight="1">
      <c r="A262" s="461"/>
      <c r="B262" s="461"/>
      <c r="C262" s="461"/>
      <c r="D262" s="461"/>
      <c r="E262" s="238" t="s">
        <v>63</v>
      </c>
      <c r="F262" s="256"/>
      <c r="G262" s="300" t="s">
        <v>152</v>
      </c>
      <c r="H262" s="78">
        <f>H263+H264+H265+H267+H266</f>
        <v>0</v>
      </c>
      <c r="I262" s="78"/>
      <c r="J262" s="78"/>
      <c r="K262" s="78"/>
      <c r="L262" s="295"/>
    </row>
    <row r="263" spans="1:12" ht="92.25" hidden="1" customHeight="1">
      <c r="A263" s="468" t="s">
        <v>109</v>
      </c>
      <c r="B263" s="469"/>
      <c r="C263" s="469"/>
      <c r="D263" s="469"/>
      <c r="E263" s="238" t="s">
        <v>54</v>
      </c>
      <c r="F263" s="256"/>
      <c r="G263" s="301"/>
      <c r="H263" s="78">
        <f>I263+J263+K263</f>
        <v>0</v>
      </c>
      <c r="I263" s="267"/>
      <c r="J263" s="81"/>
      <c r="K263" s="81"/>
      <c r="L263" s="295"/>
    </row>
    <row r="264" spans="1:12" ht="92.25" hidden="1" customHeight="1">
      <c r="A264" s="470"/>
      <c r="B264" s="471"/>
      <c r="C264" s="471"/>
      <c r="D264" s="471"/>
      <c r="E264" s="238" t="s">
        <v>55</v>
      </c>
      <c r="F264" s="256"/>
      <c r="G264" s="301"/>
      <c r="H264" s="78">
        <f>I264+J264+K264</f>
        <v>0</v>
      </c>
      <c r="I264" s="81"/>
      <c r="J264" s="81"/>
      <c r="K264" s="81"/>
      <c r="L264" s="295"/>
    </row>
    <row r="265" spans="1:12" ht="92.25" hidden="1" customHeight="1">
      <c r="A265" s="470"/>
      <c r="B265" s="471"/>
      <c r="C265" s="471"/>
      <c r="D265" s="471"/>
      <c r="E265" s="228" t="s">
        <v>57</v>
      </c>
      <c r="F265" s="256"/>
      <c r="G265" s="301"/>
      <c r="H265" s="78">
        <f>I265+J265+K265</f>
        <v>0</v>
      </c>
      <c r="I265" s="267"/>
      <c r="J265" s="81"/>
      <c r="K265" s="81"/>
      <c r="L265" s="295"/>
    </row>
    <row r="266" spans="1:12" ht="92.25" hidden="1" customHeight="1">
      <c r="A266" s="232"/>
      <c r="B266" s="233"/>
      <c r="C266" s="233"/>
      <c r="D266" s="233"/>
      <c r="E266" s="238" t="s">
        <v>149</v>
      </c>
      <c r="F266" s="163"/>
      <c r="G266" s="301"/>
      <c r="H266" s="78">
        <f>I266+J266+K266</f>
        <v>0</v>
      </c>
      <c r="I266" s="267"/>
      <c r="J266" s="81"/>
      <c r="K266" s="81"/>
      <c r="L266" s="229"/>
    </row>
    <row r="267" spans="1:12" ht="92.25" hidden="1" customHeight="1">
      <c r="A267" s="232"/>
      <c r="B267" s="233"/>
      <c r="C267" s="233"/>
      <c r="D267" s="233"/>
      <c r="E267" s="238" t="s">
        <v>53</v>
      </c>
      <c r="F267" s="163"/>
      <c r="G267" s="302"/>
      <c r="H267" s="78">
        <f>I267+J267+K267</f>
        <v>0</v>
      </c>
      <c r="I267" s="164"/>
      <c r="J267" s="164"/>
      <c r="K267" s="164"/>
      <c r="L267" s="229"/>
    </row>
    <row r="268" spans="1:12" ht="93.75" customHeight="1">
      <c r="A268" s="165" t="s">
        <v>120</v>
      </c>
      <c r="B268" s="430" t="s">
        <v>111</v>
      </c>
      <c r="C268" s="431"/>
      <c r="D268" s="431"/>
      <c r="E268" s="431"/>
      <c r="F268" s="166"/>
      <c r="G268" s="261" t="s">
        <v>62</v>
      </c>
      <c r="H268" s="167">
        <f>SUM(H269:H279)</f>
        <v>2728863.9</v>
      </c>
      <c r="I268" s="167">
        <f>SUM(I269:I279)</f>
        <v>825120.9</v>
      </c>
      <c r="J268" s="167">
        <f>SUM(J269:J279)</f>
        <v>886498</v>
      </c>
      <c r="K268" s="167">
        <f>SUM(K269:K279)</f>
        <v>1017245</v>
      </c>
      <c r="L268" s="388" t="s">
        <v>153</v>
      </c>
    </row>
    <row r="269" spans="1:12" ht="75" customHeight="1">
      <c r="A269" s="432" t="s">
        <v>109</v>
      </c>
      <c r="B269" s="433"/>
      <c r="C269" s="433"/>
      <c r="D269" s="434"/>
      <c r="E269" s="238" t="s">
        <v>60</v>
      </c>
      <c r="F269" s="261"/>
      <c r="G269" s="300" t="s">
        <v>64</v>
      </c>
      <c r="H269" s="78">
        <f>I269+J269+K269</f>
        <v>953600</v>
      </c>
      <c r="I269" s="81">
        <v>239000</v>
      </c>
      <c r="J269" s="81">
        <v>310700</v>
      </c>
      <c r="K269" s="81">
        <v>403900</v>
      </c>
      <c r="L269" s="389"/>
    </row>
    <row r="270" spans="1:12" ht="75" customHeight="1">
      <c r="A270" s="435"/>
      <c r="B270" s="436"/>
      <c r="C270" s="436"/>
      <c r="D270" s="437"/>
      <c r="E270" s="238" t="s">
        <v>54</v>
      </c>
      <c r="F270" s="261"/>
      <c r="G270" s="301"/>
      <c r="H270" s="78">
        <f t="shared" ref="H270:H279" si="42">I270+J270+K270</f>
        <v>213000</v>
      </c>
      <c r="I270" s="81">
        <v>70000</v>
      </c>
      <c r="J270" s="81">
        <v>71000</v>
      </c>
      <c r="K270" s="81">
        <v>72000</v>
      </c>
      <c r="L270" s="389"/>
    </row>
    <row r="271" spans="1:12" ht="75" customHeight="1">
      <c r="A271" s="435"/>
      <c r="B271" s="436"/>
      <c r="C271" s="436"/>
      <c r="D271" s="437"/>
      <c r="E271" s="238" t="s">
        <v>55</v>
      </c>
      <c r="F271" s="261"/>
      <c r="G271" s="301"/>
      <c r="H271" s="78">
        <f t="shared" si="42"/>
        <v>442226.30000000005</v>
      </c>
      <c r="I271" s="81">
        <v>154859</v>
      </c>
      <c r="J271" s="81">
        <v>133659.20000000001</v>
      </c>
      <c r="K271" s="81">
        <v>153708.1</v>
      </c>
      <c r="L271" s="389"/>
    </row>
    <row r="272" spans="1:12" ht="75" customHeight="1">
      <c r="A272" s="435"/>
      <c r="B272" s="436"/>
      <c r="C272" s="436"/>
      <c r="D272" s="437"/>
      <c r="E272" s="238" t="s">
        <v>53</v>
      </c>
      <c r="F272" s="261"/>
      <c r="G272" s="301"/>
      <c r="H272" s="78">
        <f t="shared" si="42"/>
        <v>324.8</v>
      </c>
      <c r="I272" s="81">
        <v>100.5</v>
      </c>
      <c r="J272" s="81">
        <v>108.8</v>
      </c>
      <c r="K272" s="81">
        <v>115.5</v>
      </c>
      <c r="L272" s="389"/>
    </row>
    <row r="273" spans="1:12" ht="93.75" customHeight="1">
      <c r="A273" s="435"/>
      <c r="B273" s="436"/>
      <c r="C273" s="436"/>
      <c r="D273" s="437"/>
      <c r="E273" s="228" t="s">
        <v>57</v>
      </c>
      <c r="F273" s="245"/>
      <c r="G273" s="301"/>
      <c r="H273" s="78">
        <f t="shared" si="42"/>
        <v>237000</v>
      </c>
      <c r="I273" s="81">
        <v>75000</v>
      </c>
      <c r="J273" s="81">
        <v>80000</v>
      </c>
      <c r="K273" s="81">
        <v>82000</v>
      </c>
      <c r="L273" s="389"/>
    </row>
    <row r="274" spans="1:12" ht="75" customHeight="1">
      <c r="A274" s="435"/>
      <c r="B274" s="436"/>
      <c r="C274" s="436"/>
      <c r="D274" s="437"/>
      <c r="E274" s="228" t="s">
        <v>56</v>
      </c>
      <c r="F274" s="261"/>
      <c r="G274" s="301"/>
      <c r="H274" s="78">
        <f t="shared" si="42"/>
        <v>945.4</v>
      </c>
      <c r="I274" s="81">
        <v>285.60000000000002</v>
      </c>
      <c r="J274" s="81">
        <v>314.2</v>
      </c>
      <c r="K274" s="81">
        <v>345.6</v>
      </c>
      <c r="L274" s="389"/>
    </row>
    <row r="275" spans="1:12" ht="75" customHeight="1">
      <c r="A275" s="435"/>
      <c r="B275" s="436"/>
      <c r="C275" s="436"/>
      <c r="D275" s="437"/>
      <c r="E275" s="238" t="s">
        <v>149</v>
      </c>
      <c r="F275" s="261"/>
      <c r="G275" s="301"/>
      <c r="H275" s="78">
        <f t="shared" si="42"/>
        <v>434940</v>
      </c>
      <c r="I275" s="81">
        <v>131400</v>
      </c>
      <c r="J275" s="81">
        <v>144540</v>
      </c>
      <c r="K275" s="81">
        <v>159000</v>
      </c>
      <c r="L275" s="389"/>
    </row>
    <row r="276" spans="1:12" ht="75" customHeight="1">
      <c r="A276" s="435"/>
      <c r="B276" s="436"/>
      <c r="C276" s="436"/>
      <c r="D276" s="437"/>
      <c r="E276" s="238" t="s">
        <v>58</v>
      </c>
      <c r="F276" s="261"/>
      <c r="G276" s="301"/>
      <c r="H276" s="78">
        <f t="shared" si="42"/>
        <v>225755.40000000002</v>
      </c>
      <c r="I276" s="81">
        <v>76451.8</v>
      </c>
      <c r="J276" s="81">
        <v>74651.8</v>
      </c>
      <c r="K276" s="81">
        <v>74651.8</v>
      </c>
      <c r="L276" s="389"/>
    </row>
    <row r="277" spans="1:12" ht="75" customHeight="1">
      <c r="A277" s="435"/>
      <c r="B277" s="436"/>
      <c r="C277" s="436"/>
      <c r="D277" s="437"/>
      <c r="E277" s="238" t="s">
        <v>59</v>
      </c>
      <c r="F277" s="261"/>
      <c r="G277" s="301"/>
      <c r="H277" s="78">
        <f t="shared" si="42"/>
        <v>214572</v>
      </c>
      <c r="I277" s="81">
        <v>71524</v>
      </c>
      <c r="J277" s="81">
        <v>71524</v>
      </c>
      <c r="K277" s="81">
        <v>71524</v>
      </c>
      <c r="L277" s="389"/>
    </row>
    <row r="278" spans="1:12" ht="92.25" hidden="1" customHeight="1">
      <c r="A278" s="435"/>
      <c r="B278" s="436"/>
      <c r="C278" s="436"/>
      <c r="D278" s="437"/>
      <c r="E278" s="238" t="s">
        <v>128</v>
      </c>
      <c r="F278" s="261"/>
      <c r="G278" s="301"/>
      <c r="H278" s="78">
        <f t="shared" si="42"/>
        <v>0</v>
      </c>
      <c r="I278" s="81"/>
      <c r="J278" s="81"/>
      <c r="K278" s="81"/>
      <c r="L278" s="389"/>
    </row>
    <row r="279" spans="1:12" ht="104.25" customHeight="1">
      <c r="A279" s="438"/>
      <c r="B279" s="439"/>
      <c r="C279" s="439"/>
      <c r="D279" s="440"/>
      <c r="E279" s="238" t="s">
        <v>129</v>
      </c>
      <c r="F279" s="261"/>
      <c r="G279" s="302"/>
      <c r="H279" s="78">
        <f t="shared" si="42"/>
        <v>6500</v>
      </c>
      <c r="I279" s="81">
        <v>6500</v>
      </c>
      <c r="J279" s="81"/>
      <c r="K279" s="81"/>
      <c r="L279" s="390"/>
    </row>
    <row r="280" spans="1:12" ht="75" customHeight="1">
      <c r="A280" s="165" t="s">
        <v>121</v>
      </c>
      <c r="B280" s="168" t="s">
        <v>112</v>
      </c>
      <c r="C280" s="169"/>
      <c r="D280" s="166"/>
      <c r="E280" s="169"/>
      <c r="F280" s="166"/>
      <c r="G280" s="261" t="s">
        <v>62</v>
      </c>
      <c r="H280" s="167">
        <f>SUM(H281:H289)</f>
        <v>145115.5178375</v>
      </c>
      <c r="I280" s="167">
        <f t="shared" ref="I280:K280" si="43">SUM(I281:I289)</f>
        <v>44463.715000000004</v>
      </c>
      <c r="J280" s="167">
        <f t="shared" si="43"/>
        <v>48105.722249999999</v>
      </c>
      <c r="K280" s="167">
        <f t="shared" si="43"/>
        <v>52546.080587499993</v>
      </c>
      <c r="L280" s="293" t="s">
        <v>73</v>
      </c>
    </row>
    <row r="281" spans="1:12" ht="75" customHeight="1">
      <c r="A281" s="340" t="s">
        <v>109</v>
      </c>
      <c r="B281" s="341"/>
      <c r="C281" s="341"/>
      <c r="D281" s="341"/>
      <c r="E281" s="238" t="s">
        <v>60</v>
      </c>
      <c r="F281" s="465"/>
      <c r="G281" s="300" t="s">
        <v>67</v>
      </c>
      <c r="H281" s="78">
        <f t="shared" ref="H281:H289" si="44">I281+J281+K281</f>
        <v>30586.400000000001</v>
      </c>
      <c r="I281" s="81">
        <v>8486.4</v>
      </c>
      <c r="J281" s="81">
        <v>10100</v>
      </c>
      <c r="K281" s="81">
        <v>12000</v>
      </c>
      <c r="L281" s="295"/>
    </row>
    <row r="282" spans="1:12" ht="75" customHeight="1">
      <c r="A282" s="343"/>
      <c r="B282" s="344"/>
      <c r="C282" s="344"/>
      <c r="D282" s="344"/>
      <c r="E282" s="238" t="s">
        <v>54</v>
      </c>
      <c r="F282" s="466"/>
      <c r="G282" s="301"/>
      <c r="H282" s="78">
        <f t="shared" si="44"/>
        <v>34500</v>
      </c>
      <c r="I282" s="81">
        <v>11300</v>
      </c>
      <c r="J282" s="81">
        <v>11500</v>
      </c>
      <c r="K282" s="81">
        <v>11700</v>
      </c>
      <c r="L282" s="295"/>
    </row>
    <row r="283" spans="1:12" ht="75" customHeight="1">
      <c r="A283" s="343"/>
      <c r="B283" s="344"/>
      <c r="C283" s="344"/>
      <c r="D283" s="344"/>
      <c r="E283" s="238" t="s">
        <v>55</v>
      </c>
      <c r="F283" s="466"/>
      <c r="G283" s="301"/>
      <c r="H283" s="78">
        <f t="shared" si="44"/>
        <v>4329.2178374999985</v>
      </c>
      <c r="I283" s="81">
        <v>1246.7149999999997</v>
      </c>
      <c r="J283" s="81">
        <v>1433.7222499999996</v>
      </c>
      <c r="K283" s="81">
        <v>1648.7805874999995</v>
      </c>
      <c r="L283" s="295"/>
    </row>
    <row r="284" spans="1:12" ht="75" customHeight="1">
      <c r="A284" s="343"/>
      <c r="B284" s="344"/>
      <c r="C284" s="344"/>
      <c r="D284" s="344"/>
      <c r="E284" s="238" t="s">
        <v>53</v>
      </c>
      <c r="F284" s="466"/>
      <c r="G284" s="301"/>
      <c r="H284" s="78">
        <f t="shared" si="44"/>
        <v>4736.6000000000004</v>
      </c>
      <c r="I284" s="81">
        <v>1525.2</v>
      </c>
      <c r="J284" s="81">
        <v>1552.6</v>
      </c>
      <c r="K284" s="81">
        <v>1658.8</v>
      </c>
      <c r="L284" s="295"/>
    </row>
    <row r="285" spans="1:12" ht="75" customHeight="1">
      <c r="A285" s="343"/>
      <c r="B285" s="344"/>
      <c r="C285" s="344"/>
      <c r="D285" s="344"/>
      <c r="E285" s="238" t="s">
        <v>149</v>
      </c>
      <c r="F285" s="466"/>
      <c r="G285" s="301"/>
      <c r="H285" s="78">
        <f>I285+J285+K285</f>
        <v>14286</v>
      </c>
      <c r="I285" s="81">
        <v>4446</v>
      </c>
      <c r="J285" s="81">
        <v>4660</v>
      </c>
      <c r="K285" s="81">
        <v>5180</v>
      </c>
      <c r="L285" s="295"/>
    </row>
    <row r="286" spans="1:12" ht="86.25" customHeight="1">
      <c r="A286" s="343"/>
      <c r="B286" s="344"/>
      <c r="C286" s="344"/>
      <c r="D286" s="344"/>
      <c r="E286" s="238" t="s">
        <v>57</v>
      </c>
      <c r="F286" s="466"/>
      <c r="G286" s="301"/>
      <c r="H286" s="78">
        <f t="shared" si="44"/>
        <v>25500</v>
      </c>
      <c r="I286" s="81">
        <v>8000</v>
      </c>
      <c r="J286" s="81">
        <v>8500</v>
      </c>
      <c r="K286" s="81">
        <v>9000</v>
      </c>
      <c r="L286" s="295"/>
    </row>
    <row r="287" spans="1:12" ht="77.25" customHeight="1">
      <c r="A287" s="343"/>
      <c r="B287" s="344"/>
      <c r="C287" s="344"/>
      <c r="D287" s="344"/>
      <c r="E287" s="238" t="s">
        <v>56</v>
      </c>
      <c r="F287" s="466"/>
      <c r="G287" s="301"/>
      <c r="H287" s="78">
        <f t="shared" si="44"/>
        <v>29800</v>
      </c>
      <c r="I287" s="81">
        <v>9000</v>
      </c>
      <c r="J287" s="81">
        <v>9900</v>
      </c>
      <c r="K287" s="81">
        <v>10900</v>
      </c>
      <c r="L287" s="294"/>
    </row>
    <row r="288" spans="1:12" ht="77.25" customHeight="1">
      <c r="A288" s="343"/>
      <c r="B288" s="344"/>
      <c r="C288" s="344"/>
      <c r="D288" s="344"/>
      <c r="E288" s="238" t="s">
        <v>290</v>
      </c>
      <c r="F288" s="466"/>
      <c r="G288" s="301"/>
      <c r="H288" s="78">
        <f t="shared" si="44"/>
        <v>718.5</v>
      </c>
      <c r="I288" s="81">
        <v>239.8</v>
      </c>
      <c r="J288" s="81">
        <v>239.8</v>
      </c>
      <c r="K288" s="81">
        <v>238.9</v>
      </c>
      <c r="L288" s="229"/>
    </row>
    <row r="289" spans="1:12" ht="77.25" customHeight="1">
      <c r="A289" s="346"/>
      <c r="B289" s="324"/>
      <c r="C289" s="324"/>
      <c r="D289" s="324"/>
      <c r="E289" s="238" t="s">
        <v>59</v>
      </c>
      <c r="F289" s="467"/>
      <c r="G289" s="302"/>
      <c r="H289" s="78">
        <f t="shared" si="44"/>
        <v>658.8</v>
      </c>
      <c r="I289" s="81">
        <v>219.6</v>
      </c>
      <c r="J289" s="81">
        <v>219.6</v>
      </c>
      <c r="K289" s="81">
        <v>219.6</v>
      </c>
      <c r="L289" s="229"/>
    </row>
    <row r="290" spans="1:12" ht="50.25" customHeight="1">
      <c r="A290" s="427" t="s">
        <v>65</v>
      </c>
      <c r="B290" s="428"/>
      <c r="C290" s="428"/>
      <c r="D290" s="428"/>
      <c r="E290" s="428"/>
      <c r="F290" s="429"/>
      <c r="G290" s="151"/>
      <c r="H290" s="78">
        <f>H194+H233+H239+H252+H259+H261+H268+H280</f>
        <v>3629124.5378374998</v>
      </c>
      <c r="I290" s="78">
        <f>I194+I233+I239+I252+I259+I261+I268+I280</f>
        <v>1141494.135</v>
      </c>
      <c r="J290" s="78">
        <f t="shared" ref="J290:K290" si="45">J194+J233+J239+J252+J259+J261+J268+J280</f>
        <v>1173382.9222500001</v>
      </c>
      <c r="K290" s="78">
        <f t="shared" si="45"/>
        <v>1314247.4805874999</v>
      </c>
      <c r="L290" s="373"/>
    </row>
    <row r="291" spans="1:12" ht="75" customHeight="1">
      <c r="A291" s="423" t="s">
        <v>181</v>
      </c>
      <c r="B291" s="319"/>
      <c r="C291" s="319"/>
      <c r="D291" s="319"/>
      <c r="E291" s="319"/>
      <c r="F291" s="408"/>
      <c r="G291" s="235" t="s">
        <v>169</v>
      </c>
      <c r="H291" s="81">
        <f>H195+H233+H248+H242+H245+H256+H258+H257</f>
        <v>305218.70000000007</v>
      </c>
      <c r="I291" s="81">
        <f>I195+I233+I248+I242+I245+I256+I258+I257</f>
        <v>102493.59999999999</v>
      </c>
      <c r="J291" s="81">
        <f t="shared" ref="J291:K291" si="46">J195+J233+J248+J242+J245+J256+J258+J257</f>
        <v>98598.7</v>
      </c>
      <c r="K291" s="81">
        <f t="shared" si="46"/>
        <v>104126.39999999999</v>
      </c>
      <c r="L291" s="374"/>
    </row>
    <row r="292" spans="1:12" ht="75" customHeight="1">
      <c r="A292" s="424"/>
      <c r="B292" s="425"/>
      <c r="C292" s="425"/>
      <c r="D292" s="425"/>
      <c r="E292" s="425"/>
      <c r="F292" s="426"/>
      <c r="G292" s="235" t="s">
        <v>172</v>
      </c>
      <c r="H292" s="81">
        <f>H196+H241+H246+H243+H244+H249+H247</f>
        <v>423759.6</v>
      </c>
      <c r="I292" s="81">
        <f>I196+I241+I246+I243+I244+I249+I247</f>
        <v>143249.10000000003</v>
      </c>
      <c r="J292" s="81">
        <f t="shared" ref="J292:K292" si="47">J196+J241+J246+J243+J244+J249+J247</f>
        <v>140180.5</v>
      </c>
      <c r="K292" s="81">
        <f t="shared" si="47"/>
        <v>140330</v>
      </c>
      <c r="L292" s="374"/>
    </row>
    <row r="293" spans="1:12" ht="75" customHeight="1">
      <c r="A293" s="247"/>
      <c r="B293" s="248"/>
      <c r="C293" s="248"/>
      <c r="D293" s="248"/>
      <c r="E293" s="248"/>
      <c r="F293" s="249"/>
      <c r="G293" s="235" t="s">
        <v>72</v>
      </c>
      <c r="H293" s="81">
        <f>H253+H254+H255</f>
        <v>24330.1</v>
      </c>
      <c r="I293" s="81">
        <f>I253+I254+I255</f>
        <v>24330.1</v>
      </c>
      <c r="J293" s="81">
        <f t="shared" ref="J293:K293" si="48">J253+J254+J255</f>
        <v>0</v>
      </c>
      <c r="K293" s="81">
        <f t="shared" si="48"/>
        <v>0</v>
      </c>
      <c r="L293" s="374"/>
    </row>
    <row r="294" spans="1:12" ht="75" customHeight="1">
      <c r="A294" s="247"/>
      <c r="B294" s="248"/>
      <c r="C294" s="248"/>
      <c r="D294" s="248"/>
      <c r="E294" s="248"/>
      <c r="F294" s="249"/>
      <c r="G294" s="235" t="s">
        <v>64</v>
      </c>
      <c r="H294" s="81">
        <f>H268</f>
        <v>2728863.9</v>
      </c>
      <c r="I294" s="81">
        <f>I268</f>
        <v>825120.9</v>
      </c>
      <c r="J294" s="81">
        <f t="shared" ref="J294:K294" si="49">J268</f>
        <v>886498</v>
      </c>
      <c r="K294" s="81">
        <f t="shared" si="49"/>
        <v>1017245</v>
      </c>
      <c r="L294" s="374"/>
    </row>
    <row r="295" spans="1:12" ht="75" customHeight="1">
      <c r="A295" s="247"/>
      <c r="B295" s="248"/>
      <c r="C295" s="248"/>
      <c r="D295" s="248"/>
      <c r="E295" s="248"/>
      <c r="F295" s="249"/>
      <c r="G295" s="235" t="s">
        <v>67</v>
      </c>
      <c r="H295" s="81">
        <f>H280</f>
        <v>145115.5178375</v>
      </c>
      <c r="I295" s="81">
        <f>I280</f>
        <v>44463.715000000004</v>
      </c>
      <c r="J295" s="81">
        <f t="shared" ref="J295:K295" si="50">J280</f>
        <v>48105.722249999999</v>
      </c>
      <c r="K295" s="81">
        <f t="shared" si="50"/>
        <v>52546.080587499993</v>
      </c>
      <c r="L295" s="374"/>
    </row>
    <row r="296" spans="1:12" ht="327.75" customHeight="1">
      <c r="A296" s="247"/>
      <c r="B296" s="248"/>
      <c r="C296" s="248"/>
      <c r="D296" s="248"/>
      <c r="E296" s="248"/>
      <c r="F296" s="249"/>
      <c r="G296" s="256" t="s">
        <v>396</v>
      </c>
      <c r="H296" s="81">
        <f>H197</f>
        <v>1836.72</v>
      </c>
      <c r="I296" s="81">
        <f>I197</f>
        <v>1836.72</v>
      </c>
      <c r="J296" s="81">
        <f t="shared" ref="J296:K296" si="51">J197</f>
        <v>0</v>
      </c>
      <c r="K296" s="81">
        <f t="shared" si="51"/>
        <v>0</v>
      </c>
      <c r="L296" s="374"/>
    </row>
    <row r="297" spans="1:12" ht="48" customHeight="1">
      <c r="A297" s="414" t="s">
        <v>182</v>
      </c>
      <c r="B297" s="415"/>
      <c r="C297" s="415"/>
      <c r="D297" s="441"/>
      <c r="E297" s="325" t="s">
        <v>60</v>
      </c>
      <c r="F297" s="307"/>
      <c r="G297" s="256" t="s">
        <v>66</v>
      </c>
      <c r="H297" s="78">
        <f>SUM(H298:H302)</f>
        <v>1055173.3</v>
      </c>
      <c r="I297" s="78">
        <f t="shared" ref="I297:K297" si="52">SUM(I298:I302)</f>
        <v>264988.7</v>
      </c>
      <c r="J297" s="78">
        <f t="shared" si="52"/>
        <v>353438.7</v>
      </c>
      <c r="K297" s="78">
        <f t="shared" si="52"/>
        <v>436745.9</v>
      </c>
      <c r="L297" s="374"/>
    </row>
    <row r="298" spans="1:12" ht="52.5" customHeight="1">
      <c r="A298" s="416"/>
      <c r="B298" s="417"/>
      <c r="C298" s="417"/>
      <c r="D298" s="442"/>
      <c r="E298" s="326"/>
      <c r="F298" s="308"/>
      <c r="G298" s="235" t="s">
        <v>169</v>
      </c>
      <c r="H298" s="81">
        <f>H199+H256</f>
        <v>28911.9</v>
      </c>
      <c r="I298" s="81">
        <f>I199+I256</f>
        <v>10327.300000000001</v>
      </c>
      <c r="J298" s="81">
        <f>J199+J256</f>
        <v>9038.7000000000007</v>
      </c>
      <c r="K298" s="81">
        <f>K199+K256</f>
        <v>9545.9</v>
      </c>
      <c r="L298" s="374"/>
    </row>
    <row r="299" spans="1:12" ht="46.5" customHeight="1">
      <c r="A299" s="416"/>
      <c r="B299" s="417"/>
      <c r="C299" s="417"/>
      <c r="D299" s="442"/>
      <c r="E299" s="326"/>
      <c r="F299" s="308"/>
      <c r="G299" s="235" t="s">
        <v>172</v>
      </c>
      <c r="H299" s="81">
        <f>H200+H241</f>
        <v>42075</v>
      </c>
      <c r="I299" s="81">
        <f>I200+I241</f>
        <v>7175</v>
      </c>
      <c r="J299" s="81">
        <f>J200+J241</f>
        <v>23600</v>
      </c>
      <c r="K299" s="81">
        <f>K200+K241</f>
        <v>11300</v>
      </c>
      <c r="L299" s="374"/>
    </row>
    <row r="300" spans="1:12" ht="75" customHeight="1">
      <c r="A300" s="416"/>
      <c r="B300" s="417"/>
      <c r="C300" s="417"/>
      <c r="D300" s="442"/>
      <c r="E300" s="326"/>
      <c r="F300" s="308"/>
      <c r="G300" s="235" t="s">
        <v>72</v>
      </c>
      <c r="H300" s="81">
        <f>H253</f>
        <v>0</v>
      </c>
      <c r="I300" s="81">
        <f>I253</f>
        <v>0</v>
      </c>
      <c r="J300" s="81">
        <f>J253</f>
        <v>0</v>
      </c>
      <c r="K300" s="81">
        <f>K253</f>
        <v>0</v>
      </c>
      <c r="L300" s="374"/>
    </row>
    <row r="301" spans="1:12" ht="75" customHeight="1">
      <c r="A301" s="416"/>
      <c r="B301" s="417"/>
      <c r="C301" s="417"/>
      <c r="D301" s="442"/>
      <c r="E301" s="326"/>
      <c r="F301" s="308"/>
      <c r="G301" s="235" t="s">
        <v>64</v>
      </c>
      <c r="H301" s="81">
        <f>H269</f>
        <v>953600</v>
      </c>
      <c r="I301" s="81">
        <f t="shared" ref="I301:K301" si="53">I269</f>
        <v>239000</v>
      </c>
      <c r="J301" s="81">
        <f t="shared" si="53"/>
        <v>310700</v>
      </c>
      <c r="K301" s="81">
        <f t="shared" si="53"/>
        <v>403900</v>
      </c>
      <c r="L301" s="374"/>
    </row>
    <row r="302" spans="1:12" ht="75" customHeight="1">
      <c r="A302" s="416"/>
      <c r="B302" s="417"/>
      <c r="C302" s="417"/>
      <c r="D302" s="442"/>
      <c r="E302" s="339"/>
      <c r="F302" s="308"/>
      <c r="G302" s="235" t="s">
        <v>67</v>
      </c>
      <c r="H302" s="81">
        <f>H281</f>
        <v>30586.400000000001</v>
      </c>
      <c r="I302" s="81">
        <f t="shared" ref="I302:K302" si="54">I281</f>
        <v>8486.4</v>
      </c>
      <c r="J302" s="81">
        <f t="shared" si="54"/>
        <v>10100</v>
      </c>
      <c r="K302" s="81">
        <f t="shared" si="54"/>
        <v>12000</v>
      </c>
      <c r="L302" s="374"/>
    </row>
    <row r="303" spans="1:12" ht="75" customHeight="1">
      <c r="A303" s="416"/>
      <c r="B303" s="417"/>
      <c r="C303" s="417"/>
      <c r="D303" s="442"/>
      <c r="E303" s="325" t="s">
        <v>54</v>
      </c>
      <c r="F303" s="308"/>
      <c r="G303" s="256" t="s">
        <v>66</v>
      </c>
      <c r="H303" s="78">
        <f>SUM(H304:H307)</f>
        <v>322807.2</v>
      </c>
      <c r="I303" s="78">
        <f t="shared" ref="I303:K303" si="55">SUM(I304:I307)</f>
        <v>100273</v>
      </c>
      <c r="J303" s="78">
        <f t="shared" si="55"/>
        <v>104698.9</v>
      </c>
      <c r="K303" s="78">
        <f t="shared" si="55"/>
        <v>117835.3</v>
      </c>
      <c r="L303" s="374"/>
    </row>
    <row r="304" spans="1:12" ht="75" customHeight="1">
      <c r="A304" s="416"/>
      <c r="B304" s="417"/>
      <c r="C304" s="417"/>
      <c r="D304" s="442"/>
      <c r="E304" s="326"/>
      <c r="F304" s="308"/>
      <c r="G304" s="235" t="s">
        <v>169</v>
      </c>
      <c r="H304" s="81">
        <f>H202+H235+H242</f>
        <v>44456.7</v>
      </c>
      <c r="I304" s="81">
        <f>I202+I235+I242</f>
        <v>14973</v>
      </c>
      <c r="J304" s="81">
        <f>J202+J235+J242</f>
        <v>14348.4</v>
      </c>
      <c r="K304" s="81">
        <f>K202+K235+K242</f>
        <v>15135.3</v>
      </c>
      <c r="L304" s="374"/>
    </row>
    <row r="305" spans="1:12" ht="75" customHeight="1">
      <c r="A305" s="416"/>
      <c r="B305" s="417"/>
      <c r="C305" s="417"/>
      <c r="D305" s="442"/>
      <c r="E305" s="326"/>
      <c r="F305" s="308"/>
      <c r="G305" s="235" t="s">
        <v>172</v>
      </c>
      <c r="H305" s="81">
        <f>H203+H243</f>
        <v>30850.5</v>
      </c>
      <c r="I305" s="81">
        <f>I203+I243</f>
        <v>4000</v>
      </c>
      <c r="J305" s="81">
        <f>J203+J243</f>
        <v>7850.5</v>
      </c>
      <c r="K305" s="81">
        <f>K203+K243</f>
        <v>19000</v>
      </c>
      <c r="L305" s="374"/>
    </row>
    <row r="306" spans="1:12" ht="75" customHeight="1">
      <c r="A306" s="416"/>
      <c r="B306" s="417"/>
      <c r="C306" s="417"/>
      <c r="D306" s="442"/>
      <c r="E306" s="326"/>
      <c r="F306" s="308"/>
      <c r="G306" s="235" t="s">
        <v>64</v>
      </c>
      <c r="H306" s="81">
        <f>H270</f>
        <v>213000</v>
      </c>
      <c r="I306" s="81">
        <f t="shared" ref="I306:K306" si="56">I270</f>
        <v>70000</v>
      </c>
      <c r="J306" s="81">
        <f t="shared" si="56"/>
        <v>71000</v>
      </c>
      <c r="K306" s="81">
        <f t="shared" si="56"/>
        <v>72000</v>
      </c>
      <c r="L306" s="374"/>
    </row>
    <row r="307" spans="1:12" ht="75" customHeight="1">
      <c r="A307" s="416"/>
      <c r="B307" s="417"/>
      <c r="C307" s="417"/>
      <c r="D307" s="442"/>
      <c r="E307" s="339"/>
      <c r="F307" s="308"/>
      <c r="G307" s="235" t="s">
        <v>67</v>
      </c>
      <c r="H307" s="81">
        <f>H282</f>
        <v>34500</v>
      </c>
      <c r="I307" s="81">
        <f t="shared" ref="I307:K307" si="57">I282</f>
        <v>11300</v>
      </c>
      <c r="J307" s="81">
        <f t="shared" si="57"/>
        <v>11500</v>
      </c>
      <c r="K307" s="81">
        <f t="shared" si="57"/>
        <v>11700</v>
      </c>
      <c r="L307" s="374"/>
    </row>
    <row r="308" spans="1:12" ht="75" customHeight="1">
      <c r="A308" s="416"/>
      <c r="B308" s="417"/>
      <c r="C308" s="417"/>
      <c r="D308" s="442"/>
      <c r="E308" s="325" t="s">
        <v>55</v>
      </c>
      <c r="F308" s="308"/>
      <c r="G308" s="256" t="s">
        <v>66</v>
      </c>
      <c r="H308" s="78">
        <f>SUM(H309:H313)</f>
        <v>521541.75783750002</v>
      </c>
      <c r="I308" s="78">
        <f t="shared" ref="I308:K308" si="58">SUM(I309:I313)</f>
        <v>178606.45499999999</v>
      </c>
      <c r="J308" s="78">
        <f t="shared" si="58"/>
        <v>164136.52225000001</v>
      </c>
      <c r="K308" s="78">
        <f t="shared" si="58"/>
        <v>178798.78058749999</v>
      </c>
      <c r="L308" s="374"/>
    </row>
    <row r="309" spans="1:12" ht="75" customHeight="1">
      <c r="A309" s="416"/>
      <c r="B309" s="417"/>
      <c r="C309" s="417"/>
      <c r="D309" s="442"/>
      <c r="E309" s="326"/>
      <c r="F309" s="308"/>
      <c r="G309" s="235" t="s">
        <v>169</v>
      </c>
      <c r="H309" s="81">
        <f>H205</f>
        <v>42590.5</v>
      </c>
      <c r="I309" s="81">
        <f>I205</f>
        <v>13705</v>
      </c>
      <c r="J309" s="81">
        <f>J205</f>
        <v>14043.6</v>
      </c>
      <c r="K309" s="81">
        <f>K205</f>
        <v>14841.900000000001</v>
      </c>
      <c r="L309" s="374"/>
    </row>
    <row r="310" spans="1:12" ht="75" customHeight="1">
      <c r="A310" s="416"/>
      <c r="B310" s="417"/>
      <c r="C310" s="417"/>
      <c r="D310" s="442"/>
      <c r="E310" s="326"/>
      <c r="F310" s="308"/>
      <c r="G310" s="235" t="s">
        <v>172</v>
      </c>
      <c r="H310" s="81">
        <f>H206+H244</f>
        <v>31783.5</v>
      </c>
      <c r="I310" s="81">
        <f>I206+I244</f>
        <v>8183.5</v>
      </c>
      <c r="J310" s="81">
        <f>J206+J244</f>
        <v>15000</v>
      </c>
      <c r="K310" s="81">
        <f>K206+K244</f>
        <v>8600</v>
      </c>
      <c r="L310" s="374"/>
    </row>
    <row r="311" spans="1:12" ht="75" customHeight="1">
      <c r="A311" s="416"/>
      <c r="B311" s="417"/>
      <c r="C311" s="417"/>
      <c r="D311" s="442"/>
      <c r="E311" s="326"/>
      <c r="F311" s="308"/>
      <c r="G311" s="235" t="s">
        <v>64</v>
      </c>
      <c r="H311" s="81">
        <f>H271</f>
        <v>442226.30000000005</v>
      </c>
      <c r="I311" s="81">
        <f t="shared" ref="I311:K311" si="59">I271</f>
        <v>154859</v>
      </c>
      <c r="J311" s="81">
        <f t="shared" si="59"/>
        <v>133659.20000000001</v>
      </c>
      <c r="K311" s="81">
        <f t="shared" si="59"/>
        <v>153708.1</v>
      </c>
      <c r="L311" s="374"/>
    </row>
    <row r="312" spans="1:12" ht="75" customHeight="1">
      <c r="A312" s="416"/>
      <c r="B312" s="417"/>
      <c r="C312" s="417"/>
      <c r="D312" s="442"/>
      <c r="E312" s="326"/>
      <c r="F312" s="308"/>
      <c r="G312" s="235" t="s">
        <v>67</v>
      </c>
      <c r="H312" s="81">
        <f>H283</f>
        <v>4329.2178374999985</v>
      </c>
      <c r="I312" s="81">
        <f t="shared" ref="I312:K312" si="60">I283</f>
        <v>1246.7149999999997</v>
      </c>
      <c r="J312" s="81">
        <f t="shared" si="60"/>
        <v>1433.7222499999996</v>
      </c>
      <c r="K312" s="81">
        <f t="shared" si="60"/>
        <v>1648.7805874999995</v>
      </c>
      <c r="L312" s="374"/>
    </row>
    <row r="313" spans="1:12" ht="302.25" customHeight="1">
      <c r="A313" s="416"/>
      <c r="B313" s="417"/>
      <c r="C313" s="417"/>
      <c r="D313" s="442"/>
      <c r="E313" s="339"/>
      <c r="F313" s="308"/>
      <c r="G313" s="256" t="s">
        <v>396</v>
      </c>
      <c r="H313" s="81">
        <f>H207</f>
        <v>612.24</v>
      </c>
      <c r="I313" s="81">
        <f>I207</f>
        <v>612.24</v>
      </c>
      <c r="J313" s="81">
        <f t="shared" ref="J313:K313" si="61">J207</f>
        <v>0</v>
      </c>
      <c r="K313" s="81">
        <f t="shared" si="61"/>
        <v>0</v>
      </c>
      <c r="L313" s="374"/>
    </row>
    <row r="314" spans="1:12" ht="75" customHeight="1">
      <c r="A314" s="416"/>
      <c r="B314" s="417"/>
      <c r="C314" s="417"/>
      <c r="D314" s="442"/>
      <c r="E314" s="325" t="s">
        <v>53</v>
      </c>
      <c r="F314" s="308"/>
      <c r="G314" s="256" t="s">
        <v>66</v>
      </c>
      <c r="H314" s="78">
        <f>SUM(H315:H320)</f>
        <v>102446.94</v>
      </c>
      <c r="I314" s="78">
        <f>SUM(I315:I320)</f>
        <v>57744.739999999991</v>
      </c>
      <c r="J314" s="78">
        <f t="shared" ref="J314:K314" si="62">SUM(J315:J320)</f>
        <v>20429.2</v>
      </c>
      <c r="K314" s="78">
        <f t="shared" si="62"/>
        <v>24272.999999999996</v>
      </c>
      <c r="L314" s="374"/>
    </row>
    <row r="315" spans="1:12" ht="75" customHeight="1">
      <c r="A315" s="416"/>
      <c r="B315" s="417"/>
      <c r="C315" s="417"/>
      <c r="D315" s="442"/>
      <c r="E315" s="326"/>
      <c r="F315" s="308"/>
      <c r="G315" s="154" t="s">
        <v>169</v>
      </c>
      <c r="H315" s="81">
        <f>H209+H248+H257</f>
        <v>38841.199999999997</v>
      </c>
      <c r="I315" s="81">
        <f>I209+I248+I257</f>
        <v>12574.699999999999</v>
      </c>
      <c r="J315" s="81">
        <f>J209+J248+J257</f>
        <v>12767.800000000001</v>
      </c>
      <c r="K315" s="81">
        <f>K209+K248+K257</f>
        <v>13498.699999999999</v>
      </c>
      <c r="L315" s="374"/>
    </row>
    <row r="316" spans="1:12" ht="75" customHeight="1">
      <c r="A316" s="416"/>
      <c r="B316" s="417"/>
      <c r="C316" s="417"/>
      <c r="D316" s="442"/>
      <c r="E316" s="326"/>
      <c r="F316" s="308"/>
      <c r="G316" s="235" t="s">
        <v>172</v>
      </c>
      <c r="H316" s="81">
        <f>H210+H249</f>
        <v>41132.1</v>
      </c>
      <c r="I316" s="81">
        <f>I210+I249</f>
        <v>26132.1</v>
      </c>
      <c r="J316" s="81">
        <f t="shared" ref="J316:K316" si="63">J210+J249</f>
        <v>6000</v>
      </c>
      <c r="K316" s="81">
        <f t="shared" si="63"/>
        <v>9000</v>
      </c>
      <c r="L316" s="374"/>
    </row>
    <row r="317" spans="1:12" ht="75" customHeight="1">
      <c r="A317" s="416"/>
      <c r="B317" s="417"/>
      <c r="C317" s="417"/>
      <c r="D317" s="442"/>
      <c r="E317" s="326"/>
      <c r="F317" s="308"/>
      <c r="G317" s="235" t="s">
        <v>72</v>
      </c>
      <c r="H317" s="81">
        <f>H254</f>
        <v>16800</v>
      </c>
      <c r="I317" s="81">
        <f>I254</f>
        <v>16800</v>
      </c>
      <c r="J317" s="81">
        <f>J254</f>
        <v>0</v>
      </c>
      <c r="K317" s="81">
        <f>K254</f>
        <v>0</v>
      </c>
      <c r="L317" s="374"/>
    </row>
    <row r="318" spans="1:12" ht="75" customHeight="1">
      <c r="A318" s="416"/>
      <c r="B318" s="417"/>
      <c r="C318" s="417"/>
      <c r="D318" s="442"/>
      <c r="E318" s="326"/>
      <c r="F318" s="308"/>
      <c r="G318" s="235" t="s">
        <v>64</v>
      </c>
      <c r="H318" s="81">
        <f>H272</f>
        <v>324.8</v>
      </c>
      <c r="I318" s="81">
        <f t="shared" ref="I318:K318" si="64">I272</f>
        <v>100.5</v>
      </c>
      <c r="J318" s="81">
        <f t="shared" si="64"/>
        <v>108.8</v>
      </c>
      <c r="K318" s="81">
        <f t="shared" si="64"/>
        <v>115.5</v>
      </c>
      <c r="L318" s="374"/>
    </row>
    <row r="319" spans="1:12" ht="75" customHeight="1">
      <c r="A319" s="416"/>
      <c r="B319" s="417"/>
      <c r="C319" s="417"/>
      <c r="D319" s="442"/>
      <c r="E319" s="326"/>
      <c r="F319" s="308"/>
      <c r="G319" s="235" t="s">
        <v>67</v>
      </c>
      <c r="H319" s="81">
        <f>H284</f>
        <v>4736.6000000000004</v>
      </c>
      <c r="I319" s="81">
        <f t="shared" ref="I319:K319" si="65">I284</f>
        <v>1525.2</v>
      </c>
      <c r="J319" s="81">
        <f t="shared" si="65"/>
        <v>1552.6</v>
      </c>
      <c r="K319" s="81">
        <f t="shared" si="65"/>
        <v>1658.8</v>
      </c>
      <c r="L319" s="374"/>
    </row>
    <row r="320" spans="1:12" ht="317.25" customHeight="1">
      <c r="A320" s="416"/>
      <c r="B320" s="417"/>
      <c r="C320" s="417"/>
      <c r="D320" s="442"/>
      <c r="E320" s="339"/>
      <c r="F320" s="308"/>
      <c r="G320" s="256" t="s">
        <v>396</v>
      </c>
      <c r="H320" s="81">
        <f>H211</f>
        <v>612.24</v>
      </c>
      <c r="I320" s="81">
        <f>I211</f>
        <v>612.24</v>
      </c>
      <c r="J320" s="81">
        <f t="shared" ref="J320:K320" si="66">J211</f>
        <v>0</v>
      </c>
      <c r="K320" s="81">
        <f t="shared" si="66"/>
        <v>0</v>
      </c>
      <c r="L320" s="374"/>
    </row>
    <row r="321" spans="1:12" ht="75" customHeight="1">
      <c r="A321" s="416"/>
      <c r="B321" s="417"/>
      <c r="C321" s="417"/>
      <c r="D321" s="442"/>
      <c r="E321" s="325" t="s">
        <v>149</v>
      </c>
      <c r="F321" s="308"/>
      <c r="G321" s="256" t="s">
        <v>66</v>
      </c>
      <c r="H321" s="78">
        <f>SUM(H322:H327)</f>
        <v>483675.13999999996</v>
      </c>
      <c r="I321" s="78">
        <f>SUM(I322:I327)</f>
        <v>153251.94</v>
      </c>
      <c r="J321" s="78">
        <f t="shared" ref="J321:K321" si="67">SUM(J322:J327)</f>
        <v>157993.70000000001</v>
      </c>
      <c r="K321" s="78">
        <f t="shared" si="67"/>
        <v>172429.5</v>
      </c>
      <c r="L321" s="374"/>
    </row>
    <row r="322" spans="1:12" ht="75" customHeight="1">
      <c r="A322" s="416"/>
      <c r="B322" s="417"/>
      <c r="C322" s="417"/>
      <c r="D322" s="442"/>
      <c r="E322" s="326"/>
      <c r="F322" s="308"/>
      <c r="G322" s="154" t="s">
        <v>169</v>
      </c>
      <c r="H322" s="81">
        <f>H213+H258</f>
        <v>15058.799999999997</v>
      </c>
      <c r="I322" s="81">
        <f>I213+I258</f>
        <v>4845.5999999999995</v>
      </c>
      <c r="J322" s="81">
        <f>J213+J258</f>
        <v>4963.7</v>
      </c>
      <c r="K322" s="81">
        <f>K213+K258</f>
        <v>5249.5</v>
      </c>
      <c r="L322" s="374"/>
    </row>
    <row r="323" spans="1:12" ht="75" customHeight="1">
      <c r="A323" s="416"/>
      <c r="B323" s="417"/>
      <c r="C323" s="417"/>
      <c r="D323" s="442"/>
      <c r="E323" s="326"/>
      <c r="F323" s="308"/>
      <c r="G323" s="235" t="s">
        <v>172</v>
      </c>
      <c r="H323" s="81">
        <f>H214+H247</f>
        <v>11248</v>
      </c>
      <c r="I323" s="81">
        <f>I214+I247</f>
        <v>4418</v>
      </c>
      <c r="J323" s="81">
        <f t="shared" ref="J323:K323" si="68">J214+J247</f>
        <v>3830</v>
      </c>
      <c r="K323" s="81">
        <f t="shared" si="68"/>
        <v>3000</v>
      </c>
      <c r="L323" s="374"/>
    </row>
    <row r="324" spans="1:12" ht="75" customHeight="1">
      <c r="A324" s="416"/>
      <c r="B324" s="417"/>
      <c r="C324" s="417"/>
      <c r="D324" s="442"/>
      <c r="E324" s="326"/>
      <c r="F324" s="308"/>
      <c r="G324" s="235" t="s">
        <v>64</v>
      </c>
      <c r="H324" s="81">
        <f>H275</f>
        <v>434940</v>
      </c>
      <c r="I324" s="81">
        <f t="shared" ref="I324:K324" si="69">I275</f>
        <v>131400</v>
      </c>
      <c r="J324" s="81">
        <f t="shared" si="69"/>
        <v>144540</v>
      </c>
      <c r="K324" s="81">
        <f t="shared" si="69"/>
        <v>159000</v>
      </c>
      <c r="L324" s="374"/>
    </row>
    <row r="325" spans="1:12" ht="75" customHeight="1">
      <c r="A325" s="416"/>
      <c r="B325" s="417"/>
      <c r="C325" s="417"/>
      <c r="D325" s="442"/>
      <c r="E325" s="326"/>
      <c r="F325" s="308"/>
      <c r="G325" s="235" t="s">
        <v>67</v>
      </c>
      <c r="H325" s="81">
        <f>H285</f>
        <v>14286</v>
      </c>
      <c r="I325" s="81">
        <f t="shared" ref="I325:K325" si="70">I285</f>
        <v>4446</v>
      </c>
      <c r="J325" s="81">
        <f t="shared" si="70"/>
        <v>4660</v>
      </c>
      <c r="K325" s="81">
        <f t="shared" si="70"/>
        <v>5180</v>
      </c>
      <c r="L325" s="374"/>
    </row>
    <row r="326" spans="1:12" ht="75" customHeight="1">
      <c r="A326" s="416"/>
      <c r="B326" s="417"/>
      <c r="C326" s="417"/>
      <c r="D326" s="442"/>
      <c r="E326" s="326"/>
      <c r="F326" s="308"/>
      <c r="G326" s="235" t="s">
        <v>72</v>
      </c>
      <c r="H326" s="81">
        <f>H255</f>
        <v>7530.1</v>
      </c>
      <c r="I326" s="81">
        <f t="shared" ref="I326:K326" si="71">I255</f>
        <v>7530.1</v>
      </c>
      <c r="J326" s="81">
        <f t="shared" si="71"/>
        <v>0</v>
      </c>
      <c r="K326" s="81">
        <f t="shared" si="71"/>
        <v>0</v>
      </c>
      <c r="L326" s="374"/>
    </row>
    <row r="327" spans="1:12" ht="297.75" customHeight="1">
      <c r="A327" s="416"/>
      <c r="B327" s="417"/>
      <c r="C327" s="417"/>
      <c r="D327" s="442"/>
      <c r="E327" s="339"/>
      <c r="F327" s="308"/>
      <c r="G327" s="256" t="s">
        <v>396</v>
      </c>
      <c r="H327" s="81">
        <f>H215</f>
        <v>612.24</v>
      </c>
      <c r="I327" s="81">
        <f>I215</f>
        <v>612.24</v>
      </c>
      <c r="J327" s="81">
        <f t="shared" ref="J327:K327" si="72">J215</f>
        <v>0</v>
      </c>
      <c r="K327" s="81">
        <f t="shared" si="72"/>
        <v>0</v>
      </c>
      <c r="L327" s="374"/>
    </row>
    <row r="328" spans="1:12" ht="75" customHeight="1">
      <c r="A328" s="416"/>
      <c r="B328" s="417"/>
      <c r="C328" s="417"/>
      <c r="D328" s="442"/>
      <c r="E328" s="325" t="s">
        <v>57</v>
      </c>
      <c r="F328" s="308"/>
      <c r="G328" s="256" t="s">
        <v>66</v>
      </c>
      <c r="H328" s="78">
        <f>SUM(H329:H332)</f>
        <v>297931</v>
      </c>
      <c r="I328" s="78">
        <f t="shared" ref="I328:K328" si="73">SUM(I329:I332)</f>
        <v>97791.3</v>
      </c>
      <c r="J328" s="78">
        <f t="shared" si="73"/>
        <v>96866.9</v>
      </c>
      <c r="K328" s="78">
        <f t="shared" si="73"/>
        <v>103272.8</v>
      </c>
      <c r="L328" s="374"/>
    </row>
    <row r="329" spans="1:12" ht="75" customHeight="1">
      <c r="A329" s="416"/>
      <c r="B329" s="417"/>
      <c r="C329" s="417"/>
      <c r="D329" s="442"/>
      <c r="E329" s="326"/>
      <c r="F329" s="308"/>
      <c r="G329" s="154" t="s">
        <v>169</v>
      </c>
      <c r="H329" s="81">
        <f>H217+H245</f>
        <v>16230.5</v>
      </c>
      <c r="I329" s="81">
        <f>I217+I245</f>
        <v>5190.8</v>
      </c>
      <c r="J329" s="81">
        <f t="shared" ref="J329" si="74">J217+J245</f>
        <v>5366.9</v>
      </c>
      <c r="K329" s="81">
        <f>K217+K245</f>
        <v>5672.8</v>
      </c>
      <c r="L329" s="374"/>
    </row>
    <row r="330" spans="1:12" ht="75" customHeight="1">
      <c r="A330" s="416"/>
      <c r="B330" s="417"/>
      <c r="C330" s="417"/>
      <c r="D330" s="442"/>
      <c r="E330" s="326"/>
      <c r="F330" s="308"/>
      <c r="G330" s="235" t="s">
        <v>172</v>
      </c>
      <c r="H330" s="81">
        <f>H218+H246</f>
        <v>19200.5</v>
      </c>
      <c r="I330" s="81">
        <f t="shared" ref="I330:K330" si="75">I218+I246</f>
        <v>9600.5</v>
      </c>
      <c r="J330" s="81">
        <f t="shared" si="75"/>
        <v>3000</v>
      </c>
      <c r="K330" s="81">
        <f t="shared" si="75"/>
        <v>6600</v>
      </c>
      <c r="L330" s="374"/>
    </row>
    <row r="331" spans="1:12" ht="75" customHeight="1">
      <c r="A331" s="416"/>
      <c r="B331" s="417"/>
      <c r="C331" s="417"/>
      <c r="D331" s="442"/>
      <c r="E331" s="326"/>
      <c r="F331" s="308"/>
      <c r="G331" s="235" t="s">
        <v>64</v>
      </c>
      <c r="H331" s="81">
        <f>H273</f>
        <v>237000</v>
      </c>
      <c r="I331" s="81">
        <f t="shared" ref="I331:K331" si="76">I273</f>
        <v>75000</v>
      </c>
      <c r="J331" s="81">
        <f t="shared" si="76"/>
        <v>80000</v>
      </c>
      <c r="K331" s="81">
        <f t="shared" si="76"/>
        <v>82000</v>
      </c>
      <c r="L331" s="374"/>
    </row>
    <row r="332" spans="1:12" ht="75" customHeight="1">
      <c r="A332" s="416"/>
      <c r="B332" s="417"/>
      <c r="C332" s="417"/>
      <c r="D332" s="442"/>
      <c r="E332" s="339"/>
      <c r="F332" s="308"/>
      <c r="G332" s="235" t="s">
        <v>67</v>
      </c>
      <c r="H332" s="81">
        <f>H286</f>
        <v>25500</v>
      </c>
      <c r="I332" s="81">
        <f t="shared" ref="I332:K332" si="77">I286</f>
        <v>8000</v>
      </c>
      <c r="J332" s="81">
        <f t="shared" si="77"/>
        <v>8500</v>
      </c>
      <c r="K332" s="81">
        <f t="shared" si="77"/>
        <v>9000</v>
      </c>
      <c r="L332" s="374"/>
    </row>
    <row r="333" spans="1:12" ht="75" customHeight="1">
      <c r="A333" s="416"/>
      <c r="B333" s="417"/>
      <c r="C333" s="417"/>
      <c r="D333" s="442"/>
      <c r="E333" s="325" t="s">
        <v>56</v>
      </c>
      <c r="F333" s="308"/>
      <c r="G333" s="256" t="s">
        <v>66</v>
      </c>
      <c r="H333" s="78">
        <f>SUM(H334:H337)</f>
        <v>72436.700000000012</v>
      </c>
      <c r="I333" s="78">
        <f t="shared" ref="I333:K333" si="78">SUM(I334:I337)</f>
        <v>24824.300000000003</v>
      </c>
      <c r="J333" s="78">
        <f t="shared" si="78"/>
        <v>21990</v>
      </c>
      <c r="K333" s="78">
        <f t="shared" si="78"/>
        <v>25622.400000000001</v>
      </c>
      <c r="L333" s="374"/>
    </row>
    <row r="334" spans="1:12" ht="75" customHeight="1">
      <c r="A334" s="416"/>
      <c r="B334" s="417"/>
      <c r="C334" s="417"/>
      <c r="D334" s="442"/>
      <c r="E334" s="326"/>
      <c r="F334" s="308"/>
      <c r="G334" s="154" t="s">
        <v>169</v>
      </c>
      <c r="H334" s="81">
        <f>H220+H238</f>
        <v>38411.300000000003</v>
      </c>
      <c r="I334" s="81">
        <f t="shared" ref="I334:K334" si="79">I220+I238</f>
        <v>15328.7</v>
      </c>
      <c r="J334" s="81">
        <f t="shared" si="79"/>
        <v>11205.8</v>
      </c>
      <c r="K334" s="81">
        <f t="shared" si="79"/>
        <v>11876.8</v>
      </c>
      <c r="L334" s="374"/>
    </row>
    <row r="335" spans="1:12" ht="75" customHeight="1">
      <c r="A335" s="416"/>
      <c r="B335" s="417"/>
      <c r="C335" s="417"/>
      <c r="D335" s="442"/>
      <c r="E335" s="326"/>
      <c r="F335" s="308"/>
      <c r="G335" s="235" t="s">
        <v>172</v>
      </c>
      <c r="H335" s="81">
        <f>H221</f>
        <v>3280</v>
      </c>
      <c r="I335" s="81">
        <f>I221</f>
        <v>210</v>
      </c>
      <c r="J335" s="81">
        <f>J221</f>
        <v>570</v>
      </c>
      <c r="K335" s="81">
        <f>K221</f>
        <v>2500</v>
      </c>
      <c r="L335" s="374"/>
    </row>
    <row r="336" spans="1:12" ht="75" customHeight="1">
      <c r="A336" s="416"/>
      <c r="B336" s="417"/>
      <c r="C336" s="417"/>
      <c r="D336" s="442"/>
      <c r="E336" s="326"/>
      <c r="F336" s="308"/>
      <c r="G336" s="235" t="s">
        <v>64</v>
      </c>
      <c r="H336" s="81">
        <f>H274</f>
        <v>945.4</v>
      </c>
      <c r="I336" s="81">
        <f t="shared" ref="I336:K336" si="80">I274</f>
        <v>285.60000000000002</v>
      </c>
      <c r="J336" s="81">
        <f t="shared" si="80"/>
        <v>314.2</v>
      </c>
      <c r="K336" s="81">
        <f t="shared" si="80"/>
        <v>345.6</v>
      </c>
      <c r="L336" s="374"/>
    </row>
    <row r="337" spans="1:12" ht="75" customHeight="1">
      <c r="A337" s="416"/>
      <c r="B337" s="417"/>
      <c r="C337" s="417"/>
      <c r="D337" s="442"/>
      <c r="E337" s="339"/>
      <c r="F337" s="308"/>
      <c r="G337" s="235" t="s">
        <v>67</v>
      </c>
      <c r="H337" s="81">
        <f>H287</f>
        <v>29800</v>
      </c>
      <c r="I337" s="81">
        <f t="shared" ref="I337:K337" si="81">I287</f>
        <v>9000</v>
      </c>
      <c r="J337" s="81">
        <f t="shared" si="81"/>
        <v>9900</v>
      </c>
      <c r="K337" s="81">
        <f t="shared" si="81"/>
        <v>10900</v>
      </c>
      <c r="L337" s="374"/>
    </row>
    <row r="338" spans="1:12" ht="75" customHeight="1">
      <c r="A338" s="416"/>
      <c r="B338" s="417"/>
      <c r="C338" s="417"/>
      <c r="D338" s="442"/>
      <c r="E338" s="325" t="s">
        <v>58</v>
      </c>
      <c r="F338" s="308"/>
      <c r="G338" s="256" t="s">
        <v>66</v>
      </c>
      <c r="H338" s="78">
        <f>SUM(H339:H342)</f>
        <v>261035.00000000003</v>
      </c>
      <c r="I338" s="78">
        <f t="shared" ref="I338:K338" si="82">SUM(I339:I342)</f>
        <v>89353.600000000006</v>
      </c>
      <c r="J338" s="78">
        <f t="shared" si="82"/>
        <v>85563.6</v>
      </c>
      <c r="K338" s="78">
        <f t="shared" si="82"/>
        <v>86117.799999999988</v>
      </c>
      <c r="L338" s="374"/>
    </row>
    <row r="339" spans="1:12" ht="75" customHeight="1">
      <c r="A339" s="416"/>
      <c r="B339" s="417"/>
      <c r="C339" s="417"/>
      <c r="D339" s="442"/>
      <c r="E339" s="326"/>
      <c r="F339" s="308"/>
      <c r="G339" s="154" t="s">
        <v>169</v>
      </c>
      <c r="H339" s="81">
        <f>H223</f>
        <v>32061.1</v>
      </c>
      <c r="I339" s="81">
        <f t="shared" ref="H339:K340" si="83">I223</f>
        <v>10162</v>
      </c>
      <c r="J339" s="81">
        <f t="shared" si="83"/>
        <v>10672</v>
      </c>
      <c r="K339" s="81">
        <f t="shared" si="83"/>
        <v>11227.099999999999</v>
      </c>
      <c r="L339" s="374"/>
    </row>
    <row r="340" spans="1:12" ht="75" customHeight="1">
      <c r="A340" s="416"/>
      <c r="B340" s="417"/>
      <c r="C340" s="417"/>
      <c r="D340" s="442"/>
      <c r="E340" s="326"/>
      <c r="F340" s="308"/>
      <c r="G340" s="235" t="s">
        <v>172</v>
      </c>
      <c r="H340" s="81">
        <f t="shared" si="83"/>
        <v>2500</v>
      </c>
      <c r="I340" s="81">
        <f t="shared" si="83"/>
        <v>2500</v>
      </c>
      <c r="J340" s="81">
        <f t="shared" si="83"/>
        <v>0</v>
      </c>
      <c r="K340" s="81">
        <f t="shared" si="83"/>
        <v>0</v>
      </c>
      <c r="L340" s="374"/>
    </row>
    <row r="341" spans="1:12" ht="75" customHeight="1">
      <c r="A341" s="416"/>
      <c r="B341" s="417"/>
      <c r="C341" s="417"/>
      <c r="D341" s="442"/>
      <c r="E341" s="326"/>
      <c r="F341" s="308"/>
      <c r="G341" s="235" t="s">
        <v>64</v>
      </c>
      <c r="H341" s="81">
        <f>H276</f>
        <v>225755.40000000002</v>
      </c>
      <c r="I341" s="81">
        <f t="shared" ref="I341:K341" si="84">I276</f>
        <v>76451.8</v>
      </c>
      <c r="J341" s="81">
        <f t="shared" si="84"/>
        <v>74651.8</v>
      </c>
      <c r="K341" s="81">
        <f t="shared" si="84"/>
        <v>74651.8</v>
      </c>
      <c r="L341" s="374"/>
    </row>
    <row r="342" spans="1:12" ht="75" customHeight="1">
      <c r="A342" s="416"/>
      <c r="B342" s="417"/>
      <c r="C342" s="417"/>
      <c r="D342" s="442"/>
      <c r="E342" s="339"/>
      <c r="F342" s="308"/>
      <c r="G342" s="235" t="s">
        <v>67</v>
      </c>
      <c r="H342" s="81">
        <f>H288</f>
        <v>718.5</v>
      </c>
      <c r="I342" s="81">
        <f t="shared" ref="I342:K342" si="85">I288</f>
        <v>239.8</v>
      </c>
      <c r="J342" s="81">
        <f t="shared" si="85"/>
        <v>239.8</v>
      </c>
      <c r="K342" s="81">
        <f t="shared" si="85"/>
        <v>238.9</v>
      </c>
      <c r="L342" s="374"/>
    </row>
    <row r="343" spans="1:12" ht="75" customHeight="1">
      <c r="A343" s="416"/>
      <c r="B343" s="417"/>
      <c r="C343" s="417"/>
      <c r="D343" s="442"/>
      <c r="E343" s="325" t="s">
        <v>59</v>
      </c>
      <c r="F343" s="308"/>
      <c r="G343" s="256" t="s">
        <v>66</v>
      </c>
      <c r="H343" s="78">
        <f>SUM(H344:H347)</f>
        <v>259432.3</v>
      </c>
      <c r="I343" s="78">
        <f t="shared" ref="I343:K343" si="86">SUM(I344:I347)</f>
        <v>90411.6</v>
      </c>
      <c r="J343" s="78">
        <f t="shared" si="86"/>
        <v>84192.1</v>
      </c>
      <c r="K343" s="78">
        <f t="shared" si="86"/>
        <v>84828.6</v>
      </c>
      <c r="L343" s="374"/>
    </row>
    <row r="344" spans="1:12" ht="75" customHeight="1">
      <c r="A344" s="416"/>
      <c r="B344" s="417"/>
      <c r="C344" s="417"/>
      <c r="D344" s="442"/>
      <c r="E344" s="326"/>
      <c r="F344" s="308"/>
      <c r="G344" s="154" t="s">
        <v>169</v>
      </c>
      <c r="H344" s="81">
        <f t="shared" ref="H344:K345" si="87">H226</f>
        <v>37401.500000000007</v>
      </c>
      <c r="I344" s="81">
        <f t="shared" si="87"/>
        <v>11868</v>
      </c>
      <c r="J344" s="81">
        <f t="shared" si="87"/>
        <v>12448.5</v>
      </c>
      <c r="K344" s="81">
        <f t="shared" si="87"/>
        <v>13085</v>
      </c>
      <c r="L344" s="374"/>
    </row>
    <row r="345" spans="1:12" ht="75" customHeight="1">
      <c r="A345" s="416"/>
      <c r="B345" s="417"/>
      <c r="C345" s="417"/>
      <c r="D345" s="442"/>
      <c r="E345" s="326"/>
      <c r="F345" s="308"/>
      <c r="G345" s="235" t="s">
        <v>172</v>
      </c>
      <c r="H345" s="81">
        <f t="shared" si="87"/>
        <v>300</v>
      </c>
      <c r="I345" s="81">
        <f t="shared" si="87"/>
        <v>300</v>
      </c>
      <c r="J345" s="81">
        <f t="shared" si="87"/>
        <v>0</v>
      </c>
      <c r="K345" s="81">
        <f t="shared" si="87"/>
        <v>0</v>
      </c>
      <c r="L345" s="374"/>
    </row>
    <row r="346" spans="1:12" ht="75" customHeight="1">
      <c r="A346" s="416"/>
      <c r="B346" s="417"/>
      <c r="C346" s="417"/>
      <c r="D346" s="442"/>
      <c r="E346" s="326"/>
      <c r="F346" s="308"/>
      <c r="G346" s="235" t="s">
        <v>64</v>
      </c>
      <c r="H346" s="81">
        <f>H279+H277</f>
        <v>221072</v>
      </c>
      <c r="I346" s="81">
        <f>I279+I277</f>
        <v>78024</v>
      </c>
      <c r="J346" s="81">
        <f t="shared" ref="J346:K346" si="88">J279+J277</f>
        <v>71524</v>
      </c>
      <c r="K346" s="81">
        <f t="shared" si="88"/>
        <v>71524</v>
      </c>
      <c r="L346" s="374"/>
    </row>
    <row r="347" spans="1:12" ht="75" customHeight="1">
      <c r="A347" s="416"/>
      <c r="B347" s="417"/>
      <c r="C347" s="417"/>
      <c r="D347" s="442"/>
      <c r="E347" s="339"/>
      <c r="F347" s="308"/>
      <c r="G347" s="235" t="s">
        <v>67</v>
      </c>
      <c r="H347" s="81">
        <f>H289</f>
        <v>658.8</v>
      </c>
      <c r="I347" s="81">
        <f t="shared" ref="I347:K347" si="89">I289</f>
        <v>219.6</v>
      </c>
      <c r="J347" s="81">
        <f t="shared" si="89"/>
        <v>219.6</v>
      </c>
      <c r="K347" s="81">
        <f t="shared" si="89"/>
        <v>219.6</v>
      </c>
      <c r="L347" s="374"/>
    </row>
    <row r="348" spans="1:12" ht="75" customHeight="1">
      <c r="A348" s="416"/>
      <c r="B348" s="417"/>
      <c r="C348" s="417"/>
      <c r="D348" s="442"/>
      <c r="E348" s="318" t="s">
        <v>144</v>
      </c>
      <c r="F348" s="308"/>
      <c r="G348" s="256" t="s">
        <v>66</v>
      </c>
      <c r="H348" s="78">
        <f>SUM(H349:H350)</f>
        <v>252245.2</v>
      </c>
      <c r="I348" s="78">
        <f>SUM(I349:I350)</f>
        <v>83848.5</v>
      </c>
      <c r="J348" s="78">
        <f>SUM(J349:J350)</f>
        <v>84073.3</v>
      </c>
      <c r="K348" s="78">
        <f>SUM(K349:K350)</f>
        <v>84323.4</v>
      </c>
      <c r="L348" s="374"/>
    </row>
    <row r="349" spans="1:12" ht="75" customHeight="1">
      <c r="A349" s="416"/>
      <c r="B349" s="417"/>
      <c r="C349" s="417"/>
      <c r="D349" s="442"/>
      <c r="E349" s="318"/>
      <c r="F349" s="308"/>
      <c r="G349" s="154" t="s">
        <v>169</v>
      </c>
      <c r="H349" s="81">
        <f t="shared" ref="H349:K350" si="90">H229</f>
        <v>11255.199999999999</v>
      </c>
      <c r="I349" s="81">
        <f t="shared" si="90"/>
        <v>3518.5</v>
      </c>
      <c r="J349" s="81">
        <f t="shared" si="90"/>
        <v>3743.2999999999997</v>
      </c>
      <c r="K349" s="81">
        <f>K229</f>
        <v>3993.4</v>
      </c>
      <c r="L349" s="374"/>
    </row>
    <row r="350" spans="1:12" ht="75" customHeight="1">
      <c r="A350" s="416"/>
      <c r="B350" s="417"/>
      <c r="C350" s="417"/>
      <c r="D350" s="442"/>
      <c r="E350" s="318"/>
      <c r="F350" s="308"/>
      <c r="G350" s="235" t="s">
        <v>172</v>
      </c>
      <c r="H350" s="81">
        <f t="shared" si="90"/>
        <v>240990</v>
      </c>
      <c r="I350" s="81">
        <f>I230</f>
        <v>80330</v>
      </c>
      <c r="J350" s="81">
        <f t="shared" si="90"/>
        <v>80330</v>
      </c>
      <c r="K350" s="81">
        <f t="shared" si="90"/>
        <v>80330</v>
      </c>
      <c r="L350" s="422"/>
    </row>
    <row r="351" spans="1:12" ht="116.25" customHeight="1">
      <c r="A351" s="418"/>
      <c r="B351" s="419"/>
      <c r="C351" s="419"/>
      <c r="D351" s="443"/>
      <c r="E351" s="231" t="s">
        <v>384</v>
      </c>
      <c r="F351" s="309"/>
      <c r="G351" s="256" t="s">
        <v>172</v>
      </c>
      <c r="H351" s="81">
        <f>H231</f>
        <v>400</v>
      </c>
      <c r="I351" s="81">
        <f>I231</f>
        <v>400</v>
      </c>
      <c r="J351" s="81">
        <f t="shared" ref="J351:K351" si="91">J231</f>
        <v>0</v>
      </c>
      <c r="K351" s="81">
        <f t="shared" si="91"/>
        <v>0</v>
      </c>
      <c r="L351" s="170"/>
    </row>
    <row r="352" spans="1:12" s="172" customFormat="1" ht="75" customHeight="1">
      <c r="A352" s="171"/>
      <c r="B352" s="172" t="s">
        <v>147</v>
      </c>
      <c r="C352" s="173"/>
      <c r="D352" s="174"/>
      <c r="E352" s="174"/>
      <c r="F352" s="171"/>
      <c r="G352" s="175"/>
      <c r="H352" s="104"/>
      <c r="I352" s="176" t="s">
        <v>382</v>
      </c>
      <c r="J352" s="104"/>
      <c r="K352" s="104"/>
      <c r="L352" s="177"/>
    </row>
    <row r="353" spans="1:12" s="172" customFormat="1" ht="75" customHeight="1">
      <c r="A353" s="171"/>
      <c r="C353" s="173"/>
      <c r="D353" s="174"/>
      <c r="E353" s="174"/>
      <c r="F353" s="171"/>
      <c r="G353" s="175"/>
      <c r="H353" s="104"/>
      <c r="I353" s="176"/>
      <c r="J353" s="104"/>
      <c r="K353" s="104"/>
      <c r="L353" s="177"/>
    </row>
    <row r="354" spans="1:12" ht="75" customHeight="1">
      <c r="A354" s="178" t="s">
        <v>25</v>
      </c>
      <c r="B354" s="179"/>
      <c r="K354" s="180"/>
    </row>
    <row r="356" spans="1:12" s="181" customFormat="1" ht="75" customHeight="1">
      <c r="C356" s="182"/>
      <c r="D356" s="183"/>
      <c r="F356" s="184"/>
      <c r="G356" s="184"/>
      <c r="H356" s="185"/>
      <c r="I356" s="176"/>
      <c r="J356" s="185"/>
      <c r="K356" s="104"/>
      <c r="L356" s="186"/>
    </row>
    <row r="357" spans="1:12" ht="75" customHeight="1">
      <c r="A357" s="187"/>
      <c r="B357" s="187"/>
      <c r="C357" s="188"/>
      <c r="D357" s="189"/>
      <c r="E357" s="190"/>
      <c r="F357" s="191"/>
      <c r="G357" s="192"/>
      <c r="H357" s="185"/>
      <c r="I357" s="176"/>
      <c r="J357" s="185"/>
      <c r="K357" s="180">
        <f>H348+H343+H338+H333+H328+H321+H314+H308+H303+H297</f>
        <v>3628724.5378374998</v>
      </c>
    </row>
    <row r="358" spans="1:12" ht="75" customHeight="1">
      <c r="A358" s="187"/>
      <c r="B358" s="187"/>
      <c r="C358" s="188"/>
      <c r="D358" s="189"/>
      <c r="E358" s="190"/>
      <c r="F358" s="191"/>
      <c r="G358" s="192"/>
      <c r="H358" s="185"/>
      <c r="I358" s="176"/>
      <c r="J358" s="185"/>
    </row>
    <row r="359" spans="1:12" ht="75" customHeight="1">
      <c r="A359" s="187"/>
      <c r="B359" s="187"/>
      <c r="C359" s="188"/>
      <c r="D359" s="189"/>
      <c r="E359" s="190"/>
      <c r="F359" s="191"/>
      <c r="G359" s="192"/>
      <c r="H359" s="185"/>
      <c r="I359" s="176"/>
      <c r="J359" s="185"/>
    </row>
    <row r="360" spans="1:12" ht="75" customHeight="1">
      <c r="A360" s="193"/>
      <c r="B360" s="187"/>
      <c r="D360" s="189"/>
      <c r="E360" s="190"/>
      <c r="F360" s="191"/>
      <c r="G360" s="192"/>
      <c r="H360" s="185"/>
      <c r="I360" s="185"/>
      <c r="J360" s="185"/>
    </row>
  </sheetData>
  <autoFilter ref="A7:L352">
    <filterColumn colId="7" showButton="0"/>
    <filterColumn colId="8" showButton="0"/>
    <filterColumn colId="9" showButton="0"/>
  </autoFilter>
  <mergeCells count="243">
    <mergeCell ref="E308:E313"/>
    <mergeCell ref="E314:E320"/>
    <mergeCell ref="E321:E327"/>
    <mergeCell ref="A262:D262"/>
    <mergeCell ref="A240:D251"/>
    <mergeCell ref="L259:L260"/>
    <mergeCell ref="A260:D260"/>
    <mergeCell ref="B259:F259"/>
    <mergeCell ref="G234:G238"/>
    <mergeCell ref="F281:F289"/>
    <mergeCell ref="A263:D265"/>
    <mergeCell ref="A253:D253"/>
    <mergeCell ref="B261:F261"/>
    <mergeCell ref="L261:L265"/>
    <mergeCell ref="G253:G255"/>
    <mergeCell ref="G256:G258"/>
    <mergeCell ref="G281:G289"/>
    <mergeCell ref="G262:G267"/>
    <mergeCell ref="E182:E183"/>
    <mergeCell ref="E184:E185"/>
    <mergeCell ref="E186:E187"/>
    <mergeCell ref="E204:E207"/>
    <mergeCell ref="E208:E211"/>
    <mergeCell ref="E212:E215"/>
    <mergeCell ref="F234:F238"/>
    <mergeCell ref="B239:F239"/>
    <mergeCell ref="L233:L238"/>
    <mergeCell ref="A232:L232"/>
    <mergeCell ref="L239:L251"/>
    <mergeCell ref="E245:E246"/>
    <mergeCell ref="F245:F246"/>
    <mergeCell ref="E242:E243"/>
    <mergeCell ref="F248:F250"/>
    <mergeCell ref="A234:D238"/>
    <mergeCell ref="B233:F233"/>
    <mergeCell ref="F240:F241"/>
    <mergeCell ref="E248:E251"/>
    <mergeCell ref="F242:F243"/>
    <mergeCell ref="E240:E241"/>
    <mergeCell ref="E343:E347"/>
    <mergeCell ref="A281:D289"/>
    <mergeCell ref="A297:D351"/>
    <mergeCell ref="F297:F351"/>
    <mergeCell ref="L109:L112"/>
    <mergeCell ref="E77:F78"/>
    <mergeCell ref="E102:E103"/>
    <mergeCell ref="E104:E105"/>
    <mergeCell ref="B252:F252"/>
    <mergeCell ref="L121:L128"/>
    <mergeCell ref="E225:E227"/>
    <mergeCell ref="E222:E224"/>
    <mergeCell ref="A131:F131"/>
    <mergeCell ref="E82:E83"/>
    <mergeCell ref="L117:L119"/>
    <mergeCell ref="F82:F83"/>
    <mergeCell ref="A108:L108"/>
    <mergeCell ref="G110:G112"/>
    <mergeCell ref="L86:L87"/>
    <mergeCell ref="D117:G117"/>
    <mergeCell ref="L88:L105"/>
    <mergeCell ref="D113:G113"/>
    <mergeCell ref="D109:G109"/>
    <mergeCell ref="A88:G88"/>
    <mergeCell ref="L133:L155"/>
    <mergeCell ref="C145:C155"/>
    <mergeCell ref="E123:F123"/>
    <mergeCell ref="A123:D128"/>
    <mergeCell ref="E128:F128"/>
    <mergeCell ref="E126:F126"/>
    <mergeCell ref="C113:C116"/>
    <mergeCell ref="F114:F116"/>
    <mergeCell ref="L290:L350"/>
    <mergeCell ref="A291:F292"/>
    <mergeCell ref="E348:E350"/>
    <mergeCell ref="A290:F290"/>
    <mergeCell ref="G269:G279"/>
    <mergeCell ref="B268:E268"/>
    <mergeCell ref="A269:D279"/>
    <mergeCell ref="L280:L287"/>
    <mergeCell ref="L268:L279"/>
    <mergeCell ref="E338:E342"/>
    <mergeCell ref="E297:E302"/>
    <mergeCell ref="E303:E307"/>
    <mergeCell ref="E328:E332"/>
    <mergeCell ref="E333:E337"/>
    <mergeCell ref="F157:F159"/>
    <mergeCell ref="G157:G159"/>
    <mergeCell ref="A11:L11"/>
    <mergeCell ref="F13:F14"/>
    <mergeCell ref="G13:G14"/>
    <mergeCell ref="F19:F20"/>
    <mergeCell ref="G19:G20"/>
    <mergeCell ref="L12:L17"/>
    <mergeCell ref="G42:G46"/>
    <mergeCell ref="F42:F46"/>
    <mergeCell ref="A12:A30"/>
    <mergeCell ref="F32:F34"/>
    <mergeCell ref="G32:G34"/>
    <mergeCell ref="A31:D34"/>
    <mergeCell ref="G25:G27"/>
    <mergeCell ref="C24:C27"/>
    <mergeCell ref="L18:L20"/>
    <mergeCell ref="B12:B30"/>
    <mergeCell ref="C12:C14"/>
    <mergeCell ref="C15:C17"/>
    <mergeCell ref="C18:C20"/>
    <mergeCell ref="D12:G12"/>
    <mergeCell ref="D15:G15"/>
    <mergeCell ref="D18:G18"/>
    <mergeCell ref="G16:G17"/>
    <mergeCell ref="E31:G31"/>
    <mergeCell ref="F90:F107"/>
    <mergeCell ref="E90:E91"/>
    <mergeCell ref="E100:E101"/>
    <mergeCell ref="E68:F68"/>
    <mergeCell ref="E69:F70"/>
    <mergeCell ref="E71:F72"/>
    <mergeCell ref="E75:F76"/>
    <mergeCell ref="A66:D76"/>
    <mergeCell ref="F79:F81"/>
    <mergeCell ref="A82:D83"/>
    <mergeCell ref="A90:D107"/>
    <mergeCell ref="A86:D87"/>
    <mergeCell ref="G118:G119"/>
    <mergeCell ref="A5:L5"/>
    <mergeCell ref="A7:A9"/>
    <mergeCell ref="B7:B9"/>
    <mergeCell ref="C7:C9"/>
    <mergeCell ref="D7:D9"/>
    <mergeCell ref="E7:E9"/>
    <mergeCell ref="F7:F9"/>
    <mergeCell ref="G7:G9"/>
    <mergeCell ref="H7:K7"/>
    <mergeCell ref="L7:L9"/>
    <mergeCell ref="H8:H9"/>
    <mergeCell ref="I8:K8"/>
    <mergeCell ref="F16:F17"/>
    <mergeCell ref="F25:F27"/>
    <mergeCell ref="D24:G24"/>
    <mergeCell ref="D28:G28"/>
    <mergeCell ref="L66:L76"/>
    <mergeCell ref="B84:B85"/>
    <mergeCell ref="B79:B81"/>
    <mergeCell ref="E73:F74"/>
    <mergeCell ref="A89:F89"/>
    <mergeCell ref="E94:E95"/>
    <mergeCell ref="E96:E97"/>
    <mergeCell ref="F29:F30"/>
    <mergeCell ref="G29:G30"/>
    <mergeCell ref="L194:L196"/>
    <mergeCell ref="A195:F196"/>
    <mergeCell ref="D133:G133"/>
    <mergeCell ref="D145:G145"/>
    <mergeCell ref="A177:G177"/>
    <mergeCell ref="L177:L192"/>
    <mergeCell ref="L160:L163"/>
    <mergeCell ref="F161:F163"/>
    <mergeCell ref="G161:G163"/>
    <mergeCell ref="C160:C166"/>
    <mergeCell ref="D167:G167"/>
    <mergeCell ref="C167:C176"/>
    <mergeCell ref="B133:B176"/>
    <mergeCell ref="A133:A176"/>
    <mergeCell ref="G168:G176"/>
    <mergeCell ref="F168:F176"/>
    <mergeCell ref="C133:C143"/>
    <mergeCell ref="L167:L176"/>
    <mergeCell ref="C35:C40"/>
    <mergeCell ref="F36:F40"/>
    <mergeCell ref="G36:G40"/>
    <mergeCell ref="F52:F54"/>
    <mergeCell ref="D35:G35"/>
    <mergeCell ref="E216:E218"/>
    <mergeCell ref="A180:D193"/>
    <mergeCell ref="A198:D231"/>
    <mergeCell ref="F198:F231"/>
    <mergeCell ref="E228:E230"/>
    <mergeCell ref="A178:F178"/>
    <mergeCell ref="F180:F192"/>
    <mergeCell ref="A194:F194"/>
    <mergeCell ref="E219:E221"/>
    <mergeCell ref="E198:E200"/>
    <mergeCell ref="E201:E203"/>
    <mergeCell ref="C109:C112"/>
    <mergeCell ref="F110:F112"/>
    <mergeCell ref="A109:A120"/>
    <mergeCell ref="C117:C119"/>
    <mergeCell ref="A62:A65"/>
    <mergeCell ref="B109:B120"/>
    <mergeCell ref="F134:F144"/>
    <mergeCell ref="G134:G144"/>
    <mergeCell ref="E127:F127"/>
    <mergeCell ref="D118:D119"/>
    <mergeCell ref="G114:G116"/>
    <mergeCell ref="A121:F121"/>
    <mergeCell ref="C21:C23"/>
    <mergeCell ref="D21:G21"/>
    <mergeCell ref="F22:F23"/>
    <mergeCell ref="G22:G23"/>
    <mergeCell ref="C28:C30"/>
    <mergeCell ref="B78:D78"/>
    <mergeCell ref="F86:F87"/>
    <mergeCell ref="F84:F85"/>
    <mergeCell ref="L35:L39"/>
    <mergeCell ref="E86:E87"/>
    <mergeCell ref="G52:G54"/>
    <mergeCell ref="F56:F57"/>
    <mergeCell ref="E66:F67"/>
    <mergeCell ref="F59:F61"/>
    <mergeCell ref="L80:L85"/>
    <mergeCell ref="L21:L34"/>
    <mergeCell ref="L51:L54"/>
    <mergeCell ref="C63:C65"/>
    <mergeCell ref="D63:G63"/>
    <mergeCell ref="F64:F65"/>
    <mergeCell ref="B35:B65"/>
    <mergeCell ref="C41:C46"/>
    <mergeCell ref="D55:G55"/>
    <mergeCell ref="D51:G51"/>
    <mergeCell ref="L64:L65"/>
    <mergeCell ref="L164:L166"/>
    <mergeCell ref="L41:L46"/>
    <mergeCell ref="D58:G58"/>
    <mergeCell ref="E106:E107"/>
    <mergeCell ref="L113:L116"/>
    <mergeCell ref="C51:C54"/>
    <mergeCell ref="E98:E99"/>
    <mergeCell ref="E92:E93"/>
    <mergeCell ref="D160:G160"/>
    <mergeCell ref="G164:G166"/>
    <mergeCell ref="F164:F166"/>
    <mergeCell ref="F118:F119"/>
    <mergeCell ref="G123:G128"/>
    <mergeCell ref="E124:F124"/>
    <mergeCell ref="E125:F125"/>
    <mergeCell ref="A129:L129"/>
    <mergeCell ref="A132:L132"/>
    <mergeCell ref="C156:C159"/>
    <mergeCell ref="D156:G156"/>
    <mergeCell ref="F146:F155"/>
    <mergeCell ref="G146:G155"/>
    <mergeCell ref="D41:G41"/>
    <mergeCell ref="A122:B122"/>
  </mergeCells>
  <pageMargins left="0.78740157480314965" right="0.78740157480314965" top="1.1023622047244095" bottom="0.39370078740157483" header="0.31496062992125984" footer="0.31496062992125984"/>
  <pageSetup paperSize="9" scale="29" fitToHeight="25" orientation="landscape" r:id="rId1"/>
  <rowBreaks count="15" manualBreakCount="15">
    <brk id="27" max="11" man="1"/>
    <brk id="48" max="11" man="1"/>
    <brk id="59" max="11" man="1"/>
    <brk id="76" max="11" man="1"/>
    <brk id="93" max="11" man="1"/>
    <brk id="112" max="11" man="1"/>
    <brk id="129" max="11" man="1"/>
    <brk id="182" max="11" man="1"/>
    <brk id="189" max="11" man="1"/>
    <brk id="203" max="11" man="1"/>
    <brk id="229" max="11" man="1"/>
    <brk id="252" max="11" man="1"/>
    <brk id="280" max="11" man="1"/>
    <brk id="296" max="11" man="1"/>
    <brk id="35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330"/>
  <sheetViews>
    <sheetView tabSelected="1" view="pageBreakPreview" zoomScale="40" zoomScaleNormal="50" zoomScaleSheetLayoutView="40" workbookViewId="0">
      <pane ySplit="10" topLeftCell="A30" activePane="bottomLeft" state="frozen"/>
      <selection pane="bottomLeft" activeCell="H2" sqref="H2:K2"/>
    </sheetView>
  </sheetViews>
  <sheetFormatPr defaultColWidth="9.140625" defaultRowHeight="28.5" customHeight="1"/>
  <cols>
    <col min="1" max="1" width="86.28515625" style="21" customWidth="1"/>
    <col min="2" max="2" width="27" style="21" customWidth="1"/>
    <col min="3" max="3" width="24.85546875" style="21" customWidth="1"/>
    <col min="4" max="4" width="25.5703125" style="21" customWidth="1"/>
    <col min="5" max="5" width="25.42578125" style="21" customWidth="1"/>
    <col min="6" max="6" width="25.5703125" style="21" customWidth="1"/>
    <col min="7" max="7" width="24.7109375" style="21" customWidth="1"/>
    <col min="8" max="8" width="25.5703125" style="21" customWidth="1"/>
    <col min="9" max="9" width="24.42578125" style="21" customWidth="1"/>
    <col min="10" max="10" width="25.42578125" style="21" customWidth="1"/>
    <col min="11" max="11" width="25.85546875" style="21" customWidth="1"/>
    <col min="12" max="12" width="22.5703125" style="21" customWidth="1"/>
    <col min="13" max="16384" width="9.140625" style="21"/>
  </cols>
  <sheetData>
    <row r="1" spans="1:12" ht="66" customHeight="1">
      <c r="H1" s="45" t="s">
        <v>141</v>
      </c>
    </row>
    <row r="2" spans="1:12" ht="166.5" customHeight="1">
      <c r="H2" s="481" t="s">
        <v>441</v>
      </c>
      <c r="I2" s="481"/>
      <c r="J2" s="481"/>
      <c r="K2" s="481"/>
      <c r="L2" s="22"/>
    </row>
    <row r="3" spans="1:12" ht="54.75" customHeight="1">
      <c r="A3" s="22"/>
      <c r="H3" s="485" t="s">
        <v>439</v>
      </c>
      <c r="I3" s="485"/>
      <c r="J3" s="485"/>
      <c r="K3" s="485"/>
    </row>
    <row r="4" spans="1:12" ht="41.25" customHeight="1">
      <c r="H4" s="45"/>
      <c r="I4" s="45"/>
      <c r="J4" s="45"/>
      <c r="K4" s="46"/>
    </row>
    <row r="5" spans="1:12" ht="65.25" customHeight="1">
      <c r="A5" s="486" t="s">
        <v>197</v>
      </c>
      <c r="B5" s="486"/>
      <c r="C5" s="486"/>
      <c r="D5" s="486"/>
      <c r="E5" s="486"/>
      <c r="F5" s="486"/>
      <c r="G5" s="486"/>
      <c r="H5" s="486"/>
      <c r="I5" s="486"/>
      <c r="J5" s="486"/>
      <c r="K5" s="486"/>
    </row>
    <row r="6" spans="1:12" ht="18.75" customHeight="1">
      <c r="A6" s="23"/>
    </row>
    <row r="7" spans="1:12" ht="28.5" customHeight="1">
      <c r="A7" s="487" t="s">
        <v>74</v>
      </c>
      <c r="B7" s="487" t="s">
        <v>66</v>
      </c>
      <c r="C7" s="487" t="s">
        <v>178</v>
      </c>
      <c r="D7" s="487"/>
      <c r="E7" s="487"/>
      <c r="F7" s="487" t="s">
        <v>179</v>
      </c>
      <c r="G7" s="487"/>
      <c r="H7" s="487"/>
      <c r="I7" s="487" t="s">
        <v>180</v>
      </c>
      <c r="J7" s="487"/>
      <c r="K7" s="487"/>
    </row>
    <row r="8" spans="1:12" ht="28.5" customHeight="1">
      <c r="A8" s="487"/>
      <c r="B8" s="487"/>
      <c r="C8" s="487"/>
      <c r="D8" s="487"/>
      <c r="E8" s="487"/>
      <c r="F8" s="487"/>
      <c r="G8" s="487"/>
      <c r="H8" s="487"/>
      <c r="I8" s="487"/>
      <c r="J8" s="487"/>
      <c r="K8" s="487"/>
    </row>
    <row r="9" spans="1:12" ht="28.5" customHeight="1">
      <c r="A9" s="487"/>
      <c r="B9" s="487"/>
      <c r="C9" s="474" t="s">
        <v>70</v>
      </c>
      <c r="D9" s="474" t="s">
        <v>75</v>
      </c>
      <c r="E9" s="474"/>
      <c r="F9" s="474" t="s">
        <v>70</v>
      </c>
      <c r="G9" s="474" t="s">
        <v>75</v>
      </c>
      <c r="H9" s="474"/>
      <c r="I9" s="474" t="s">
        <v>70</v>
      </c>
      <c r="J9" s="474" t="s">
        <v>75</v>
      </c>
      <c r="K9" s="474"/>
    </row>
    <row r="10" spans="1:12" ht="48" customHeight="1">
      <c r="A10" s="487"/>
      <c r="B10" s="487"/>
      <c r="C10" s="474"/>
      <c r="D10" s="220" t="s">
        <v>76</v>
      </c>
      <c r="E10" s="220" t="s">
        <v>77</v>
      </c>
      <c r="F10" s="474"/>
      <c r="G10" s="220" t="s">
        <v>76</v>
      </c>
      <c r="H10" s="220" t="s">
        <v>77</v>
      </c>
      <c r="I10" s="474"/>
      <c r="J10" s="220" t="s">
        <v>76</v>
      </c>
      <c r="K10" s="220" t="s">
        <v>77</v>
      </c>
    </row>
    <row r="11" spans="1:12" ht="32.25" customHeight="1">
      <c r="A11" s="225">
        <v>1</v>
      </c>
      <c r="B11" s="24">
        <v>2</v>
      </c>
      <c r="C11" s="220">
        <v>3</v>
      </c>
      <c r="D11" s="220">
        <v>4</v>
      </c>
      <c r="E11" s="220">
        <v>5</v>
      </c>
      <c r="F11" s="220">
        <v>6</v>
      </c>
      <c r="G11" s="220">
        <v>7</v>
      </c>
      <c r="H11" s="220">
        <v>8</v>
      </c>
      <c r="I11" s="220">
        <v>9</v>
      </c>
      <c r="J11" s="220">
        <v>10</v>
      </c>
      <c r="K11" s="220">
        <v>11</v>
      </c>
    </row>
    <row r="12" spans="1:12" ht="68.25" customHeight="1">
      <c r="A12" s="47" t="s">
        <v>248</v>
      </c>
      <c r="B12" s="54">
        <f t="shared" ref="B12:K12" si="0">B15+B199+B248+B269</f>
        <v>655407720</v>
      </c>
      <c r="C12" s="54">
        <f t="shared" si="0"/>
        <v>237329420</v>
      </c>
      <c r="D12" s="54">
        <f t="shared" si="0"/>
        <v>101715800</v>
      </c>
      <c r="E12" s="54">
        <f t="shared" si="0"/>
        <v>135613620</v>
      </c>
      <c r="F12" s="54">
        <f t="shared" si="0"/>
        <v>206275300</v>
      </c>
      <c r="G12" s="54">
        <f t="shared" si="0"/>
        <v>97945300</v>
      </c>
      <c r="H12" s="54">
        <f t="shared" si="0"/>
        <v>108330000</v>
      </c>
      <c r="I12" s="54">
        <f t="shared" si="0"/>
        <v>211803000</v>
      </c>
      <c r="J12" s="54">
        <f t="shared" si="0"/>
        <v>103473000</v>
      </c>
      <c r="K12" s="54">
        <f t="shared" si="0"/>
        <v>108330000</v>
      </c>
    </row>
    <row r="13" spans="1:12" ht="64.5" customHeight="1">
      <c r="A13" s="483" t="s">
        <v>206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</row>
    <row r="14" spans="1:12" ht="39.75" customHeight="1">
      <c r="A14" s="482" t="s">
        <v>113</v>
      </c>
      <c r="B14" s="482"/>
      <c r="C14" s="482"/>
      <c r="D14" s="482"/>
      <c r="E14" s="482"/>
      <c r="F14" s="482"/>
      <c r="G14" s="482"/>
      <c r="H14" s="482"/>
      <c r="I14" s="482"/>
      <c r="J14" s="482"/>
      <c r="K14" s="482"/>
    </row>
    <row r="15" spans="1:12" ht="42" customHeight="1">
      <c r="A15" s="25" t="s">
        <v>249</v>
      </c>
      <c r="B15" s="55">
        <f>B24+B34+B43+B60+B70+B79+B86+B95+B109+B120+B131+B165+B176+B190+B147+B156</f>
        <v>236405600</v>
      </c>
      <c r="C15" s="55">
        <f>C24+C34+C43+C60+C70+C79+C86+C95+C109+C120+C131+C165+C176+C190+C147+C156</f>
        <v>80535300</v>
      </c>
      <c r="D15" s="55">
        <f>D24+D34+D43+D60+D70+D79+D86+D95+D109+D120+D131+D165+D176+D190+D147+D156</f>
        <v>80535300</v>
      </c>
      <c r="E15" s="55">
        <f t="shared" ref="E15:K15" si="1">E24+E34+E43+E60+E70+E79+E86+E95+E109+E120+E131+E165+E176+E190</f>
        <v>0</v>
      </c>
      <c r="F15" s="55">
        <f t="shared" si="1"/>
        <v>75756000</v>
      </c>
      <c r="G15" s="55">
        <f t="shared" si="1"/>
        <v>75756000</v>
      </c>
      <c r="H15" s="55">
        <f t="shared" si="1"/>
        <v>0</v>
      </c>
      <c r="I15" s="55">
        <f t="shared" si="1"/>
        <v>80114300</v>
      </c>
      <c r="J15" s="55">
        <f t="shared" si="1"/>
        <v>80114300</v>
      </c>
      <c r="K15" s="55">
        <f t="shared" si="1"/>
        <v>0</v>
      </c>
    </row>
    <row r="16" spans="1:12" ht="28.5" hidden="1" customHeight="1">
      <c r="A16" s="26" t="s">
        <v>78</v>
      </c>
      <c r="B16" s="473" t="s">
        <v>122</v>
      </c>
      <c r="C16" s="473"/>
      <c r="D16" s="473"/>
      <c r="E16" s="473"/>
      <c r="F16" s="473"/>
      <c r="G16" s="473"/>
      <c r="H16" s="473"/>
      <c r="I16" s="473"/>
      <c r="J16" s="473"/>
      <c r="K16" s="473"/>
    </row>
    <row r="17" spans="1:11" ht="28.5" hidden="1" customHeight="1">
      <c r="A17" s="219" t="s">
        <v>84</v>
      </c>
      <c r="B17" s="475" t="s">
        <v>85</v>
      </c>
      <c r="C17" s="476"/>
      <c r="D17" s="476"/>
      <c r="E17" s="476"/>
      <c r="F17" s="476"/>
      <c r="G17" s="476"/>
      <c r="H17" s="476"/>
      <c r="I17" s="476"/>
      <c r="J17" s="476"/>
      <c r="K17" s="477"/>
    </row>
    <row r="18" spans="1:11" ht="28.5" hidden="1" customHeight="1">
      <c r="A18" s="224" t="s">
        <v>79</v>
      </c>
      <c r="B18" s="224">
        <f>C18+F18+I18</f>
        <v>0</v>
      </c>
      <c r="C18" s="224">
        <f>D18+E18</f>
        <v>0</v>
      </c>
      <c r="D18" s="224">
        <f>'Додаток 3'!I12*1000</f>
        <v>0</v>
      </c>
      <c r="E18" s="224">
        <v>0</v>
      </c>
      <c r="F18" s="224">
        <f>G18+H18</f>
        <v>0</v>
      </c>
      <c r="G18" s="224">
        <f>'Додаток 3'!J12*1000</f>
        <v>0</v>
      </c>
      <c r="H18" s="224">
        <v>0</v>
      </c>
      <c r="I18" s="224">
        <f>J18+K18</f>
        <v>0</v>
      </c>
      <c r="J18" s="224">
        <f>'Додаток 3'!K12*1000</f>
        <v>0</v>
      </c>
      <c r="K18" s="224">
        <v>0</v>
      </c>
    </row>
    <row r="19" spans="1:11" ht="28.5" hidden="1" customHeight="1">
      <c r="A19" s="224" t="s">
        <v>134</v>
      </c>
      <c r="B19" s="224"/>
      <c r="C19" s="26">
        <v>2</v>
      </c>
      <c r="D19" s="26">
        <v>2</v>
      </c>
      <c r="E19" s="224"/>
      <c r="F19" s="26"/>
      <c r="G19" s="26">
        <v>2</v>
      </c>
      <c r="H19" s="26">
        <v>2</v>
      </c>
      <c r="I19" s="26"/>
      <c r="J19" s="224">
        <v>2</v>
      </c>
      <c r="K19" s="224">
        <v>2</v>
      </c>
    </row>
    <row r="20" spans="1:11" ht="28.5" hidden="1" customHeight="1">
      <c r="A20" s="224" t="s">
        <v>135</v>
      </c>
      <c r="B20" s="26"/>
      <c r="C20" s="26">
        <f>C18/C19</f>
        <v>0</v>
      </c>
      <c r="D20" s="26">
        <f>D18/D19</f>
        <v>0</v>
      </c>
      <c r="E20" s="26"/>
      <c r="F20" s="26"/>
      <c r="G20" s="26">
        <f>G18/G19</f>
        <v>0</v>
      </c>
      <c r="H20" s="26"/>
      <c r="I20" s="26"/>
      <c r="J20" s="26"/>
      <c r="K20" s="224"/>
    </row>
    <row r="21" spans="1:11" ht="28.5" customHeight="1">
      <c r="A21" s="475" t="s">
        <v>208</v>
      </c>
      <c r="B21" s="476"/>
      <c r="C21" s="476"/>
      <c r="D21" s="476"/>
      <c r="E21" s="476"/>
      <c r="F21" s="476"/>
      <c r="G21" s="476"/>
      <c r="H21" s="476"/>
      <c r="I21" s="476"/>
      <c r="J21" s="476"/>
      <c r="K21" s="477"/>
    </row>
    <row r="22" spans="1:11" ht="28.5" customHeight="1">
      <c r="A22" s="475" t="s">
        <v>225</v>
      </c>
      <c r="B22" s="476"/>
      <c r="C22" s="476"/>
      <c r="D22" s="476"/>
      <c r="E22" s="476"/>
      <c r="F22" s="476"/>
      <c r="G22" s="476"/>
      <c r="H22" s="476"/>
      <c r="I22" s="476"/>
      <c r="J22" s="476"/>
      <c r="K22" s="477"/>
    </row>
    <row r="23" spans="1:11" ht="28.5" customHeight="1">
      <c r="A23" s="224" t="s">
        <v>184</v>
      </c>
      <c r="B23" s="224"/>
      <c r="C23" s="224"/>
      <c r="D23" s="224"/>
      <c r="E23" s="224"/>
      <c r="F23" s="224"/>
      <c r="G23" s="224"/>
      <c r="H23" s="224"/>
      <c r="I23" s="224"/>
      <c r="J23" s="224"/>
      <c r="K23" s="224"/>
    </row>
    <row r="24" spans="1:11" ht="28.5" customHeight="1">
      <c r="A24" s="26" t="s">
        <v>250</v>
      </c>
      <c r="B24" s="55">
        <f>C24+F24+I24</f>
        <v>16889700</v>
      </c>
      <c r="C24" s="55">
        <f>D24+E24</f>
        <v>5307100</v>
      </c>
      <c r="D24" s="55">
        <f>'Додаток 3'!I15*1000</f>
        <v>5307100</v>
      </c>
      <c r="E24" s="55"/>
      <c r="F24" s="55">
        <f>G24+H24</f>
        <v>5630800</v>
      </c>
      <c r="G24" s="55">
        <f>'Додаток 3'!J15*1000</f>
        <v>5630800</v>
      </c>
      <c r="H24" s="55"/>
      <c r="I24" s="55">
        <f>J24+K24</f>
        <v>5951799.9999999991</v>
      </c>
      <c r="J24" s="55">
        <f>'Додаток 3'!K15*1000</f>
        <v>5951799.9999999991</v>
      </c>
      <c r="K24" s="55"/>
    </row>
    <row r="25" spans="1:11" ht="28.5" customHeight="1">
      <c r="A25" s="224" t="s">
        <v>124</v>
      </c>
      <c r="B25" s="55"/>
      <c r="C25" s="56"/>
      <c r="D25" s="56"/>
      <c r="E25" s="55"/>
      <c r="F25" s="56"/>
      <c r="G25" s="56"/>
      <c r="H25" s="56"/>
      <c r="I25" s="56"/>
      <c r="J25" s="56"/>
      <c r="K25" s="55"/>
    </row>
    <row r="26" spans="1:11" ht="28.5" customHeight="1">
      <c r="A26" s="26" t="s">
        <v>190</v>
      </c>
      <c r="B26" s="55"/>
      <c r="C26" s="56">
        <v>2</v>
      </c>
      <c r="D26" s="56">
        <v>2</v>
      </c>
      <c r="E26" s="55"/>
      <c r="F26" s="56">
        <v>2</v>
      </c>
      <c r="G26" s="56">
        <v>2</v>
      </c>
      <c r="H26" s="56"/>
      <c r="I26" s="56">
        <v>2</v>
      </c>
      <c r="J26" s="56">
        <v>2</v>
      </c>
      <c r="K26" s="55"/>
    </row>
    <row r="27" spans="1:11" ht="28.5" customHeight="1">
      <c r="A27" s="224" t="s">
        <v>123</v>
      </c>
      <c r="B27" s="56"/>
      <c r="C27" s="56"/>
      <c r="D27" s="56"/>
      <c r="E27" s="56"/>
      <c r="F27" s="56"/>
      <c r="G27" s="56"/>
      <c r="H27" s="56"/>
      <c r="I27" s="56"/>
      <c r="J27" s="56"/>
      <c r="K27" s="55"/>
    </row>
    <row r="28" spans="1:11" ht="28.5" customHeight="1">
      <c r="A28" s="26" t="s">
        <v>251</v>
      </c>
      <c r="B28" s="56"/>
      <c r="C28" s="56">
        <f t="shared" ref="C28" si="2">C24/C26</f>
        <v>2653550</v>
      </c>
      <c r="D28" s="56">
        <f>D24/D26</f>
        <v>2653550</v>
      </c>
      <c r="E28" s="56"/>
      <c r="F28" s="56">
        <f t="shared" ref="F28:J28" si="3">F24/F26</f>
        <v>2815400</v>
      </c>
      <c r="G28" s="56">
        <f t="shared" si="3"/>
        <v>2815400</v>
      </c>
      <c r="H28" s="56"/>
      <c r="I28" s="56">
        <f t="shared" si="3"/>
        <v>2975899.9999999995</v>
      </c>
      <c r="J28" s="56">
        <f t="shared" si="3"/>
        <v>2975899.9999999995</v>
      </c>
      <c r="K28" s="56"/>
    </row>
    <row r="29" spans="1:11" ht="28.5" customHeight="1">
      <c r="A29" s="224" t="s">
        <v>83</v>
      </c>
      <c r="B29" s="56"/>
      <c r="C29" s="56"/>
      <c r="D29" s="56"/>
      <c r="E29" s="56"/>
      <c r="F29" s="56"/>
      <c r="G29" s="56"/>
      <c r="H29" s="56"/>
      <c r="I29" s="56"/>
      <c r="J29" s="56"/>
      <c r="K29" s="55"/>
    </row>
    <row r="30" spans="1:11" ht="28.5" customHeight="1">
      <c r="A30" s="26" t="s">
        <v>209</v>
      </c>
      <c r="B30" s="56"/>
      <c r="C30" s="56">
        <v>100</v>
      </c>
      <c r="D30" s="56">
        <v>100</v>
      </c>
      <c r="E30" s="56"/>
      <c r="F30" s="56">
        <v>100</v>
      </c>
      <c r="G30" s="56">
        <v>100</v>
      </c>
      <c r="H30" s="56"/>
      <c r="I30" s="56">
        <v>100</v>
      </c>
      <c r="J30" s="56">
        <v>100</v>
      </c>
      <c r="K30" s="55"/>
    </row>
    <row r="31" spans="1:11" ht="79.5" customHeight="1">
      <c r="A31" s="26" t="s">
        <v>252</v>
      </c>
      <c r="B31" s="56"/>
      <c r="C31" s="56">
        <f>D31</f>
        <v>141.16388453772558</v>
      </c>
      <c r="D31" s="56">
        <f>D24/3759531*100</f>
        <v>141.16388453772558</v>
      </c>
      <c r="E31" s="56"/>
      <c r="F31" s="56">
        <f>G31</f>
        <v>106.09937630721109</v>
      </c>
      <c r="G31" s="56">
        <f>G24/D24*100</f>
        <v>106.09937630721109</v>
      </c>
      <c r="H31" s="56"/>
      <c r="I31" s="56">
        <f>J31</f>
        <v>105.70078852028129</v>
      </c>
      <c r="J31" s="56">
        <f>J24/G24*100</f>
        <v>105.70078852028129</v>
      </c>
      <c r="K31" s="55"/>
    </row>
    <row r="32" spans="1:11" ht="28.5" customHeight="1">
      <c r="A32" s="475" t="s">
        <v>207</v>
      </c>
      <c r="B32" s="476"/>
      <c r="C32" s="476"/>
      <c r="D32" s="476"/>
      <c r="E32" s="476"/>
      <c r="F32" s="476"/>
      <c r="G32" s="476"/>
      <c r="H32" s="476"/>
      <c r="I32" s="476"/>
      <c r="J32" s="476"/>
      <c r="K32" s="477"/>
    </row>
    <row r="33" spans="1:11" ht="28.5" customHeight="1">
      <c r="A33" s="224" t="s">
        <v>184</v>
      </c>
      <c r="B33" s="224"/>
      <c r="C33" s="224"/>
      <c r="D33" s="224"/>
      <c r="E33" s="224"/>
      <c r="F33" s="224"/>
      <c r="G33" s="224"/>
      <c r="H33" s="224"/>
      <c r="I33" s="224"/>
      <c r="J33" s="224"/>
      <c r="K33" s="224"/>
    </row>
    <row r="34" spans="1:11" ht="36" customHeight="1">
      <c r="A34" s="26" t="s">
        <v>185</v>
      </c>
      <c r="B34" s="55">
        <f>C34+F34+I34</f>
        <v>3922400</v>
      </c>
      <c r="C34" s="55">
        <f>D34+E34</f>
        <v>1241800</v>
      </c>
      <c r="D34" s="55">
        <f>'Додаток 3'!I18*1000</f>
        <v>1241800</v>
      </c>
      <c r="E34" s="55"/>
      <c r="F34" s="55">
        <f>G34+H34</f>
        <v>1307600</v>
      </c>
      <c r="G34" s="55">
        <f>'Додаток 3'!J18*1000</f>
        <v>1307600</v>
      </c>
      <c r="H34" s="55"/>
      <c r="I34" s="55">
        <f>J34+K34</f>
        <v>1373000</v>
      </c>
      <c r="J34" s="55">
        <f>'Додаток 3'!K18*1000</f>
        <v>1373000</v>
      </c>
      <c r="K34" s="55"/>
    </row>
    <row r="35" spans="1:11" ht="28.5" customHeight="1">
      <c r="A35" s="224" t="s">
        <v>124</v>
      </c>
      <c r="B35" s="55"/>
      <c r="C35" s="56"/>
      <c r="D35" s="55"/>
      <c r="E35" s="55"/>
      <c r="F35" s="56"/>
      <c r="G35" s="56"/>
      <c r="H35" s="56"/>
      <c r="I35" s="56"/>
      <c r="J35" s="55"/>
      <c r="K35" s="55"/>
    </row>
    <row r="36" spans="1:11" ht="51" customHeight="1">
      <c r="A36" s="26" t="s">
        <v>253</v>
      </c>
      <c r="B36" s="55"/>
      <c r="C36" s="56">
        <f>D36</f>
        <v>14883</v>
      </c>
      <c r="D36" s="56">
        <f>6294+8589</f>
        <v>14883</v>
      </c>
      <c r="E36" s="55"/>
      <c r="F36" s="56">
        <v>31041</v>
      </c>
      <c r="G36" s="56">
        <f>6294+8589</f>
        <v>14883</v>
      </c>
      <c r="H36" s="56"/>
      <c r="I36" s="56">
        <v>31041</v>
      </c>
      <c r="J36" s="56">
        <f>6294+8589</f>
        <v>14883</v>
      </c>
      <c r="K36" s="55"/>
    </row>
    <row r="37" spans="1:11" ht="28.5" customHeight="1">
      <c r="A37" s="224" t="s">
        <v>123</v>
      </c>
      <c r="B37" s="55"/>
      <c r="C37" s="56"/>
      <c r="D37" s="56"/>
      <c r="E37" s="56"/>
      <c r="F37" s="56"/>
      <c r="G37" s="56"/>
      <c r="H37" s="56"/>
      <c r="I37" s="56"/>
      <c r="J37" s="56"/>
      <c r="K37" s="55"/>
    </row>
    <row r="38" spans="1:11" ht="28.5" customHeight="1">
      <c r="A38" s="26" t="s">
        <v>201</v>
      </c>
      <c r="B38" s="55"/>
      <c r="C38" s="56">
        <f>D38</f>
        <v>83.437479002889205</v>
      </c>
      <c r="D38" s="56">
        <f>D34/D36</f>
        <v>83.437479002889205</v>
      </c>
      <c r="E38" s="56"/>
      <c r="F38" s="56">
        <f>G38</f>
        <v>87.858630652422221</v>
      </c>
      <c r="G38" s="56">
        <f>G34/G36</f>
        <v>87.858630652422221</v>
      </c>
      <c r="H38" s="56"/>
      <c r="I38" s="56">
        <f>J38</f>
        <v>92.252906000134388</v>
      </c>
      <c r="J38" s="56">
        <f>J34/J36</f>
        <v>92.252906000134388</v>
      </c>
      <c r="K38" s="55"/>
    </row>
    <row r="39" spans="1:11" ht="28.5" customHeight="1">
      <c r="A39" s="224" t="s">
        <v>83</v>
      </c>
      <c r="B39" s="55"/>
      <c r="C39" s="56"/>
      <c r="D39" s="56"/>
      <c r="E39" s="56"/>
      <c r="F39" s="56"/>
      <c r="G39" s="56"/>
      <c r="H39" s="56"/>
      <c r="I39" s="56"/>
      <c r="J39" s="56"/>
      <c r="K39" s="55"/>
    </row>
    <row r="40" spans="1:11" ht="72.75" customHeight="1">
      <c r="A40" s="26" t="s">
        <v>254</v>
      </c>
      <c r="B40" s="56"/>
      <c r="C40" s="56">
        <f>D40</f>
        <v>106.22981671977587</v>
      </c>
      <c r="D40" s="56">
        <f>D34/1168975*100</f>
        <v>106.22981671977587</v>
      </c>
      <c r="E40" s="56"/>
      <c r="F40" s="56">
        <f>G40</f>
        <v>105.29875986471251</v>
      </c>
      <c r="G40" s="56">
        <f>G34/D34*100</f>
        <v>105.29875986471251</v>
      </c>
      <c r="H40" s="56"/>
      <c r="I40" s="56">
        <f>J40</f>
        <v>105.00152951973081</v>
      </c>
      <c r="J40" s="56">
        <f>J34/G34*100</f>
        <v>105.00152951973081</v>
      </c>
      <c r="K40" s="55"/>
    </row>
    <row r="41" spans="1:11" ht="53.25" customHeight="1">
      <c r="A41" s="475" t="s">
        <v>323</v>
      </c>
      <c r="B41" s="476"/>
      <c r="C41" s="476"/>
      <c r="D41" s="476"/>
      <c r="E41" s="476"/>
      <c r="F41" s="476"/>
      <c r="G41" s="476"/>
      <c r="H41" s="476"/>
      <c r="I41" s="476"/>
      <c r="J41" s="476"/>
      <c r="K41" s="477"/>
    </row>
    <row r="42" spans="1:11" ht="28.5" customHeight="1">
      <c r="A42" s="224" t="s">
        <v>79</v>
      </c>
      <c r="B42" s="26"/>
      <c r="C42" s="26"/>
      <c r="D42" s="26"/>
      <c r="E42" s="26"/>
      <c r="F42" s="26"/>
      <c r="G42" s="223"/>
      <c r="H42" s="26"/>
      <c r="I42" s="26"/>
      <c r="J42" s="223"/>
      <c r="K42" s="224"/>
    </row>
    <row r="43" spans="1:11" ht="30.75" customHeight="1">
      <c r="A43" s="26" t="s">
        <v>255</v>
      </c>
      <c r="B43" s="55">
        <f>C43+F43+I43</f>
        <v>3037400</v>
      </c>
      <c r="C43" s="55">
        <f>D43+E43</f>
        <v>960600</v>
      </c>
      <c r="D43" s="55">
        <f>('Додаток 3'!I21+'Додаток 3'!I24+'Додаток 3'!I28)*1000</f>
        <v>960600</v>
      </c>
      <c r="E43" s="55"/>
      <c r="F43" s="55">
        <f>G43+H43</f>
        <v>1011500.0000000001</v>
      </c>
      <c r="G43" s="62">
        <f>('Додаток 3'!J21+'Додаток 3'!J24+'Додаток 3'!J28)*1000</f>
        <v>1011500.0000000001</v>
      </c>
      <c r="H43" s="55"/>
      <c r="I43" s="55">
        <f>J43+K43</f>
        <v>1065300</v>
      </c>
      <c r="J43" s="62">
        <f>('Додаток 3'!K21+'Додаток 3'!K24+'Додаток 3'!K28)*1000</f>
        <v>1065300</v>
      </c>
      <c r="K43" s="224"/>
    </row>
    <row r="44" spans="1:11" ht="74.25" customHeight="1">
      <c r="A44" s="51" t="s">
        <v>381</v>
      </c>
      <c r="B44" s="56"/>
      <c r="C44" s="56">
        <f>D44</f>
        <v>700000</v>
      </c>
      <c r="D44" s="56">
        <f>'Додаток 3'!I21*1000</f>
        <v>700000</v>
      </c>
      <c r="E44" s="56"/>
      <c r="F44" s="56">
        <f>G44+H44</f>
        <v>737100</v>
      </c>
      <c r="G44" s="59">
        <f>'Додаток 3'!J21*1000</f>
        <v>737100</v>
      </c>
      <c r="H44" s="56"/>
      <c r="I44" s="56">
        <f>J44+K44</f>
        <v>774000</v>
      </c>
      <c r="J44" s="59">
        <f>'Додаток 3'!K21*1000</f>
        <v>774000</v>
      </c>
      <c r="K44" s="224"/>
    </row>
    <row r="45" spans="1:11" ht="55.5" customHeight="1">
      <c r="A45" s="48" t="s">
        <v>380</v>
      </c>
      <c r="B45" s="56"/>
      <c r="C45" s="56">
        <f>D45</f>
        <v>218100</v>
      </c>
      <c r="D45" s="56">
        <f>'Додаток 3'!I24*1000</f>
        <v>218100</v>
      </c>
      <c r="E45" s="56"/>
      <c r="F45" s="56">
        <f>G45+H45</f>
        <v>229700.00000000003</v>
      </c>
      <c r="G45" s="59">
        <f>'Додаток 3'!J24*1000</f>
        <v>229700.00000000003</v>
      </c>
      <c r="H45" s="56"/>
      <c r="I45" s="56">
        <f>J45+K45</f>
        <v>241100.00000000003</v>
      </c>
      <c r="J45" s="59">
        <f>'Додаток 3'!K24*1000</f>
        <v>241100.00000000003</v>
      </c>
      <c r="K45" s="224"/>
    </row>
    <row r="46" spans="1:11" ht="60.75" customHeight="1">
      <c r="A46" s="50" t="s">
        <v>379</v>
      </c>
      <c r="B46" s="56"/>
      <c r="C46" s="56">
        <f>D46</f>
        <v>42500</v>
      </c>
      <c r="D46" s="56">
        <f>'Додаток 3'!I28*1000</f>
        <v>42500</v>
      </c>
      <c r="E46" s="56"/>
      <c r="F46" s="56">
        <f>G46+H46</f>
        <v>44700</v>
      </c>
      <c r="G46" s="59">
        <f>'Додаток 3'!J28*1000</f>
        <v>44700</v>
      </c>
      <c r="H46" s="56"/>
      <c r="I46" s="56">
        <f>J46+K46</f>
        <v>50200</v>
      </c>
      <c r="J46" s="59">
        <f>'Додаток 3'!K28*1000</f>
        <v>50200</v>
      </c>
      <c r="K46" s="224"/>
    </row>
    <row r="47" spans="1:11" ht="28.5" customHeight="1">
      <c r="A47" s="224" t="s">
        <v>124</v>
      </c>
      <c r="B47" s="56"/>
      <c r="C47" s="56"/>
      <c r="D47" s="56"/>
      <c r="E47" s="56"/>
      <c r="F47" s="59"/>
      <c r="G47" s="59"/>
      <c r="H47" s="56"/>
      <c r="I47" s="59"/>
      <c r="J47" s="59"/>
      <c r="K47" s="224"/>
    </row>
    <row r="48" spans="1:11" ht="49.5" customHeight="1">
      <c r="A48" s="51" t="s">
        <v>202</v>
      </c>
      <c r="B48" s="59"/>
      <c r="C48" s="59">
        <v>4</v>
      </c>
      <c r="D48" s="59">
        <v>4</v>
      </c>
      <c r="E48" s="56"/>
      <c r="F48" s="59">
        <f>G48</f>
        <v>4</v>
      </c>
      <c r="G48" s="59">
        <v>4</v>
      </c>
      <c r="H48" s="56"/>
      <c r="I48" s="59">
        <f>J48</f>
        <v>4</v>
      </c>
      <c r="J48" s="59">
        <v>4</v>
      </c>
      <c r="K48" s="224"/>
    </row>
    <row r="49" spans="1:11" ht="59.25" customHeight="1">
      <c r="A49" s="51" t="s">
        <v>186</v>
      </c>
      <c r="B49" s="59"/>
      <c r="C49" s="59">
        <v>26</v>
      </c>
      <c r="D49" s="59">
        <v>26</v>
      </c>
      <c r="E49" s="56"/>
      <c r="F49" s="59">
        <f>G49</f>
        <v>26</v>
      </c>
      <c r="G49" s="59">
        <v>26</v>
      </c>
      <c r="H49" s="56"/>
      <c r="I49" s="59">
        <f>J49</f>
        <v>26</v>
      </c>
      <c r="J49" s="59">
        <v>26</v>
      </c>
      <c r="K49" s="224"/>
    </row>
    <row r="50" spans="1:11" ht="51.75" customHeight="1">
      <c r="A50" s="52" t="s">
        <v>187</v>
      </c>
      <c r="B50" s="59"/>
      <c r="C50" s="59">
        <v>7</v>
      </c>
      <c r="D50" s="59">
        <v>7</v>
      </c>
      <c r="E50" s="56"/>
      <c r="F50" s="59">
        <f>G50</f>
        <v>7</v>
      </c>
      <c r="G50" s="59">
        <v>7</v>
      </c>
      <c r="H50" s="56"/>
      <c r="I50" s="59">
        <f>J50</f>
        <v>7</v>
      </c>
      <c r="J50" s="59">
        <v>7</v>
      </c>
      <c r="K50" s="224"/>
    </row>
    <row r="51" spans="1:11" ht="28.5" customHeight="1">
      <c r="A51" s="224" t="s">
        <v>123</v>
      </c>
      <c r="B51" s="59"/>
      <c r="C51" s="59"/>
      <c r="D51" s="59"/>
      <c r="E51" s="56"/>
      <c r="F51" s="59"/>
      <c r="G51" s="59"/>
      <c r="H51" s="56"/>
      <c r="I51" s="59"/>
      <c r="J51" s="59"/>
      <c r="K51" s="224"/>
    </row>
    <row r="52" spans="1:11" ht="51" customHeight="1">
      <c r="A52" s="63" t="s">
        <v>256</v>
      </c>
      <c r="B52" s="59"/>
      <c r="C52" s="59">
        <f>D52</f>
        <v>175000</v>
      </c>
      <c r="D52" s="59">
        <f>D44/D48</f>
        <v>175000</v>
      </c>
      <c r="E52" s="56"/>
      <c r="F52" s="59">
        <f t="shared" ref="F52:G54" si="4">F44/F48</f>
        <v>184275</v>
      </c>
      <c r="G52" s="59">
        <f t="shared" si="4"/>
        <v>184275</v>
      </c>
      <c r="H52" s="56"/>
      <c r="I52" s="59">
        <f t="shared" ref="I52:J54" si="5">I44/I48</f>
        <v>193500</v>
      </c>
      <c r="J52" s="59">
        <f t="shared" si="5"/>
        <v>193500</v>
      </c>
      <c r="K52" s="224"/>
    </row>
    <row r="53" spans="1:11" ht="53.25" customHeight="1">
      <c r="A53" s="63" t="s">
        <v>258</v>
      </c>
      <c r="B53" s="59"/>
      <c r="C53" s="59">
        <f>D53</f>
        <v>8388.461538461539</v>
      </c>
      <c r="D53" s="59">
        <f>D45/D49</f>
        <v>8388.461538461539</v>
      </c>
      <c r="E53" s="56"/>
      <c r="F53" s="59">
        <f t="shared" si="4"/>
        <v>8834.6153846153866</v>
      </c>
      <c r="G53" s="59">
        <f t="shared" si="4"/>
        <v>8834.6153846153866</v>
      </c>
      <c r="H53" s="56"/>
      <c r="I53" s="59">
        <f t="shared" si="5"/>
        <v>9273.0769230769238</v>
      </c>
      <c r="J53" s="59">
        <f t="shared" si="5"/>
        <v>9273.0769230769238</v>
      </c>
      <c r="K53" s="224"/>
    </row>
    <row r="54" spans="1:11" ht="58.5" customHeight="1">
      <c r="A54" s="63" t="s">
        <v>259</v>
      </c>
      <c r="B54" s="59"/>
      <c r="C54" s="59">
        <f>D54</f>
        <v>6071.4285714285716</v>
      </c>
      <c r="D54" s="59">
        <f>D46/D50</f>
        <v>6071.4285714285716</v>
      </c>
      <c r="E54" s="56"/>
      <c r="F54" s="59">
        <f t="shared" si="4"/>
        <v>6385.7142857142853</v>
      </c>
      <c r="G54" s="59">
        <f t="shared" si="4"/>
        <v>6385.7142857142853</v>
      </c>
      <c r="H54" s="56"/>
      <c r="I54" s="59">
        <f t="shared" si="5"/>
        <v>7171.4285714285716</v>
      </c>
      <c r="J54" s="59">
        <f t="shared" si="5"/>
        <v>7171.4285714285716</v>
      </c>
      <c r="K54" s="224"/>
    </row>
    <row r="55" spans="1:11" ht="28.5" customHeight="1">
      <c r="A55" s="224" t="s">
        <v>83</v>
      </c>
      <c r="B55" s="59"/>
      <c r="C55" s="59"/>
      <c r="D55" s="59"/>
      <c r="E55" s="56"/>
      <c r="F55" s="59"/>
      <c r="G55" s="59"/>
      <c r="H55" s="56"/>
      <c r="I55" s="59"/>
      <c r="J55" s="59"/>
      <c r="K55" s="224"/>
    </row>
    <row r="56" spans="1:11" ht="142.5" customHeight="1">
      <c r="A56" s="26" t="s">
        <v>257</v>
      </c>
      <c r="B56" s="56"/>
      <c r="C56" s="56">
        <f>D56</f>
        <v>138.41498559077809</v>
      </c>
      <c r="D56" s="56">
        <f>D43/694000*100</f>
        <v>138.41498559077809</v>
      </c>
      <c r="E56" s="56"/>
      <c r="F56" s="56">
        <f>G56</f>
        <v>105.29877160108268</v>
      </c>
      <c r="G56" s="56">
        <f>G43/D43*100</f>
        <v>105.29877160108268</v>
      </c>
      <c r="H56" s="56"/>
      <c r="I56" s="56">
        <f>J56</f>
        <v>105.31883341571921</v>
      </c>
      <c r="J56" s="56">
        <f>J43/G43*100</f>
        <v>105.31883341571921</v>
      </c>
      <c r="K56" s="224"/>
    </row>
    <row r="57" spans="1:11" ht="28.5" customHeight="1">
      <c r="A57" s="475" t="s">
        <v>232</v>
      </c>
      <c r="B57" s="476"/>
      <c r="C57" s="476"/>
      <c r="D57" s="476"/>
      <c r="E57" s="476"/>
      <c r="F57" s="476"/>
      <c r="G57" s="476"/>
      <c r="H57" s="476"/>
      <c r="I57" s="476"/>
      <c r="J57" s="476"/>
      <c r="K57" s="477"/>
    </row>
    <row r="58" spans="1:11" ht="28.5" customHeight="1">
      <c r="A58" s="475" t="s">
        <v>227</v>
      </c>
      <c r="B58" s="476"/>
      <c r="C58" s="476"/>
      <c r="D58" s="476"/>
      <c r="E58" s="476"/>
      <c r="F58" s="476"/>
      <c r="G58" s="476"/>
      <c r="H58" s="476"/>
      <c r="I58" s="476"/>
      <c r="J58" s="476"/>
      <c r="K58" s="477"/>
    </row>
    <row r="59" spans="1:11" ht="28.5" customHeight="1">
      <c r="A59" s="224" t="s">
        <v>79</v>
      </c>
      <c r="B59" s="55"/>
      <c r="C59" s="55"/>
      <c r="D59" s="55"/>
      <c r="E59" s="55"/>
      <c r="F59" s="55"/>
      <c r="G59" s="55"/>
      <c r="H59" s="55"/>
      <c r="I59" s="55"/>
      <c r="J59" s="55"/>
      <c r="K59" s="224"/>
    </row>
    <row r="60" spans="1:11" ht="28.5" customHeight="1">
      <c r="A60" s="26" t="s">
        <v>250</v>
      </c>
      <c r="B60" s="55">
        <f>C60+F60+I60</f>
        <v>134834100</v>
      </c>
      <c r="C60" s="55">
        <f>D60+E60</f>
        <v>42367700.000000007</v>
      </c>
      <c r="D60" s="55">
        <f>'Додаток 3'!I41*1000</f>
        <v>42367700.000000007</v>
      </c>
      <c r="E60" s="55"/>
      <c r="F60" s="55">
        <f>G60+H60</f>
        <v>44952100.000000007</v>
      </c>
      <c r="G60" s="55">
        <f>'Додаток 3'!J41*1000</f>
        <v>44952100.000000007</v>
      </c>
      <c r="H60" s="55"/>
      <c r="I60" s="55">
        <f>J60+K60</f>
        <v>47514300</v>
      </c>
      <c r="J60" s="55">
        <f>'Додаток 3'!K41*1000</f>
        <v>47514300</v>
      </c>
      <c r="K60" s="224"/>
    </row>
    <row r="61" spans="1:11" ht="28.5" customHeight="1">
      <c r="A61" s="224" t="s">
        <v>124</v>
      </c>
      <c r="B61" s="224"/>
      <c r="C61" s="26"/>
      <c r="D61" s="26"/>
      <c r="E61" s="224"/>
      <c r="F61" s="26"/>
      <c r="G61" s="26"/>
      <c r="H61" s="26"/>
      <c r="I61" s="26"/>
      <c r="J61" s="26"/>
      <c r="K61" s="224"/>
    </row>
    <row r="62" spans="1:11" ht="28.5" customHeight="1">
      <c r="A62" s="26" t="s">
        <v>190</v>
      </c>
      <c r="B62" s="224"/>
      <c r="C62" s="56">
        <v>5</v>
      </c>
      <c r="D62" s="56">
        <v>5</v>
      </c>
      <c r="E62" s="55"/>
      <c r="F62" s="56">
        <v>5</v>
      </c>
      <c r="G62" s="56">
        <v>5</v>
      </c>
      <c r="H62" s="56"/>
      <c r="I62" s="56">
        <v>5</v>
      </c>
      <c r="J62" s="56">
        <v>5</v>
      </c>
      <c r="K62" s="224"/>
    </row>
    <row r="63" spans="1:11" ht="28.5" customHeight="1">
      <c r="A63" s="224" t="s">
        <v>82</v>
      </c>
      <c r="B63" s="26"/>
      <c r="C63" s="56"/>
      <c r="D63" s="56"/>
      <c r="E63" s="56"/>
      <c r="F63" s="56"/>
      <c r="G63" s="56"/>
      <c r="H63" s="56"/>
      <c r="I63" s="56"/>
      <c r="J63" s="56"/>
      <c r="K63" s="224"/>
    </row>
    <row r="64" spans="1:11" ht="28.5" customHeight="1">
      <c r="A64" s="26" t="s">
        <v>260</v>
      </c>
      <c r="B64" s="26"/>
      <c r="C64" s="56">
        <f>C60/C62</f>
        <v>8473540.0000000019</v>
      </c>
      <c r="D64" s="56">
        <f>D60/D62</f>
        <v>8473540.0000000019</v>
      </c>
      <c r="E64" s="56"/>
      <c r="F64" s="56">
        <f>F60/F62</f>
        <v>8990420.0000000019</v>
      </c>
      <c r="G64" s="56">
        <f>G60/G62</f>
        <v>8990420.0000000019</v>
      </c>
      <c r="H64" s="56"/>
      <c r="I64" s="56">
        <f>I60/I62</f>
        <v>9502860</v>
      </c>
      <c r="J64" s="56">
        <f>J60/J62</f>
        <v>9502860</v>
      </c>
      <c r="K64" s="224"/>
    </row>
    <row r="65" spans="1:11" ht="28.5" customHeight="1">
      <c r="A65" s="224" t="s">
        <v>83</v>
      </c>
      <c r="B65" s="26"/>
      <c r="C65" s="56"/>
      <c r="D65" s="56"/>
      <c r="E65" s="56"/>
      <c r="F65" s="56"/>
      <c r="G65" s="56"/>
      <c r="H65" s="56"/>
      <c r="I65" s="56"/>
      <c r="J65" s="56"/>
      <c r="K65" s="224"/>
    </row>
    <row r="66" spans="1:11" ht="28.5" customHeight="1">
      <c r="A66" s="26" t="s">
        <v>210</v>
      </c>
      <c r="B66" s="26"/>
      <c r="C66" s="56">
        <v>100</v>
      </c>
      <c r="D66" s="56">
        <v>100</v>
      </c>
      <c r="E66" s="56"/>
      <c r="F66" s="56">
        <v>100</v>
      </c>
      <c r="G66" s="56">
        <v>100</v>
      </c>
      <c r="H66" s="56"/>
      <c r="I66" s="56">
        <v>100</v>
      </c>
      <c r="J66" s="56">
        <v>100</v>
      </c>
      <c r="K66" s="224"/>
    </row>
    <row r="67" spans="1:11" ht="75.75" customHeight="1">
      <c r="A67" s="26" t="s">
        <v>252</v>
      </c>
      <c r="B67" s="26"/>
      <c r="C67" s="56">
        <f>D67</f>
        <v>154.95753889052867</v>
      </c>
      <c r="D67" s="56">
        <f>D60/27341490*100</f>
        <v>154.95753889052867</v>
      </c>
      <c r="E67" s="56"/>
      <c r="F67" s="56">
        <f>G67</f>
        <v>106.09992989942809</v>
      </c>
      <c r="G67" s="56">
        <f>G60/D60*100</f>
        <v>106.09992989942809</v>
      </c>
      <c r="H67" s="56"/>
      <c r="I67" s="56">
        <f>J67</f>
        <v>105.69984494606479</v>
      </c>
      <c r="J67" s="56">
        <f>J60/G60*100</f>
        <v>105.69984494606479</v>
      </c>
      <c r="K67" s="224"/>
    </row>
    <row r="68" spans="1:11" ht="28.5" customHeight="1">
      <c r="A68" s="478" t="s">
        <v>324</v>
      </c>
      <c r="B68" s="479"/>
      <c r="C68" s="479"/>
      <c r="D68" s="479"/>
      <c r="E68" s="479"/>
      <c r="F68" s="479"/>
      <c r="G68" s="479"/>
      <c r="H68" s="479"/>
      <c r="I68" s="479"/>
      <c r="J68" s="479"/>
      <c r="K68" s="480"/>
    </row>
    <row r="69" spans="1:11" ht="28.5" customHeight="1">
      <c r="A69" s="224" t="s">
        <v>79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</row>
    <row r="70" spans="1:11" ht="36" customHeight="1">
      <c r="A70" s="26" t="s">
        <v>250</v>
      </c>
      <c r="B70" s="55">
        <f>C70+F70+I70</f>
        <v>1006500</v>
      </c>
      <c r="C70" s="55">
        <f>D70+E70</f>
        <v>318700</v>
      </c>
      <c r="D70" s="55">
        <f>'Додаток 3'!I47*1000</f>
        <v>318700</v>
      </c>
      <c r="E70" s="55"/>
      <c r="F70" s="55">
        <f>G70+H70</f>
        <v>335500</v>
      </c>
      <c r="G70" s="55">
        <f>'Додаток 3'!J47*1000</f>
        <v>335500</v>
      </c>
      <c r="H70" s="55"/>
      <c r="I70" s="55">
        <f>J70+K70</f>
        <v>352300</v>
      </c>
      <c r="J70" s="55">
        <f>'Додаток 3'!K47*1000</f>
        <v>352300</v>
      </c>
      <c r="K70" s="55"/>
    </row>
    <row r="71" spans="1:11" ht="28.5" customHeight="1">
      <c r="A71" s="224" t="s">
        <v>124</v>
      </c>
      <c r="B71" s="55"/>
      <c r="C71" s="56"/>
      <c r="D71" s="55"/>
      <c r="E71" s="55"/>
      <c r="F71" s="56"/>
      <c r="G71" s="56"/>
      <c r="H71" s="56"/>
      <c r="I71" s="56"/>
      <c r="J71" s="55"/>
      <c r="K71" s="55"/>
    </row>
    <row r="72" spans="1:11" ht="48.75" customHeight="1">
      <c r="A72" s="26" t="s">
        <v>341</v>
      </c>
      <c r="B72" s="55"/>
      <c r="C72" s="56">
        <v>170</v>
      </c>
      <c r="D72" s="56">
        <v>170</v>
      </c>
      <c r="E72" s="55"/>
      <c r="F72" s="56">
        <f>G72</f>
        <v>170</v>
      </c>
      <c r="G72" s="56">
        <v>170</v>
      </c>
      <c r="H72" s="56"/>
      <c r="I72" s="56">
        <f>J72</f>
        <v>170</v>
      </c>
      <c r="J72" s="56">
        <v>170</v>
      </c>
      <c r="K72" s="55"/>
    </row>
    <row r="73" spans="1:11" ht="28.5" customHeight="1">
      <c r="A73" s="224" t="s">
        <v>123</v>
      </c>
      <c r="B73" s="56"/>
      <c r="C73" s="56"/>
      <c r="D73" s="56"/>
      <c r="E73" s="56"/>
      <c r="F73" s="56"/>
      <c r="G73" s="56"/>
      <c r="H73" s="56"/>
      <c r="I73" s="56"/>
      <c r="J73" s="56"/>
      <c r="K73" s="55"/>
    </row>
    <row r="74" spans="1:11" ht="32.25" customHeight="1">
      <c r="A74" s="26" t="s">
        <v>261</v>
      </c>
      <c r="B74" s="56"/>
      <c r="C74" s="56">
        <f>C70/C72</f>
        <v>1874.7058823529412</v>
      </c>
      <c r="D74" s="56">
        <f>D70/D72</f>
        <v>1874.7058823529412</v>
      </c>
      <c r="E74" s="56"/>
      <c r="F74" s="56">
        <f>F70/F72</f>
        <v>1973.5294117647059</v>
      </c>
      <c r="G74" s="56">
        <f>G70/G72</f>
        <v>1973.5294117647059</v>
      </c>
      <c r="H74" s="56"/>
      <c r="I74" s="56">
        <f>I70/I72</f>
        <v>2072.3529411764707</v>
      </c>
      <c r="J74" s="56">
        <f>J70/J72</f>
        <v>2072.3529411764707</v>
      </c>
      <c r="K74" s="55"/>
    </row>
    <row r="75" spans="1:11" ht="28.5" customHeight="1">
      <c r="A75" s="224" t="s">
        <v>83</v>
      </c>
      <c r="B75" s="56"/>
      <c r="C75" s="56"/>
      <c r="D75" s="56"/>
      <c r="E75" s="56"/>
      <c r="F75" s="56"/>
      <c r="G75" s="56"/>
      <c r="H75" s="56"/>
      <c r="I75" s="56"/>
      <c r="J75" s="56"/>
      <c r="K75" s="55"/>
    </row>
    <row r="76" spans="1:11" ht="66" customHeight="1">
      <c r="A76" s="26" t="s">
        <v>211</v>
      </c>
      <c r="B76" s="56"/>
      <c r="C76" s="56">
        <f>D76</f>
        <v>106.23333333333333</v>
      </c>
      <c r="D76" s="56">
        <f>D70/300000*100</f>
        <v>106.23333333333333</v>
      </c>
      <c r="E76" s="56"/>
      <c r="F76" s="56">
        <f>G76</f>
        <v>105.271415123941</v>
      </c>
      <c r="G76" s="56">
        <f>G70/D70*100</f>
        <v>105.271415123941</v>
      </c>
      <c r="H76" s="56"/>
      <c r="I76" s="56">
        <f>J76</f>
        <v>105.00745156482863</v>
      </c>
      <c r="J76" s="56">
        <f>J70/G70*100</f>
        <v>105.00745156482863</v>
      </c>
      <c r="K76" s="55"/>
    </row>
    <row r="77" spans="1:11" ht="28.5" customHeight="1">
      <c r="A77" s="475" t="s">
        <v>325</v>
      </c>
      <c r="B77" s="476"/>
      <c r="C77" s="476"/>
      <c r="D77" s="476"/>
      <c r="E77" s="476"/>
      <c r="F77" s="476"/>
      <c r="G77" s="476"/>
      <c r="H77" s="476"/>
      <c r="I77" s="476"/>
      <c r="J77" s="476"/>
      <c r="K77" s="477"/>
    </row>
    <row r="78" spans="1:11" ht="28.5" customHeight="1">
      <c r="A78" s="224" t="s">
        <v>79</v>
      </c>
      <c r="B78" s="224"/>
      <c r="C78" s="224"/>
      <c r="D78" s="224"/>
      <c r="E78" s="224"/>
      <c r="F78" s="224"/>
      <c r="G78" s="224"/>
      <c r="H78" s="224"/>
      <c r="I78" s="224"/>
      <c r="J78" s="224"/>
      <c r="K78" s="224"/>
    </row>
    <row r="79" spans="1:11" ht="28.5" customHeight="1">
      <c r="A79" s="26" t="s">
        <v>250</v>
      </c>
      <c r="B79" s="55">
        <f>C79+F79+I79</f>
        <v>269000</v>
      </c>
      <c r="C79" s="55">
        <f>D79+E79</f>
        <v>269000</v>
      </c>
      <c r="D79" s="55">
        <f>('Додаток 3'!I48+'Додаток 3'!I81)*1000</f>
        <v>269000</v>
      </c>
      <c r="E79" s="55"/>
      <c r="F79" s="55"/>
      <c r="G79" s="55"/>
      <c r="H79" s="55"/>
      <c r="I79" s="55"/>
      <c r="J79" s="55"/>
      <c r="K79" s="55"/>
    </row>
    <row r="80" spans="1:11" ht="28.5" customHeight="1">
      <c r="A80" s="224" t="s">
        <v>81</v>
      </c>
      <c r="B80" s="56"/>
      <c r="C80" s="56"/>
      <c r="D80" s="56"/>
      <c r="E80" s="56"/>
      <c r="F80" s="56"/>
      <c r="G80" s="56"/>
      <c r="H80" s="56"/>
      <c r="I80" s="56"/>
      <c r="J80" s="56"/>
      <c r="K80" s="55"/>
    </row>
    <row r="81" spans="1:11" ht="28.5" customHeight="1">
      <c r="A81" s="26" t="s">
        <v>233</v>
      </c>
      <c r="B81" s="56"/>
      <c r="C81" s="56">
        <f>D81</f>
        <v>4</v>
      </c>
      <c r="D81" s="56">
        <v>4</v>
      </c>
      <c r="E81" s="56"/>
      <c r="F81" s="56"/>
      <c r="G81" s="56"/>
      <c r="H81" s="56"/>
      <c r="I81" s="56"/>
      <c r="J81" s="56"/>
      <c r="K81" s="55"/>
    </row>
    <row r="82" spans="1:11" ht="28.5" customHeight="1">
      <c r="A82" s="224" t="s">
        <v>82</v>
      </c>
      <c r="B82" s="56"/>
      <c r="C82" s="56"/>
      <c r="D82" s="56"/>
      <c r="E82" s="56"/>
      <c r="F82" s="56"/>
      <c r="G82" s="56"/>
      <c r="H82" s="56"/>
      <c r="I82" s="56"/>
      <c r="J82" s="56"/>
      <c r="K82" s="55"/>
    </row>
    <row r="83" spans="1:11" ht="28.5" customHeight="1">
      <c r="A83" s="26" t="s">
        <v>262</v>
      </c>
      <c r="B83" s="56"/>
      <c r="C83" s="56">
        <f>C79/C81</f>
        <v>67250</v>
      </c>
      <c r="D83" s="56">
        <f>D79/D81</f>
        <v>67250</v>
      </c>
      <c r="E83" s="56"/>
      <c r="F83" s="56"/>
      <c r="G83" s="56"/>
      <c r="H83" s="56"/>
      <c r="I83" s="56"/>
      <c r="J83" s="56"/>
      <c r="K83" s="55"/>
    </row>
    <row r="84" spans="1:11" ht="28.5" customHeight="1">
      <c r="A84" s="478" t="s">
        <v>326</v>
      </c>
      <c r="B84" s="479"/>
      <c r="C84" s="479"/>
      <c r="D84" s="479"/>
      <c r="E84" s="479"/>
      <c r="F84" s="479"/>
      <c r="G84" s="479"/>
      <c r="H84" s="479"/>
      <c r="I84" s="479"/>
      <c r="J84" s="479"/>
      <c r="K84" s="480"/>
    </row>
    <row r="85" spans="1:11" ht="28.5" customHeight="1">
      <c r="A85" s="224" t="s">
        <v>79</v>
      </c>
      <c r="B85" s="224"/>
      <c r="C85" s="224"/>
      <c r="D85" s="224"/>
      <c r="E85" s="224"/>
      <c r="F85" s="224"/>
      <c r="G85" s="224"/>
      <c r="H85" s="224"/>
      <c r="I85" s="224"/>
      <c r="J85" s="224"/>
      <c r="K85" s="224"/>
    </row>
    <row r="86" spans="1:11" ht="28.5" customHeight="1">
      <c r="A86" s="26" t="s">
        <v>250</v>
      </c>
      <c r="B86" s="55">
        <f>C86+F86+I86</f>
        <v>6709000</v>
      </c>
      <c r="C86" s="55">
        <f>D86+E86</f>
        <v>2124000</v>
      </c>
      <c r="D86" s="55">
        <f>'Додаток 3'!I49*1000</f>
        <v>2124000</v>
      </c>
      <c r="E86" s="55"/>
      <c r="F86" s="55">
        <f>G86+H86</f>
        <v>2236600</v>
      </c>
      <c r="G86" s="55">
        <f>'Додаток 3'!J49*1000</f>
        <v>2236600</v>
      </c>
      <c r="H86" s="55"/>
      <c r="I86" s="55">
        <f>J86+K86</f>
        <v>2348400</v>
      </c>
      <c r="J86" s="55">
        <f>'Додаток 3'!K49*1000</f>
        <v>2348400</v>
      </c>
      <c r="K86" s="55"/>
    </row>
    <row r="87" spans="1:11" ht="28.5" customHeight="1">
      <c r="A87" s="224" t="s">
        <v>81</v>
      </c>
      <c r="B87" s="56"/>
      <c r="C87" s="56"/>
      <c r="D87" s="56"/>
      <c r="E87" s="56"/>
      <c r="F87" s="56"/>
      <c r="G87" s="56"/>
      <c r="H87" s="56"/>
      <c r="I87" s="56"/>
      <c r="J87" s="56"/>
      <c r="K87" s="55"/>
    </row>
    <row r="88" spans="1:11" ht="89.25" customHeight="1">
      <c r="A88" s="26" t="s">
        <v>342</v>
      </c>
      <c r="B88" s="56"/>
      <c r="C88" s="56">
        <f>D88</f>
        <v>6369</v>
      </c>
      <c r="D88" s="56">
        <v>6369</v>
      </c>
      <c r="E88" s="56"/>
      <c r="F88" s="56">
        <f>G88</f>
        <v>6369</v>
      </c>
      <c r="G88" s="56">
        <v>6369</v>
      </c>
      <c r="H88" s="56"/>
      <c r="I88" s="56">
        <f>J88</f>
        <v>6369</v>
      </c>
      <c r="J88" s="56">
        <v>6369</v>
      </c>
      <c r="K88" s="55"/>
    </row>
    <row r="89" spans="1:11" ht="28.5" customHeight="1">
      <c r="A89" s="224" t="s">
        <v>82</v>
      </c>
      <c r="B89" s="56"/>
      <c r="C89" s="56"/>
      <c r="D89" s="56"/>
      <c r="E89" s="56"/>
      <c r="F89" s="56"/>
      <c r="G89" s="56"/>
      <c r="H89" s="56"/>
      <c r="I89" s="56"/>
      <c r="J89" s="56"/>
      <c r="K89" s="55"/>
    </row>
    <row r="90" spans="1:11" ht="60.75" customHeight="1">
      <c r="A90" s="26" t="s">
        <v>263</v>
      </c>
      <c r="B90" s="56"/>
      <c r="C90" s="56">
        <f>C86/C88</f>
        <v>333.49034385303815</v>
      </c>
      <c r="D90" s="56">
        <f>D86/D88</f>
        <v>333.49034385303815</v>
      </c>
      <c r="E90" s="56"/>
      <c r="F90" s="56">
        <f>F86/F88</f>
        <v>351.16972837180089</v>
      </c>
      <c r="G90" s="56">
        <f>G86/G88</f>
        <v>351.16972837180089</v>
      </c>
      <c r="H90" s="56"/>
      <c r="I90" s="56">
        <f>I86/I88</f>
        <v>368.72350447479982</v>
      </c>
      <c r="J90" s="56">
        <f>J86/J88</f>
        <v>368.72350447479982</v>
      </c>
      <c r="K90" s="55"/>
    </row>
    <row r="91" spans="1:11" ht="28.5" customHeight="1">
      <c r="A91" s="224" t="s">
        <v>83</v>
      </c>
      <c r="B91" s="56"/>
      <c r="C91" s="56"/>
      <c r="D91" s="56"/>
      <c r="E91" s="56"/>
      <c r="F91" s="56"/>
      <c r="G91" s="56"/>
      <c r="H91" s="56"/>
      <c r="I91" s="56"/>
      <c r="J91" s="56"/>
      <c r="K91" s="55"/>
    </row>
    <row r="92" spans="1:11" ht="36" customHeight="1">
      <c r="A92" s="26" t="s">
        <v>188</v>
      </c>
      <c r="B92" s="56"/>
      <c r="C92" s="56">
        <v>100</v>
      </c>
      <c r="D92" s="56">
        <v>100</v>
      </c>
      <c r="E92" s="56"/>
      <c r="F92" s="56">
        <v>100</v>
      </c>
      <c r="G92" s="56">
        <v>100</v>
      </c>
      <c r="H92" s="56"/>
      <c r="I92" s="56">
        <v>100</v>
      </c>
      <c r="J92" s="56">
        <v>100</v>
      </c>
      <c r="K92" s="55"/>
    </row>
    <row r="93" spans="1:11" ht="28.5" customHeight="1">
      <c r="A93" s="478" t="s">
        <v>327</v>
      </c>
      <c r="B93" s="479"/>
      <c r="C93" s="479"/>
      <c r="D93" s="479"/>
      <c r="E93" s="479"/>
      <c r="F93" s="479"/>
      <c r="G93" s="479"/>
      <c r="H93" s="479"/>
      <c r="I93" s="479"/>
      <c r="J93" s="479"/>
      <c r="K93" s="480"/>
    </row>
    <row r="94" spans="1:11" ht="28.5" customHeight="1">
      <c r="A94" s="224" t="s">
        <v>79</v>
      </c>
      <c r="B94" s="224"/>
      <c r="C94" s="224"/>
      <c r="D94" s="224"/>
      <c r="E94" s="224"/>
      <c r="F94" s="224"/>
      <c r="G94" s="224"/>
      <c r="H94" s="224"/>
      <c r="I94" s="224"/>
      <c r="J94" s="224"/>
      <c r="K94" s="224"/>
    </row>
    <row r="95" spans="1:11" ht="28.5" customHeight="1">
      <c r="A95" s="26" t="s">
        <v>250</v>
      </c>
      <c r="B95" s="55">
        <f>C95+F95+I95</f>
        <v>5133200</v>
      </c>
      <c r="C95" s="55">
        <f>D95+E95</f>
        <v>1928399.9999999998</v>
      </c>
      <c r="D95" s="55">
        <f>'Додаток 3'!I50*1000</f>
        <v>1928399.9999999998</v>
      </c>
      <c r="E95" s="55"/>
      <c r="F95" s="55">
        <f>G95+H95</f>
        <v>1550700</v>
      </c>
      <c r="G95" s="55">
        <f>'Додаток 3'!J50*1000</f>
        <v>1550700</v>
      </c>
      <c r="H95" s="55"/>
      <c r="I95" s="55">
        <f>J95+K95</f>
        <v>1654100</v>
      </c>
      <c r="J95" s="55">
        <f>'Додаток 3'!K50*1000</f>
        <v>1654100</v>
      </c>
      <c r="K95" s="55"/>
    </row>
    <row r="96" spans="1:11" ht="28.5" customHeight="1">
      <c r="A96" s="48" t="s">
        <v>198</v>
      </c>
      <c r="B96" s="56"/>
      <c r="C96" s="57">
        <f>D96</f>
        <v>8.25</v>
      </c>
      <c r="D96" s="57">
        <v>8.25</v>
      </c>
      <c r="E96" s="56"/>
      <c r="F96" s="57">
        <f>G96</f>
        <v>8.25</v>
      </c>
      <c r="G96" s="57">
        <v>8.25</v>
      </c>
      <c r="H96" s="56"/>
      <c r="I96" s="57">
        <f>J96</f>
        <v>8.25</v>
      </c>
      <c r="J96" s="57">
        <v>8.25</v>
      </c>
      <c r="K96" s="55"/>
    </row>
    <row r="97" spans="1:20" ht="28.5" customHeight="1">
      <c r="A97" s="48" t="s">
        <v>234</v>
      </c>
      <c r="B97" s="56"/>
      <c r="C97" s="57">
        <f t="shared" ref="C97:C106" si="6">D97</f>
        <v>3</v>
      </c>
      <c r="D97" s="57">
        <v>3</v>
      </c>
      <c r="E97" s="56"/>
      <c r="F97" s="57">
        <f t="shared" ref="F97:F106" si="7">G97</f>
        <v>3</v>
      </c>
      <c r="G97" s="57">
        <v>3</v>
      </c>
      <c r="H97" s="56"/>
      <c r="I97" s="57">
        <f t="shared" ref="I97:I106" si="8">J97</f>
        <v>3</v>
      </c>
      <c r="J97" s="57">
        <v>3</v>
      </c>
      <c r="K97" s="55"/>
    </row>
    <row r="98" spans="1:20" ht="28.5" customHeight="1">
      <c r="A98" s="224" t="s">
        <v>81</v>
      </c>
      <c r="B98" s="56"/>
      <c r="C98" s="57"/>
      <c r="D98" s="56"/>
      <c r="E98" s="56"/>
      <c r="F98" s="57"/>
      <c r="G98" s="56"/>
      <c r="H98" s="56"/>
      <c r="I98" s="57"/>
      <c r="J98" s="56"/>
      <c r="K98" s="55"/>
    </row>
    <row r="99" spans="1:20" ht="28.5" customHeight="1">
      <c r="A99" s="52" t="s">
        <v>199</v>
      </c>
      <c r="B99" s="56"/>
      <c r="C99" s="56">
        <f>D99</f>
        <v>3148</v>
      </c>
      <c r="D99" s="56">
        <v>3148</v>
      </c>
      <c r="E99" s="56"/>
      <c r="F99" s="56">
        <f t="shared" si="7"/>
        <v>3148</v>
      </c>
      <c r="G99" s="56">
        <v>3148</v>
      </c>
      <c r="H99" s="56"/>
      <c r="I99" s="56">
        <f t="shared" si="8"/>
        <v>3148</v>
      </c>
      <c r="J99" s="56">
        <v>3148</v>
      </c>
      <c r="K99" s="55"/>
    </row>
    <row r="100" spans="1:20" ht="28.5" customHeight="1">
      <c r="A100" s="52" t="s">
        <v>343</v>
      </c>
      <c r="B100" s="56"/>
      <c r="C100" s="56">
        <f t="shared" si="6"/>
        <v>285</v>
      </c>
      <c r="D100" s="56">
        <v>285</v>
      </c>
      <c r="E100" s="56"/>
      <c r="F100" s="56">
        <f t="shared" si="7"/>
        <v>285</v>
      </c>
      <c r="G100" s="56">
        <v>285</v>
      </c>
      <c r="H100" s="56"/>
      <c r="I100" s="56">
        <f t="shared" si="8"/>
        <v>285</v>
      </c>
      <c r="J100" s="56">
        <v>285</v>
      </c>
      <c r="K100" s="55"/>
    </row>
    <row r="101" spans="1:20" ht="28.5" customHeight="1">
      <c r="A101" s="224" t="s">
        <v>82</v>
      </c>
      <c r="B101" s="56"/>
      <c r="C101" s="57"/>
      <c r="D101" s="56"/>
      <c r="E101" s="56"/>
      <c r="F101" s="57"/>
      <c r="G101" s="56"/>
      <c r="H101" s="56"/>
      <c r="I101" s="57">
        <f t="shared" si="8"/>
        <v>0</v>
      </c>
      <c r="J101" s="56"/>
      <c r="K101" s="55"/>
    </row>
    <row r="102" spans="1:20" ht="57" customHeight="1">
      <c r="A102" s="48" t="s">
        <v>212</v>
      </c>
      <c r="B102" s="56"/>
      <c r="C102" s="56">
        <f t="shared" si="6"/>
        <v>1049</v>
      </c>
      <c r="D102" s="56">
        <v>1049</v>
      </c>
      <c r="E102" s="56"/>
      <c r="F102" s="56">
        <f t="shared" si="7"/>
        <v>1049</v>
      </c>
      <c r="G102" s="56">
        <v>1049</v>
      </c>
      <c r="H102" s="56"/>
      <c r="I102" s="56">
        <f t="shared" si="8"/>
        <v>1049</v>
      </c>
      <c r="J102" s="56">
        <v>1049</v>
      </c>
      <c r="K102" s="55"/>
    </row>
    <row r="103" spans="1:20" ht="53.25" customHeight="1">
      <c r="A103" s="48" t="s">
        <v>344</v>
      </c>
      <c r="B103" s="56"/>
      <c r="C103" s="56">
        <f t="shared" si="6"/>
        <v>35</v>
      </c>
      <c r="D103" s="56">
        <v>35</v>
      </c>
      <c r="E103" s="56"/>
      <c r="F103" s="56">
        <f t="shared" si="7"/>
        <v>35</v>
      </c>
      <c r="G103" s="56">
        <v>35</v>
      </c>
      <c r="H103" s="56"/>
      <c r="I103" s="56">
        <f t="shared" si="8"/>
        <v>35</v>
      </c>
      <c r="J103" s="56">
        <v>35</v>
      </c>
      <c r="K103" s="55"/>
    </row>
    <row r="104" spans="1:20" ht="28.5" customHeight="1">
      <c r="A104" s="224" t="s">
        <v>83</v>
      </c>
      <c r="B104" s="56"/>
      <c r="C104" s="57"/>
      <c r="D104" s="56"/>
      <c r="E104" s="56"/>
      <c r="F104" s="57"/>
      <c r="G104" s="56"/>
      <c r="H104" s="56"/>
      <c r="I104" s="57"/>
      <c r="J104" s="56"/>
      <c r="K104" s="55"/>
    </row>
    <row r="105" spans="1:20" ht="57" customHeight="1">
      <c r="A105" s="48" t="s">
        <v>264</v>
      </c>
      <c r="B105" s="56"/>
      <c r="C105" s="58">
        <f t="shared" si="6"/>
        <v>7.1</v>
      </c>
      <c r="D105" s="58">
        <v>7.1</v>
      </c>
      <c r="E105" s="56"/>
      <c r="F105" s="58">
        <f t="shared" si="7"/>
        <v>10.199999999999999</v>
      </c>
      <c r="G105" s="58">
        <v>10.199999999999999</v>
      </c>
      <c r="H105" s="56"/>
      <c r="I105" s="58">
        <f t="shared" si="8"/>
        <v>15.7</v>
      </c>
      <c r="J105" s="58">
        <v>15.7</v>
      </c>
      <c r="K105" s="55"/>
    </row>
    <row r="106" spans="1:20" ht="47.25" customHeight="1">
      <c r="A106" s="48" t="s">
        <v>265</v>
      </c>
      <c r="B106" s="56"/>
      <c r="C106" s="56">
        <f t="shared" si="6"/>
        <v>10</v>
      </c>
      <c r="D106" s="56">
        <v>10</v>
      </c>
      <c r="E106" s="56"/>
      <c r="F106" s="56">
        <f t="shared" si="7"/>
        <v>12</v>
      </c>
      <c r="G106" s="56">
        <v>12</v>
      </c>
      <c r="H106" s="56"/>
      <c r="I106" s="56">
        <f t="shared" si="8"/>
        <v>12</v>
      </c>
      <c r="J106" s="56">
        <v>12</v>
      </c>
      <c r="K106" s="55"/>
    </row>
    <row r="107" spans="1:20" ht="28.5" customHeight="1">
      <c r="A107" s="215" t="s">
        <v>328</v>
      </c>
      <c r="B107" s="216"/>
      <c r="C107" s="216"/>
      <c r="D107" s="216"/>
      <c r="E107" s="216"/>
      <c r="F107" s="216"/>
      <c r="G107" s="216"/>
      <c r="H107" s="216"/>
      <c r="I107" s="216"/>
      <c r="J107" s="216"/>
      <c r="K107" s="217"/>
    </row>
    <row r="108" spans="1:20" ht="28.5" customHeight="1">
      <c r="A108" s="224" t="s">
        <v>79</v>
      </c>
      <c r="B108" s="224"/>
      <c r="C108" s="224"/>
      <c r="D108" s="224"/>
      <c r="E108" s="224"/>
      <c r="F108" s="224"/>
      <c r="G108" s="224"/>
      <c r="H108" s="224"/>
      <c r="I108" s="224"/>
      <c r="J108" s="224"/>
      <c r="K108" s="224"/>
      <c r="L108" s="488"/>
      <c r="M108" s="488"/>
      <c r="N108" s="488"/>
      <c r="O108" s="488"/>
      <c r="P108" s="488"/>
      <c r="Q108" s="488"/>
      <c r="R108" s="488"/>
      <c r="S108" s="488"/>
      <c r="T108" s="488"/>
    </row>
    <row r="109" spans="1:20" ht="28.5" customHeight="1">
      <c r="A109" s="26" t="s">
        <v>250</v>
      </c>
      <c r="B109" s="55">
        <f>C109+F109+I109</f>
        <v>10220900</v>
      </c>
      <c r="C109" s="55">
        <f>D109+E109</f>
        <v>4158000</v>
      </c>
      <c r="D109" s="55">
        <f>'Додаток 3'!I51*1000</f>
        <v>4158000</v>
      </c>
      <c r="E109" s="55"/>
      <c r="F109" s="55">
        <f>G109+H109</f>
        <v>2950400</v>
      </c>
      <c r="G109" s="55">
        <f>'Додаток 3'!J51*1000</f>
        <v>2950400</v>
      </c>
      <c r="H109" s="55"/>
      <c r="I109" s="55">
        <f>J109+K109</f>
        <v>3112500</v>
      </c>
      <c r="J109" s="55">
        <f>'Додаток 3'!K51*1000</f>
        <v>3112500</v>
      </c>
      <c r="K109" s="55"/>
      <c r="L109" s="489"/>
      <c r="M109" s="489"/>
      <c r="N109" s="489"/>
      <c r="O109" s="489"/>
      <c r="P109" s="489"/>
      <c r="Q109" s="489"/>
      <c r="R109" s="489"/>
      <c r="S109" s="489"/>
      <c r="T109" s="489"/>
    </row>
    <row r="110" spans="1:20" ht="28.5" customHeight="1">
      <c r="A110" s="224" t="s">
        <v>81</v>
      </c>
      <c r="B110" s="56"/>
      <c r="C110" s="56"/>
      <c r="D110" s="59"/>
      <c r="E110" s="56"/>
      <c r="F110" s="56"/>
      <c r="G110" s="56"/>
      <c r="H110" s="56"/>
      <c r="I110" s="56"/>
      <c r="J110" s="56"/>
      <c r="K110" s="55"/>
    </row>
    <row r="111" spans="1:20" ht="32.25" customHeight="1">
      <c r="A111" s="52" t="s">
        <v>345</v>
      </c>
      <c r="B111" s="56"/>
      <c r="C111" s="56">
        <f>D111</f>
        <v>750</v>
      </c>
      <c r="D111" s="56">
        <v>750</v>
      </c>
      <c r="E111" s="56"/>
      <c r="F111" s="56">
        <f>G111</f>
        <v>750</v>
      </c>
      <c r="G111" s="56">
        <v>750</v>
      </c>
      <c r="H111" s="56"/>
      <c r="I111" s="56">
        <f>J111</f>
        <v>750</v>
      </c>
      <c r="J111" s="56">
        <v>750</v>
      </c>
      <c r="K111" s="55"/>
    </row>
    <row r="112" spans="1:20" ht="57" customHeight="1">
      <c r="A112" s="52" t="s">
        <v>269</v>
      </c>
      <c r="B112" s="56"/>
      <c r="C112" s="58">
        <f>D112</f>
        <v>16.5</v>
      </c>
      <c r="D112" s="58">
        <v>16.5</v>
      </c>
      <c r="E112" s="58"/>
      <c r="F112" s="58">
        <f>G112</f>
        <v>16.5</v>
      </c>
      <c r="G112" s="58">
        <v>16.5</v>
      </c>
      <c r="H112" s="58"/>
      <c r="I112" s="58">
        <f>J112</f>
        <v>16.5</v>
      </c>
      <c r="J112" s="58">
        <v>16.5</v>
      </c>
      <c r="K112" s="55"/>
    </row>
    <row r="113" spans="1:11" ht="28.5" customHeight="1">
      <c r="A113" s="224" t="s">
        <v>82</v>
      </c>
      <c r="B113" s="56"/>
      <c r="C113" s="56"/>
      <c r="D113" s="56"/>
      <c r="E113" s="56"/>
      <c r="F113" s="56"/>
      <c r="G113" s="56"/>
      <c r="H113" s="56"/>
      <c r="I113" s="56"/>
      <c r="J113" s="56"/>
      <c r="K113" s="55"/>
    </row>
    <row r="114" spans="1:11" ht="28.5" customHeight="1">
      <c r="A114" s="26" t="s">
        <v>266</v>
      </c>
      <c r="B114" s="56"/>
      <c r="C114" s="56">
        <f>D114</f>
        <v>5544</v>
      </c>
      <c r="D114" s="56">
        <f>D109/D111</f>
        <v>5544</v>
      </c>
      <c r="E114" s="56"/>
      <c r="F114" s="56">
        <f>G114</f>
        <v>3933.8666666666668</v>
      </c>
      <c r="G114" s="56">
        <f>G109/G111</f>
        <v>3933.8666666666668</v>
      </c>
      <c r="H114" s="56"/>
      <c r="I114" s="56">
        <f>J114</f>
        <v>4150</v>
      </c>
      <c r="J114" s="56">
        <f>J109/J111</f>
        <v>4150</v>
      </c>
      <c r="K114" s="55"/>
    </row>
    <row r="115" spans="1:11" ht="28.5" customHeight="1">
      <c r="A115" s="26" t="s">
        <v>346</v>
      </c>
      <c r="B115" s="56"/>
      <c r="C115" s="56">
        <f>D115</f>
        <v>252000</v>
      </c>
      <c r="D115" s="56">
        <f>D109/D112</f>
        <v>252000</v>
      </c>
      <c r="E115" s="56"/>
      <c r="F115" s="56">
        <f>G115</f>
        <v>178812.12121212122</v>
      </c>
      <c r="G115" s="56">
        <f>G109/G112</f>
        <v>178812.12121212122</v>
      </c>
      <c r="H115" s="56"/>
      <c r="I115" s="56">
        <f>J115</f>
        <v>188636.36363636365</v>
      </c>
      <c r="J115" s="56">
        <f>J109/J112</f>
        <v>188636.36363636365</v>
      </c>
      <c r="K115" s="55"/>
    </row>
    <row r="116" spans="1:11" ht="28.5" customHeight="1">
      <c r="A116" s="224" t="s">
        <v>83</v>
      </c>
      <c r="B116" s="56"/>
      <c r="C116" s="56"/>
      <c r="D116" s="56"/>
      <c r="E116" s="56"/>
      <c r="F116" s="56"/>
      <c r="G116" s="56"/>
      <c r="H116" s="56"/>
      <c r="I116" s="56"/>
      <c r="J116" s="56"/>
      <c r="K116" s="55"/>
    </row>
    <row r="117" spans="1:11" ht="28.5" customHeight="1">
      <c r="A117" s="26" t="s">
        <v>267</v>
      </c>
      <c r="B117" s="56"/>
      <c r="C117" s="56">
        <f>D117</f>
        <v>100</v>
      </c>
      <c r="D117" s="56">
        <v>100</v>
      </c>
      <c r="E117" s="56"/>
      <c r="F117" s="56">
        <f>G117</f>
        <v>100</v>
      </c>
      <c r="G117" s="56">
        <v>100</v>
      </c>
      <c r="H117" s="56"/>
      <c r="I117" s="56">
        <f>J117</f>
        <v>100</v>
      </c>
      <c r="J117" s="56">
        <v>100</v>
      </c>
      <c r="K117" s="55"/>
    </row>
    <row r="118" spans="1:11" ht="28.5" customHeight="1">
      <c r="A118" s="475" t="s">
        <v>329</v>
      </c>
      <c r="B118" s="476"/>
      <c r="C118" s="476"/>
      <c r="D118" s="476"/>
      <c r="E118" s="476"/>
      <c r="F118" s="476"/>
      <c r="G118" s="476"/>
      <c r="H118" s="476"/>
      <c r="I118" s="476"/>
      <c r="J118" s="476"/>
      <c r="K118" s="477"/>
    </row>
    <row r="119" spans="1:11" ht="28.5" customHeight="1">
      <c r="A119" s="224" t="s">
        <v>79</v>
      </c>
      <c r="B119" s="224"/>
      <c r="C119" s="224"/>
      <c r="D119" s="224"/>
      <c r="E119" s="224"/>
      <c r="F119" s="224"/>
      <c r="G119" s="224"/>
      <c r="H119" s="224"/>
      <c r="I119" s="224"/>
      <c r="J119" s="224"/>
      <c r="K119" s="224"/>
    </row>
    <row r="120" spans="1:11" ht="28.5" customHeight="1">
      <c r="A120" s="26" t="s">
        <v>268</v>
      </c>
      <c r="B120" s="55">
        <f>C120+F120+I120</f>
        <v>1200000</v>
      </c>
      <c r="C120" s="55">
        <f>D120+E120</f>
        <v>1200000</v>
      </c>
      <c r="D120" s="55">
        <f>'Додаток 3'!I55*1000</f>
        <v>1200000</v>
      </c>
      <c r="E120" s="55"/>
      <c r="F120" s="55"/>
      <c r="G120" s="55"/>
      <c r="H120" s="55"/>
      <c r="I120" s="55"/>
      <c r="J120" s="55"/>
      <c r="K120" s="55"/>
    </row>
    <row r="121" spans="1:11" ht="51.75" customHeight="1">
      <c r="A121" s="26" t="s">
        <v>347</v>
      </c>
      <c r="B121" s="56"/>
      <c r="C121" s="56">
        <f>D121</f>
        <v>1000000</v>
      </c>
      <c r="D121" s="56">
        <f>'Додаток 3'!I56*1000</f>
        <v>1000000</v>
      </c>
      <c r="E121" s="56"/>
      <c r="F121" s="56"/>
      <c r="G121" s="56"/>
      <c r="H121" s="56"/>
      <c r="I121" s="56"/>
      <c r="J121" s="56"/>
      <c r="K121" s="55"/>
    </row>
    <row r="122" spans="1:11" ht="33.75" customHeight="1">
      <c r="A122" s="26" t="s">
        <v>348</v>
      </c>
      <c r="B122" s="56"/>
      <c r="C122" s="56">
        <f>D122</f>
        <v>200000</v>
      </c>
      <c r="D122" s="56">
        <f>'Додаток 3'!I57*1000</f>
        <v>200000</v>
      </c>
      <c r="E122" s="56"/>
      <c r="F122" s="56"/>
      <c r="G122" s="56"/>
      <c r="H122" s="56"/>
      <c r="I122" s="56"/>
      <c r="J122" s="56"/>
      <c r="K122" s="55"/>
    </row>
    <row r="123" spans="1:11" ht="28.5" customHeight="1">
      <c r="A123" s="224" t="s">
        <v>81</v>
      </c>
      <c r="B123" s="56"/>
      <c r="C123" s="56"/>
      <c r="D123" s="56"/>
      <c r="E123" s="56"/>
      <c r="F123" s="56"/>
      <c r="G123" s="56"/>
      <c r="H123" s="56"/>
      <c r="I123" s="56"/>
      <c r="J123" s="56"/>
      <c r="K123" s="55"/>
    </row>
    <row r="124" spans="1:11" ht="60.75" customHeight="1">
      <c r="A124" s="53" t="s">
        <v>349</v>
      </c>
      <c r="B124" s="56"/>
      <c r="C124" s="56">
        <v>22</v>
      </c>
      <c r="D124" s="56">
        <v>22</v>
      </c>
      <c r="E124" s="56"/>
      <c r="F124" s="56"/>
      <c r="G124" s="56"/>
      <c r="H124" s="56"/>
      <c r="I124" s="56"/>
      <c r="J124" s="56"/>
      <c r="K124" s="55"/>
    </row>
    <row r="125" spans="1:11" ht="45.75" customHeight="1">
      <c r="A125" s="53" t="s">
        <v>350</v>
      </c>
      <c r="B125" s="56"/>
      <c r="C125" s="56">
        <f>D125</f>
        <v>10</v>
      </c>
      <c r="D125" s="56">
        <v>10</v>
      </c>
      <c r="E125" s="56"/>
      <c r="F125" s="56"/>
      <c r="G125" s="56"/>
      <c r="H125" s="56"/>
      <c r="I125" s="56"/>
      <c r="J125" s="56"/>
      <c r="K125" s="55"/>
    </row>
    <row r="126" spans="1:11" ht="28.5" customHeight="1">
      <c r="A126" s="224" t="s">
        <v>82</v>
      </c>
      <c r="B126" s="56"/>
      <c r="C126" s="56"/>
      <c r="D126" s="56"/>
      <c r="E126" s="56"/>
      <c r="F126" s="56"/>
      <c r="G126" s="56"/>
      <c r="H126" s="56"/>
      <c r="I126" s="56"/>
      <c r="J126" s="56"/>
      <c r="K126" s="55"/>
    </row>
    <row r="127" spans="1:11" ht="53.25" customHeight="1">
      <c r="A127" s="51" t="s">
        <v>351</v>
      </c>
      <c r="B127" s="56"/>
      <c r="C127" s="56">
        <f>C121/C124</f>
        <v>45454.545454545456</v>
      </c>
      <c r="D127" s="56">
        <f>D121/D124</f>
        <v>45454.545454545456</v>
      </c>
      <c r="E127" s="56"/>
      <c r="F127" s="56"/>
      <c r="G127" s="56"/>
      <c r="H127" s="56"/>
      <c r="I127" s="56"/>
      <c r="J127" s="56"/>
      <c r="K127" s="55"/>
    </row>
    <row r="128" spans="1:11" ht="54.75" customHeight="1">
      <c r="A128" s="51" t="s">
        <v>352</v>
      </c>
      <c r="B128" s="56"/>
      <c r="C128" s="56">
        <f>C122/C125</f>
        <v>20000</v>
      </c>
      <c r="D128" s="56">
        <f>D122/D125</f>
        <v>20000</v>
      </c>
      <c r="E128" s="56"/>
      <c r="F128" s="56"/>
      <c r="G128" s="56"/>
      <c r="H128" s="56"/>
      <c r="I128" s="56"/>
      <c r="J128" s="56"/>
      <c r="K128" s="55"/>
    </row>
    <row r="129" spans="1:11" ht="28.5" customHeight="1">
      <c r="A129" s="475" t="s">
        <v>378</v>
      </c>
      <c r="B129" s="476"/>
      <c r="C129" s="476"/>
      <c r="D129" s="476"/>
      <c r="E129" s="476"/>
      <c r="F129" s="476"/>
      <c r="G129" s="476"/>
      <c r="H129" s="476"/>
      <c r="I129" s="476"/>
      <c r="J129" s="476"/>
      <c r="K129" s="477"/>
    </row>
    <row r="130" spans="1:11" ht="28.5" customHeight="1">
      <c r="A130" s="224" t="s">
        <v>79</v>
      </c>
      <c r="B130" s="224"/>
      <c r="C130" s="224"/>
      <c r="D130" s="224"/>
      <c r="E130" s="224"/>
      <c r="F130" s="224"/>
      <c r="G130" s="224"/>
      <c r="H130" s="224"/>
      <c r="I130" s="224"/>
      <c r="J130" s="224"/>
      <c r="K130" s="224"/>
    </row>
    <row r="131" spans="1:11" ht="28.5" customHeight="1">
      <c r="A131" s="26" t="s">
        <v>270</v>
      </c>
      <c r="B131" s="55">
        <f>C131+F131+I131</f>
        <v>5031800</v>
      </c>
      <c r="C131" s="55">
        <f>D131+E131</f>
        <v>1593000</v>
      </c>
      <c r="D131" s="55">
        <f>'Додаток 3'!I58*1000</f>
        <v>1593000</v>
      </c>
      <c r="E131" s="55"/>
      <c r="F131" s="55">
        <f>G131+H131</f>
        <v>1677500</v>
      </c>
      <c r="G131" s="55">
        <f>'Додаток 3'!J58*1000</f>
        <v>1677500</v>
      </c>
      <c r="H131" s="55"/>
      <c r="I131" s="55">
        <f>J131+K131</f>
        <v>1761300</v>
      </c>
      <c r="J131" s="55">
        <f>'Додаток 3'!K58*1000</f>
        <v>1761300</v>
      </c>
      <c r="K131" s="55"/>
    </row>
    <row r="132" spans="1:11" ht="54.75" customHeight="1">
      <c r="A132" s="26" t="s">
        <v>353</v>
      </c>
      <c r="B132" s="56"/>
      <c r="C132" s="56">
        <f>D132</f>
        <v>110000</v>
      </c>
      <c r="D132" s="56">
        <f>'Додаток 3'!I59*1000</f>
        <v>110000</v>
      </c>
      <c r="E132" s="56"/>
      <c r="F132" s="56">
        <f t="shared" ref="F132:F134" si="9">G132</f>
        <v>112000</v>
      </c>
      <c r="G132" s="56">
        <f>'Додаток 3'!J59*1000</f>
        <v>112000</v>
      </c>
      <c r="H132" s="56"/>
      <c r="I132" s="56">
        <f t="shared" ref="I132:I134" si="10">J132</f>
        <v>117400</v>
      </c>
      <c r="J132" s="56">
        <f>'Додаток 3'!K59*1000</f>
        <v>117400</v>
      </c>
      <c r="K132" s="55"/>
    </row>
    <row r="133" spans="1:11" ht="49.5" customHeight="1">
      <c r="A133" s="26" t="s">
        <v>354</v>
      </c>
      <c r="B133" s="56"/>
      <c r="C133" s="56">
        <f t="shared" ref="C133:C134" si="11">D133</f>
        <v>527200</v>
      </c>
      <c r="D133" s="56">
        <f>'Додаток 3'!I60*1000</f>
        <v>527200</v>
      </c>
      <c r="E133" s="56"/>
      <c r="F133" s="56">
        <f t="shared" si="9"/>
        <v>559100</v>
      </c>
      <c r="G133" s="56">
        <f>'Додаток 3'!J60*1000</f>
        <v>559100</v>
      </c>
      <c r="H133" s="56"/>
      <c r="I133" s="56">
        <f t="shared" si="10"/>
        <v>587100</v>
      </c>
      <c r="J133" s="56">
        <f>'Додаток 3'!K60*1000</f>
        <v>587100</v>
      </c>
      <c r="K133" s="55"/>
    </row>
    <row r="134" spans="1:11" ht="83.25" customHeight="1">
      <c r="A134" s="26" t="s">
        <v>355</v>
      </c>
      <c r="B134" s="56"/>
      <c r="C134" s="56">
        <f t="shared" si="11"/>
        <v>955800</v>
      </c>
      <c r="D134" s="56">
        <f>'Додаток 3'!I61*1000</f>
        <v>955800</v>
      </c>
      <c r="E134" s="56"/>
      <c r="F134" s="56">
        <f t="shared" si="9"/>
        <v>1006400</v>
      </c>
      <c r="G134" s="56">
        <f>'Додаток 3'!J61*1000</f>
        <v>1006400</v>
      </c>
      <c r="H134" s="56"/>
      <c r="I134" s="56">
        <f t="shared" si="10"/>
        <v>1056800</v>
      </c>
      <c r="J134" s="56">
        <f>'Додаток 3'!K61*1000</f>
        <v>1056800</v>
      </c>
      <c r="K134" s="55"/>
    </row>
    <row r="135" spans="1:11" ht="28.5" customHeight="1">
      <c r="A135" s="224" t="s">
        <v>81</v>
      </c>
      <c r="B135" s="56"/>
      <c r="C135" s="56"/>
      <c r="D135" s="56"/>
      <c r="E135" s="56"/>
      <c r="F135" s="56"/>
      <c r="G135" s="56"/>
      <c r="H135" s="56"/>
      <c r="I135" s="56"/>
      <c r="J135" s="56"/>
      <c r="K135" s="55"/>
    </row>
    <row r="136" spans="1:11" ht="47.25" customHeight="1">
      <c r="A136" s="26" t="s">
        <v>356</v>
      </c>
      <c r="B136" s="56"/>
      <c r="C136" s="56">
        <f>D136</f>
        <v>75</v>
      </c>
      <c r="D136" s="56">
        <v>75</v>
      </c>
      <c r="E136" s="56"/>
      <c r="F136" s="56">
        <f>G136</f>
        <v>75</v>
      </c>
      <c r="G136" s="56">
        <v>75</v>
      </c>
      <c r="H136" s="56"/>
      <c r="I136" s="56">
        <f>J136</f>
        <v>75</v>
      </c>
      <c r="J136" s="56">
        <v>75</v>
      </c>
      <c r="K136" s="55"/>
    </row>
    <row r="137" spans="1:11" ht="54.75" customHeight="1">
      <c r="A137" s="26" t="s">
        <v>357</v>
      </c>
      <c r="B137" s="56"/>
      <c r="C137" s="56">
        <f t="shared" ref="C137:C138" si="12">D137</f>
        <v>1</v>
      </c>
      <c r="D137" s="56">
        <v>1</v>
      </c>
      <c r="E137" s="56"/>
      <c r="F137" s="56">
        <f t="shared" ref="F137:F138" si="13">G137</f>
        <v>1</v>
      </c>
      <c r="G137" s="56">
        <v>1</v>
      </c>
      <c r="H137" s="56"/>
      <c r="I137" s="56">
        <f t="shared" ref="I137:I138" si="14">J137</f>
        <v>1</v>
      </c>
      <c r="J137" s="56">
        <v>1</v>
      </c>
      <c r="K137" s="55"/>
    </row>
    <row r="138" spans="1:11" ht="47.25" customHeight="1">
      <c r="A138" s="26" t="s">
        <v>358</v>
      </c>
      <c r="B138" s="56"/>
      <c r="C138" s="56">
        <f t="shared" si="12"/>
        <v>5</v>
      </c>
      <c r="D138" s="56">
        <v>5</v>
      </c>
      <c r="E138" s="56"/>
      <c r="F138" s="56">
        <f t="shared" si="13"/>
        <v>5</v>
      </c>
      <c r="G138" s="56">
        <v>5</v>
      </c>
      <c r="H138" s="56"/>
      <c r="I138" s="56">
        <f t="shared" si="14"/>
        <v>5</v>
      </c>
      <c r="J138" s="56">
        <v>5</v>
      </c>
      <c r="K138" s="55"/>
    </row>
    <row r="139" spans="1:11" ht="28.5" customHeight="1">
      <c r="A139" s="224" t="s">
        <v>82</v>
      </c>
      <c r="B139" s="56"/>
      <c r="C139" s="56"/>
      <c r="D139" s="56"/>
      <c r="E139" s="56"/>
      <c r="F139" s="56"/>
      <c r="G139" s="56"/>
      <c r="H139" s="56"/>
      <c r="I139" s="56"/>
      <c r="J139" s="56"/>
      <c r="K139" s="55"/>
    </row>
    <row r="140" spans="1:11" ht="49.5" customHeight="1">
      <c r="A140" s="26" t="s">
        <v>359</v>
      </c>
      <c r="B140" s="56"/>
      <c r="C140" s="56">
        <f>D140</f>
        <v>1466.6666666666667</v>
      </c>
      <c r="D140" s="56">
        <f>D132/D136</f>
        <v>1466.6666666666667</v>
      </c>
      <c r="E140" s="56"/>
      <c r="F140" s="56"/>
      <c r="G140" s="56">
        <f>G132/G136</f>
        <v>1493.3333333333333</v>
      </c>
      <c r="H140" s="56"/>
      <c r="I140" s="56">
        <f>J140</f>
        <v>1565.3333333333333</v>
      </c>
      <c r="J140" s="56">
        <f>J132/J136</f>
        <v>1565.3333333333333</v>
      </c>
      <c r="K140" s="55"/>
    </row>
    <row r="141" spans="1:11" ht="60" customHeight="1">
      <c r="A141" s="51" t="s">
        <v>360</v>
      </c>
      <c r="B141" s="56"/>
      <c r="C141" s="56">
        <f t="shared" ref="C141:C142" si="15">D141</f>
        <v>527200</v>
      </c>
      <c r="D141" s="56">
        <f>D133/D137</f>
        <v>527200</v>
      </c>
      <c r="E141" s="56"/>
      <c r="F141" s="56"/>
      <c r="G141" s="56">
        <f>G133/G137</f>
        <v>559100</v>
      </c>
      <c r="H141" s="56"/>
      <c r="I141" s="56">
        <f t="shared" ref="I141:I142" si="16">J141</f>
        <v>587100</v>
      </c>
      <c r="J141" s="56">
        <f>J133/J137</f>
        <v>587100</v>
      </c>
      <c r="K141" s="55"/>
    </row>
    <row r="142" spans="1:11" ht="77.25" customHeight="1">
      <c r="A142" s="51" t="s">
        <v>361</v>
      </c>
      <c r="B142" s="56"/>
      <c r="C142" s="56">
        <f t="shared" si="15"/>
        <v>191160</v>
      </c>
      <c r="D142" s="56">
        <f>D134/D138</f>
        <v>191160</v>
      </c>
      <c r="E142" s="56"/>
      <c r="F142" s="56"/>
      <c r="G142" s="56">
        <f>G134/G138</f>
        <v>201280</v>
      </c>
      <c r="H142" s="56"/>
      <c r="I142" s="56">
        <f t="shared" si="16"/>
        <v>211360</v>
      </c>
      <c r="J142" s="56">
        <f>J134/J138</f>
        <v>211360</v>
      </c>
      <c r="K142" s="55"/>
    </row>
    <row r="143" spans="1:11" ht="28.5" customHeight="1">
      <c r="A143" s="224" t="s">
        <v>83</v>
      </c>
      <c r="B143" s="56"/>
      <c r="C143" s="56"/>
      <c r="D143" s="56"/>
      <c r="E143" s="56"/>
      <c r="F143" s="56"/>
      <c r="G143" s="56"/>
      <c r="H143" s="56"/>
      <c r="I143" s="56"/>
      <c r="J143" s="56"/>
      <c r="K143" s="55"/>
    </row>
    <row r="144" spans="1:11" ht="73.5" customHeight="1">
      <c r="A144" s="26" t="s">
        <v>204</v>
      </c>
      <c r="B144" s="56"/>
      <c r="C144" s="56">
        <f>D144</f>
        <v>106.2</v>
      </c>
      <c r="D144" s="56">
        <f>D131/1500000*100</f>
        <v>106.2</v>
      </c>
      <c r="E144" s="56"/>
      <c r="F144" s="56">
        <f>G144</f>
        <v>105.30445699937225</v>
      </c>
      <c r="G144" s="56">
        <f>G131/D131*100</f>
        <v>105.30445699937225</v>
      </c>
      <c r="H144" s="56"/>
      <c r="I144" s="56">
        <f>J144</f>
        <v>104.99552906110283</v>
      </c>
      <c r="J144" s="56">
        <f>J131/G131*100</f>
        <v>104.99552906110283</v>
      </c>
      <c r="K144" s="55"/>
    </row>
    <row r="145" spans="1:11" ht="32.25" customHeight="1">
      <c r="A145" s="475" t="s">
        <v>391</v>
      </c>
      <c r="B145" s="476"/>
      <c r="C145" s="476"/>
      <c r="D145" s="476"/>
      <c r="E145" s="476"/>
      <c r="F145" s="476"/>
      <c r="G145" s="476"/>
      <c r="H145" s="476"/>
      <c r="I145" s="476"/>
      <c r="J145" s="476"/>
      <c r="K145" s="477"/>
    </row>
    <row r="146" spans="1:11" ht="32.25" customHeight="1">
      <c r="A146" s="224" t="s">
        <v>79</v>
      </c>
      <c r="B146" s="80"/>
      <c r="C146" s="80"/>
      <c r="D146" s="80"/>
      <c r="E146" s="80"/>
      <c r="F146" s="80"/>
      <c r="G146" s="80"/>
      <c r="H146" s="80"/>
      <c r="I146" s="80"/>
      <c r="J146" s="80"/>
      <c r="K146" s="80"/>
    </row>
    <row r="147" spans="1:11" ht="51" customHeight="1">
      <c r="A147" s="26" t="s">
        <v>394</v>
      </c>
      <c r="B147" s="55">
        <f>C147</f>
        <v>50000</v>
      </c>
      <c r="C147" s="55">
        <f>D147</f>
        <v>50000</v>
      </c>
      <c r="D147" s="55">
        <f>'Додаток 3'!I62*1000</f>
        <v>50000</v>
      </c>
      <c r="E147" s="80"/>
      <c r="F147" s="80"/>
      <c r="G147" s="80"/>
      <c r="H147" s="80"/>
      <c r="I147" s="80"/>
      <c r="J147" s="80"/>
      <c r="K147" s="80"/>
    </row>
    <row r="148" spans="1:11" ht="33.75" customHeight="1">
      <c r="A148" s="224" t="s">
        <v>81</v>
      </c>
      <c r="B148" s="56"/>
      <c r="C148" s="56"/>
      <c r="D148" s="56"/>
      <c r="E148" s="80"/>
      <c r="F148" s="80"/>
      <c r="G148" s="80"/>
      <c r="H148" s="80"/>
      <c r="I148" s="80"/>
      <c r="J148" s="80"/>
      <c r="K148" s="80"/>
    </row>
    <row r="149" spans="1:11" ht="33.75" customHeight="1">
      <c r="A149" s="26" t="s">
        <v>190</v>
      </c>
      <c r="B149" s="56"/>
      <c r="C149" s="56">
        <v>1</v>
      </c>
      <c r="D149" s="56">
        <v>1</v>
      </c>
      <c r="E149" s="80"/>
      <c r="F149" s="80"/>
      <c r="G149" s="80"/>
      <c r="H149" s="80"/>
      <c r="I149" s="80"/>
      <c r="J149" s="80"/>
      <c r="K149" s="80"/>
    </row>
    <row r="150" spans="1:11" ht="36" customHeight="1">
      <c r="A150" s="224" t="s">
        <v>82</v>
      </c>
      <c r="B150" s="56"/>
      <c r="C150" s="56"/>
      <c r="D150" s="56"/>
      <c r="E150" s="80"/>
      <c r="F150" s="80"/>
      <c r="G150" s="80"/>
      <c r="H150" s="80"/>
      <c r="I150" s="80"/>
      <c r="J150" s="80"/>
      <c r="K150" s="80"/>
    </row>
    <row r="151" spans="1:11" ht="36" customHeight="1">
      <c r="A151" s="26" t="s">
        <v>260</v>
      </c>
      <c r="B151" s="56"/>
      <c r="C151" s="56">
        <f>C147/C149</f>
        <v>50000</v>
      </c>
      <c r="D151" s="56">
        <f>D147/D149</f>
        <v>50000</v>
      </c>
      <c r="E151" s="80"/>
      <c r="F151" s="80"/>
      <c r="G151" s="80"/>
      <c r="H151" s="80"/>
      <c r="I151" s="80"/>
      <c r="J151" s="80"/>
      <c r="K151" s="80"/>
    </row>
    <row r="152" spans="1:11" ht="36" customHeight="1">
      <c r="A152" s="224" t="s">
        <v>83</v>
      </c>
      <c r="B152" s="56"/>
      <c r="C152" s="56"/>
      <c r="D152" s="56"/>
      <c r="E152" s="80"/>
      <c r="F152" s="80"/>
      <c r="G152" s="80"/>
      <c r="H152" s="80"/>
      <c r="I152" s="80"/>
      <c r="J152" s="80"/>
      <c r="K152" s="80"/>
    </row>
    <row r="153" spans="1:11" ht="36" customHeight="1">
      <c r="A153" s="26" t="s">
        <v>210</v>
      </c>
      <c r="B153" s="56"/>
      <c r="C153" s="56">
        <v>100</v>
      </c>
      <c r="D153" s="56">
        <v>100</v>
      </c>
      <c r="E153" s="80"/>
      <c r="F153" s="80"/>
      <c r="G153" s="80"/>
      <c r="H153" s="80"/>
      <c r="I153" s="80"/>
      <c r="J153" s="80"/>
      <c r="K153" s="80"/>
    </row>
    <row r="154" spans="1:11" ht="36" customHeight="1">
      <c r="A154" s="475" t="s">
        <v>418</v>
      </c>
      <c r="B154" s="476"/>
      <c r="C154" s="476"/>
      <c r="D154" s="476"/>
      <c r="E154" s="476"/>
      <c r="F154" s="476"/>
      <c r="G154" s="476"/>
      <c r="H154" s="476"/>
      <c r="I154" s="476"/>
      <c r="J154" s="476"/>
      <c r="K154" s="477"/>
    </row>
    <row r="155" spans="1:11" ht="36" customHeight="1">
      <c r="A155" s="224" t="s">
        <v>79</v>
      </c>
      <c r="B155" s="56"/>
      <c r="C155" s="56"/>
      <c r="D155" s="56"/>
      <c r="E155" s="80"/>
      <c r="F155" s="80"/>
      <c r="G155" s="80"/>
      <c r="H155" s="80"/>
      <c r="I155" s="80"/>
      <c r="J155" s="80"/>
      <c r="K155" s="80"/>
    </row>
    <row r="156" spans="1:11" ht="36" customHeight="1">
      <c r="A156" s="26" t="s">
        <v>185</v>
      </c>
      <c r="B156" s="56">
        <f>C156</f>
        <v>1000000</v>
      </c>
      <c r="C156" s="56">
        <f>D156</f>
        <v>1000000</v>
      </c>
      <c r="D156" s="56">
        <f>'Додаток 3'!I63*1000</f>
        <v>1000000</v>
      </c>
      <c r="E156" s="56"/>
      <c r="F156" s="56"/>
      <c r="G156" s="56"/>
      <c r="H156" s="56"/>
      <c r="I156" s="56"/>
      <c r="J156" s="56"/>
      <c r="K156" s="56"/>
    </row>
    <row r="157" spans="1:11" ht="36" customHeight="1">
      <c r="A157" s="224" t="s">
        <v>81</v>
      </c>
      <c r="B157" s="56"/>
      <c r="C157" s="56"/>
      <c r="D157" s="56"/>
      <c r="E157" s="80"/>
      <c r="F157" s="80"/>
      <c r="G157" s="80"/>
      <c r="H157" s="80"/>
      <c r="I157" s="80"/>
      <c r="J157" s="80"/>
      <c r="K157" s="80"/>
    </row>
    <row r="158" spans="1:11" ht="36" customHeight="1">
      <c r="A158" s="26" t="s">
        <v>430</v>
      </c>
      <c r="B158" s="56"/>
      <c r="C158" s="56">
        <v>2</v>
      </c>
      <c r="D158" s="56">
        <v>2</v>
      </c>
      <c r="E158" s="80"/>
      <c r="F158" s="80"/>
      <c r="G158" s="80"/>
      <c r="H158" s="80"/>
      <c r="I158" s="80"/>
      <c r="J158" s="80"/>
      <c r="K158" s="80"/>
    </row>
    <row r="159" spans="1:11" ht="62.25" customHeight="1">
      <c r="A159" s="26" t="s">
        <v>424</v>
      </c>
      <c r="B159" s="56"/>
      <c r="C159" s="56">
        <f>D159</f>
        <v>60</v>
      </c>
      <c r="D159" s="56">
        <f>50+10</f>
        <v>60</v>
      </c>
      <c r="E159" s="80"/>
      <c r="F159" s="80"/>
      <c r="G159" s="80"/>
      <c r="H159" s="80"/>
      <c r="I159" s="80"/>
      <c r="J159" s="80"/>
      <c r="K159" s="80"/>
    </row>
    <row r="160" spans="1:11" ht="36" customHeight="1">
      <c r="A160" s="224" t="s">
        <v>82</v>
      </c>
      <c r="B160" s="56"/>
      <c r="C160" s="56"/>
      <c r="D160" s="56"/>
      <c r="E160" s="80"/>
      <c r="F160" s="80"/>
      <c r="G160" s="80"/>
      <c r="H160" s="80"/>
      <c r="I160" s="80"/>
      <c r="J160" s="80"/>
      <c r="K160" s="80"/>
    </row>
    <row r="161" spans="1:11" ht="36" customHeight="1">
      <c r="A161" s="26" t="s">
        <v>425</v>
      </c>
      <c r="B161" s="56"/>
      <c r="C161" s="56">
        <f>D161</f>
        <v>16666.666666666668</v>
      </c>
      <c r="D161" s="56">
        <f>D156/D159</f>
        <v>16666.666666666668</v>
      </c>
      <c r="E161" s="80"/>
      <c r="F161" s="80"/>
      <c r="G161" s="80"/>
      <c r="H161" s="80"/>
      <c r="I161" s="80"/>
      <c r="J161" s="80"/>
      <c r="K161" s="80"/>
    </row>
    <row r="162" spans="1:11" ht="28.5" customHeight="1">
      <c r="A162" s="475" t="s">
        <v>330</v>
      </c>
      <c r="B162" s="476"/>
      <c r="C162" s="476"/>
      <c r="D162" s="476"/>
      <c r="E162" s="476"/>
      <c r="F162" s="476"/>
      <c r="G162" s="476"/>
      <c r="H162" s="476"/>
      <c r="I162" s="476"/>
      <c r="J162" s="476"/>
      <c r="K162" s="477"/>
    </row>
    <row r="163" spans="1:11" ht="28.5" customHeight="1">
      <c r="A163" s="478" t="s">
        <v>331</v>
      </c>
      <c r="B163" s="479"/>
      <c r="C163" s="479"/>
      <c r="D163" s="479"/>
      <c r="E163" s="479"/>
      <c r="F163" s="479"/>
      <c r="G163" s="479"/>
      <c r="H163" s="479"/>
      <c r="I163" s="479"/>
      <c r="J163" s="479"/>
      <c r="K163" s="480"/>
    </row>
    <row r="164" spans="1:11" ht="28.5" customHeight="1">
      <c r="A164" s="224" t="s">
        <v>79</v>
      </c>
      <c r="B164" s="224"/>
      <c r="C164" s="224"/>
      <c r="D164" s="224"/>
      <c r="E164" s="224"/>
      <c r="F164" s="224"/>
      <c r="G164" s="224"/>
      <c r="H164" s="224"/>
      <c r="I164" s="224"/>
      <c r="J164" s="224"/>
      <c r="K164" s="224"/>
    </row>
    <row r="165" spans="1:11" ht="28.5" customHeight="1">
      <c r="A165" s="26" t="s">
        <v>271</v>
      </c>
      <c r="B165" s="55">
        <f>C165+F165+I165</f>
        <v>16098000</v>
      </c>
      <c r="C165" s="55">
        <f>D165+E165</f>
        <v>5058300</v>
      </c>
      <c r="D165" s="55">
        <f>('Додаток 3'!I79+'Додаток 3'!I80)*1000</f>
        <v>5058300</v>
      </c>
      <c r="E165" s="55"/>
      <c r="F165" s="55">
        <f>G165+H165</f>
        <v>5366900</v>
      </c>
      <c r="G165" s="55">
        <f>'Додаток 3'!J80*1000</f>
        <v>5366900</v>
      </c>
      <c r="H165" s="55"/>
      <c r="I165" s="55">
        <f>J165+K165</f>
        <v>5672800</v>
      </c>
      <c r="J165" s="55">
        <f>'Додаток 3'!K80*1000</f>
        <v>5672800</v>
      </c>
      <c r="K165" s="55"/>
    </row>
    <row r="166" spans="1:11" ht="28.5" customHeight="1">
      <c r="A166" s="224" t="s">
        <v>124</v>
      </c>
      <c r="B166" s="55"/>
      <c r="C166" s="60"/>
      <c r="D166" s="60"/>
      <c r="E166" s="60"/>
      <c r="F166" s="60"/>
      <c r="G166" s="60"/>
      <c r="H166" s="60"/>
      <c r="I166" s="60"/>
      <c r="J166" s="60"/>
      <c r="K166" s="55"/>
    </row>
    <row r="167" spans="1:11" ht="28.5" customHeight="1">
      <c r="A167" s="26" t="s">
        <v>190</v>
      </c>
      <c r="B167" s="55"/>
      <c r="C167" s="56">
        <v>1</v>
      </c>
      <c r="D167" s="56">
        <v>1</v>
      </c>
      <c r="E167" s="55"/>
      <c r="F167" s="56">
        <v>1</v>
      </c>
      <c r="G167" s="56">
        <v>1</v>
      </c>
      <c r="H167" s="56"/>
      <c r="I167" s="56">
        <v>1</v>
      </c>
      <c r="J167" s="56">
        <v>1</v>
      </c>
      <c r="K167" s="55"/>
    </row>
    <row r="168" spans="1:11" ht="28.5" customHeight="1">
      <c r="A168" s="224" t="s">
        <v>82</v>
      </c>
      <c r="B168" s="55"/>
      <c r="C168" s="56"/>
      <c r="D168" s="56"/>
      <c r="E168" s="56"/>
      <c r="F168" s="56"/>
      <c r="G168" s="56"/>
      <c r="H168" s="56"/>
      <c r="I168" s="56"/>
      <c r="J168" s="56"/>
      <c r="K168" s="55"/>
    </row>
    <row r="169" spans="1:11" ht="28.5" customHeight="1">
      <c r="A169" s="26" t="s">
        <v>260</v>
      </c>
      <c r="B169" s="55"/>
      <c r="C169" s="56">
        <f>C165/C167</f>
        <v>5058300</v>
      </c>
      <c r="D169" s="56">
        <f>D165/D167</f>
        <v>5058300</v>
      </c>
      <c r="E169" s="56"/>
      <c r="F169" s="56">
        <f t="shared" ref="F169:J169" si="17">F165/F167</f>
        <v>5366900</v>
      </c>
      <c r="G169" s="56">
        <f t="shared" si="17"/>
        <v>5366900</v>
      </c>
      <c r="H169" s="56"/>
      <c r="I169" s="56">
        <f t="shared" si="17"/>
        <v>5672800</v>
      </c>
      <c r="J169" s="56">
        <f t="shared" si="17"/>
        <v>5672800</v>
      </c>
      <c r="K169" s="55"/>
    </row>
    <row r="170" spans="1:11" ht="28.5" customHeight="1">
      <c r="A170" s="224" t="s">
        <v>83</v>
      </c>
      <c r="B170" s="56"/>
      <c r="C170" s="56"/>
      <c r="D170" s="56"/>
      <c r="E170" s="56"/>
      <c r="F170" s="56"/>
      <c r="G170" s="56"/>
      <c r="H170" s="56"/>
      <c r="I170" s="56"/>
      <c r="J170" s="56"/>
      <c r="K170" s="55"/>
    </row>
    <row r="171" spans="1:11" ht="28.5" customHeight="1">
      <c r="A171" s="26" t="s">
        <v>210</v>
      </c>
      <c r="B171" s="56"/>
      <c r="C171" s="56">
        <v>100</v>
      </c>
      <c r="D171" s="56">
        <v>100</v>
      </c>
      <c r="E171" s="56"/>
      <c r="F171" s="56">
        <v>100</v>
      </c>
      <c r="G171" s="56">
        <v>100</v>
      </c>
      <c r="H171" s="56"/>
      <c r="I171" s="56">
        <v>100</v>
      </c>
      <c r="J171" s="56">
        <v>100</v>
      </c>
      <c r="K171" s="55"/>
    </row>
    <row r="172" spans="1:11" ht="75.75" customHeight="1">
      <c r="A172" s="26" t="s">
        <v>252</v>
      </c>
      <c r="B172" s="56"/>
      <c r="C172" s="56">
        <f>D172</f>
        <v>129.42260421829212</v>
      </c>
      <c r="D172" s="56">
        <f>D165/3908359*100</f>
        <v>129.42260421829212</v>
      </c>
      <c r="E172" s="56"/>
      <c r="F172" s="56">
        <f>G172</f>
        <v>106.10086392661566</v>
      </c>
      <c r="G172" s="56">
        <f>G165/D165*100</f>
        <v>106.10086392661566</v>
      </c>
      <c r="H172" s="56"/>
      <c r="I172" s="56">
        <f>J172</f>
        <v>105.69975218468761</v>
      </c>
      <c r="J172" s="56">
        <f>J165/G165*100</f>
        <v>105.69975218468761</v>
      </c>
      <c r="K172" s="55"/>
    </row>
    <row r="173" spans="1:11" ht="28.5" customHeight="1">
      <c r="A173" s="475" t="s">
        <v>332</v>
      </c>
      <c r="B173" s="476"/>
      <c r="C173" s="476"/>
      <c r="D173" s="476"/>
      <c r="E173" s="476"/>
      <c r="F173" s="476"/>
      <c r="G173" s="476"/>
      <c r="H173" s="476"/>
      <c r="I173" s="476"/>
      <c r="J173" s="476"/>
      <c r="K173" s="477"/>
    </row>
    <row r="174" spans="1:11" ht="28.5" customHeight="1">
      <c r="A174" s="478" t="s">
        <v>333</v>
      </c>
      <c r="B174" s="479"/>
      <c r="C174" s="479"/>
      <c r="D174" s="479"/>
      <c r="E174" s="479"/>
      <c r="F174" s="479"/>
      <c r="G174" s="479"/>
      <c r="H174" s="479"/>
      <c r="I174" s="479"/>
      <c r="J174" s="479"/>
      <c r="K174" s="480"/>
    </row>
    <row r="175" spans="1:11" ht="28.5" customHeight="1">
      <c r="A175" s="224" t="s">
        <v>79</v>
      </c>
      <c r="B175" s="224"/>
      <c r="C175" s="224"/>
      <c r="D175" s="224"/>
      <c r="E175" s="224"/>
      <c r="F175" s="224"/>
      <c r="G175" s="224"/>
      <c r="H175" s="224"/>
      <c r="I175" s="224"/>
      <c r="J175" s="224"/>
      <c r="K175" s="224"/>
    </row>
    <row r="176" spans="1:11" ht="28.5" customHeight="1">
      <c r="A176" s="26" t="s">
        <v>271</v>
      </c>
      <c r="B176" s="55">
        <f>C176+F176+I176</f>
        <v>28153400</v>
      </c>
      <c r="C176" s="55">
        <f>D176+E176</f>
        <v>12063100</v>
      </c>
      <c r="D176" s="55">
        <f>'Додаток 3'!I84*1000</f>
        <v>12063100</v>
      </c>
      <c r="E176" s="55"/>
      <c r="F176" s="55">
        <f>G176+H176</f>
        <v>7786200</v>
      </c>
      <c r="G176" s="55">
        <f>'Додаток 3'!J84*1000</f>
        <v>7786200</v>
      </c>
      <c r="H176" s="55"/>
      <c r="I176" s="55">
        <f>J176+K176</f>
        <v>8304100</v>
      </c>
      <c r="J176" s="55">
        <f>'Додаток 3'!K84*1000</f>
        <v>8304100</v>
      </c>
      <c r="K176" s="55"/>
    </row>
    <row r="177" spans="1:11" ht="28.5" customHeight="1">
      <c r="A177" s="26" t="s">
        <v>190</v>
      </c>
      <c r="B177" s="55"/>
      <c r="C177" s="56">
        <v>1</v>
      </c>
      <c r="D177" s="56">
        <v>1</v>
      </c>
      <c r="E177" s="56"/>
      <c r="F177" s="56">
        <v>1</v>
      </c>
      <c r="G177" s="56">
        <v>1</v>
      </c>
      <c r="H177" s="56"/>
      <c r="I177" s="56">
        <v>1</v>
      </c>
      <c r="J177" s="56">
        <v>1</v>
      </c>
      <c r="K177" s="56"/>
    </row>
    <row r="178" spans="1:11" ht="28.5" customHeight="1">
      <c r="A178" s="26" t="s">
        <v>198</v>
      </c>
      <c r="B178" s="55"/>
      <c r="C178" s="58">
        <f>D178</f>
        <v>63.5</v>
      </c>
      <c r="D178" s="58">
        <v>63.5</v>
      </c>
      <c r="E178" s="56"/>
      <c r="F178" s="58">
        <f>G178</f>
        <v>63.5</v>
      </c>
      <c r="G178" s="58">
        <v>63.5</v>
      </c>
      <c r="H178" s="56"/>
      <c r="I178" s="58">
        <f>J178</f>
        <v>63.5</v>
      </c>
      <c r="J178" s="58">
        <v>63.5</v>
      </c>
      <c r="K178" s="56"/>
    </row>
    <row r="179" spans="1:11" ht="28.5" customHeight="1">
      <c r="A179" s="26" t="s">
        <v>234</v>
      </c>
      <c r="B179" s="55"/>
      <c r="C179" s="58">
        <f t="shared" ref="C179:C183" si="18">D179</f>
        <v>22.5</v>
      </c>
      <c r="D179" s="58">
        <v>22.5</v>
      </c>
      <c r="E179" s="56"/>
      <c r="F179" s="58">
        <f t="shared" ref="F179:F183" si="19">G179</f>
        <v>22.5</v>
      </c>
      <c r="G179" s="58">
        <v>22.5</v>
      </c>
      <c r="H179" s="56"/>
      <c r="I179" s="58">
        <f t="shared" ref="I179:I183" si="20">J179</f>
        <v>22.5</v>
      </c>
      <c r="J179" s="58">
        <v>22.5</v>
      </c>
      <c r="K179" s="56"/>
    </row>
    <row r="180" spans="1:11" ht="28.5" customHeight="1">
      <c r="A180" s="224" t="s">
        <v>124</v>
      </c>
      <c r="B180" s="55"/>
      <c r="C180" s="58"/>
      <c r="D180" s="61"/>
      <c r="E180" s="56"/>
      <c r="F180" s="56"/>
      <c r="G180" s="56"/>
      <c r="H180" s="56"/>
      <c r="I180" s="56">
        <f t="shared" si="20"/>
        <v>0</v>
      </c>
      <c r="J180" s="56"/>
      <c r="K180" s="56"/>
    </row>
    <row r="181" spans="1:11" ht="28.5" customHeight="1">
      <c r="A181" s="26" t="s">
        <v>191</v>
      </c>
      <c r="B181" s="55"/>
      <c r="C181" s="56">
        <f t="shared" si="18"/>
        <v>32550</v>
      </c>
      <c r="D181" s="56">
        <v>32550</v>
      </c>
      <c r="E181" s="56"/>
      <c r="F181" s="56">
        <f t="shared" si="19"/>
        <v>32850</v>
      </c>
      <c r="G181" s="56">
        <v>32850</v>
      </c>
      <c r="H181" s="56"/>
      <c r="I181" s="56">
        <f t="shared" si="20"/>
        <v>33000</v>
      </c>
      <c r="J181" s="56">
        <v>33000</v>
      </c>
      <c r="K181" s="56"/>
    </row>
    <row r="182" spans="1:11" ht="28.5" customHeight="1">
      <c r="A182" s="26" t="s">
        <v>235</v>
      </c>
      <c r="B182" s="55"/>
      <c r="C182" s="56">
        <f t="shared" si="18"/>
        <v>8600</v>
      </c>
      <c r="D182" s="56">
        <v>8600</v>
      </c>
      <c r="E182" s="56"/>
      <c r="F182" s="56">
        <f t="shared" si="19"/>
        <v>8700</v>
      </c>
      <c r="G182" s="56">
        <v>8700</v>
      </c>
      <c r="H182" s="56"/>
      <c r="I182" s="56">
        <f t="shared" si="20"/>
        <v>2790</v>
      </c>
      <c r="J182" s="56">
        <v>2790</v>
      </c>
      <c r="K182" s="56"/>
    </row>
    <row r="183" spans="1:11" ht="28.5" customHeight="1">
      <c r="A183" s="26" t="s">
        <v>203</v>
      </c>
      <c r="B183" s="55"/>
      <c r="C183" s="56">
        <f t="shared" si="18"/>
        <v>2670</v>
      </c>
      <c r="D183" s="56">
        <v>2670</v>
      </c>
      <c r="E183" s="56"/>
      <c r="F183" s="56">
        <f t="shared" si="19"/>
        <v>2730</v>
      </c>
      <c r="G183" s="56">
        <v>2730</v>
      </c>
      <c r="H183" s="56"/>
      <c r="I183" s="56">
        <f t="shared" si="20"/>
        <v>2780</v>
      </c>
      <c r="J183" s="56">
        <v>2780</v>
      </c>
      <c r="K183" s="56"/>
    </row>
    <row r="184" spans="1:11" ht="28.5" customHeight="1">
      <c r="A184" s="224" t="s">
        <v>123</v>
      </c>
      <c r="B184" s="56"/>
      <c r="C184" s="58"/>
      <c r="D184" s="56"/>
      <c r="E184" s="56"/>
      <c r="F184" s="56"/>
      <c r="G184" s="56"/>
      <c r="H184" s="56"/>
      <c r="I184" s="56"/>
      <c r="J184" s="56"/>
      <c r="K184" s="55"/>
    </row>
    <row r="185" spans="1:11" ht="39.75" customHeight="1">
      <c r="A185" s="26" t="s">
        <v>362</v>
      </c>
      <c r="B185" s="56"/>
      <c r="C185" s="56">
        <f t="shared" ref="C185" si="21">D185</f>
        <v>382</v>
      </c>
      <c r="D185" s="56">
        <v>382</v>
      </c>
      <c r="E185" s="56"/>
      <c r="F185" s="56">
        <f t="shared" ref="F185" si="22">G185</f>
        <v>387</v>
      </c>
      <c r="G185" s="56">
        <v>387</v>
      </c>
      <c r="H185" s="56"/>
      <c r="I185" s="56">
        <f t="shared" ref="I185" si="23">J185</f>
        <v>391</v>
      </c>
      <c r="J185" s="56">
        <v>391</v>
      </c>
      <c r="K185" s="55"/>
    </row>
    <row r="186" spans="1:11" ht="45.75" customHeight="1">
      <c r="A186" s="26" t="s">
        <v>273</v>
      </c>
      <c r="B186" s="56"/>
      <c r="C186" s="56">
        <f t="shared" ref="C186" si="24">C181/C179</f>
        <v>1446.6666666666667</v>
      </c>
      <c r="D186" s="56">
        <f>D181/D179</f>
        <v>1446.6666666666667</v>
      </c>
      <c r="E186" s="56"/>
      <c r="F186" s="56">
        <f t="shared" ref="F186:J186" si="25">F181/F179</f>
        <v>1460</v>
      </c>
      <c r="G186" s="56">
        <f t="shared" si="25"/>
        <v>1460</v>
      </c>
      <c r="H186" s="56"/>
      <c r="I186" s="56">
        <f t="shared" si="25"/>
        <v>1466.6666666666667</v>
      </c>
      <c r="J186" s="56">
        <f t="shared" si="25"/>
        <v>1466.6666666666667</v>
      </c>
      <c r="K186" s="55"/>
    </row>
    <row r="187" spans="1:11" ht="53.25" customHeight="1">
      <c r="A187" s="26" t="s">
        <v>272</v>
      </c>
      <c r="B187" s="56"/>
      <c r="C187" s="56">
        <f>(C176+C190)/C181</f>
        <v>398.1167434715822</v>
      </c>
      <c r="D187" s="56">
        <f>(D176+D190)/D181</f>
        <v>398.1167434715822</v>
      </c>
      <c r="E187" s="56"/>
      <c r="F187" s="56">
        <f>(F176+F190)/F181</f>
        <v>265.94824961948251</v>
      </c>
      <c r="G187" s="56">
        <f>(G176+G190)/G181</f>
        <v>265.94824961948251</v>
      </c>
      <c r="H187" s="56"/>
      <c r="I187" s="56">
        <f>(I176+I190)/I181</f>
        <v>282.07575757575756</v>
      </c>
      <c r="J187" s="56">
        <f>(J176+J190)/J181</f>
        <v>282.07575757575756</v>
      </c>
      <c r="K187" s="55"/>
    </row>
    <row r="188" spans="1:11" ht="28.5" customHeight="1">
      <c r="A188" s="478" t="s">
        <v>334</v>
      </c>
      <c r="B188" s="479"/>
      <c r="C188" s="479"/>
      <c r="D188" s="479"/>
      <c r="E188" s="479"/>
      <c r="F188" s="479"/>
      <c r="G188" s="479"/>
      <c r="H188" s="479"/>
      <c r="I188" s="479"/>
      <c r="J188" s="479"/>
      <c r="K188" s="480"/>
    </row>
    <row r="189" spans="1:11" ht="28.5" customHeight="1">
      <c r="A189" s="224" t="s">
        <v>79</v>
      </c>
      <c r="B189" s="223"/>
      <c r="C189" s="223"/>
      <c r="D189" s="223"/>
      <c r="E189" s="223"/>
      <c r="F189" s="223"/>
      <c r="G189" s="223"/>
      <c r="H189" s="223"/>
      <c r="I189" s="223"/>
      <c r="J189" s="223"/>
      <c r="K189" s="223"/>
    </row>
    <row r="190" spans="1:11" ht="28.5" customHeight="1">
      <c r="A190" s="26" t="s">
        <v>189</v>
      </c>
      <c r="B190" s="62">
        <f>C190+F190+I190</f>
        <v>2850200</v>
      </c>
      <c r="C190" s="62">
        <f>D190+E190</f>
        <v>895599.99999999988</v>
      </c>
      <c r="D190" s="62">
        <f>'Додаток 3'!I85*1000</f>
        <v>895599.99999999988</v>
      </c>
      <c r="E190" s="62"/>
      <c r="F190" s="62">
        <f>G190+H190</f>
        <v>950200</v>
      </c>
      <c r="G190" s="62">
        <f>'Додаток 3'!J85*1000</f>
        <v>950200</v>
      </c>
      <c r="H190" s="62"/>
      <c r="I190" s="62">
        <f>J190+K190</f>
        <v>1004400</v>
      </c>
      <c r="J190" s="62">
        <f>'Додаток 3'!K85*1000</f>
        <v>1004400</v>
      </c>
      <c r="K190" s="59"/>
    </row>
    <row r="191" spans="1:11" ht="28.5" customHeight="1">
      <c r="A191" s="224" t="s">
        <v>124</v>
      </c>
      <c r="B191" s="59"/>
      <c r="C191" s="59"/>
      <c r="D191" s="59"/>
      <c r="E191" s="59"/>
      <c r="F191" s="59"/>
      <c r="G191" s="59"/>
      <c r="H191" s="59"/>
      <c r="I191" s="59"/>
      <c r="J191" s="59"/>
      <c r="K191" s="59"/>
    </row>
    <row r="192" spans="1:11" ht="28.5" customHeight="1">
      <c r="A192" s="26" t="s">
        <v>190</v>
      </c>
      <c r="B192" s="59"/>
      <c r="C192" s="59">
        <v>1</v>
      </c>
      <c r="D192" s="59">
        <v>1</v>
      </c>
      <c r="E192" s="59"/>
      <c r="F192" s="59">
        <v>1</v>
      </c>
      <c r="G192" s="59">
        <v>1</v>
      </c>
      <c r="H192" s="59"/>
      <c r="I192" s="59">
        <v>1</v>
      </c>
      <c r="J192" s="59">
        <v>1</v>
      </c>
      <c r="K192" s="59"/>
    </row>
    <row r="193" spans="1:12" ht="28.5" customHeight="1">
      <c r="A193" s="224" t="s">
        <v>82</v>
      </c>
      <c r="B193" s="59"/>
      <c r="C193" s="59"/>
      <c r="D193" s="59"/>
      <c r="E193" s="59"/>
      <c r="F193" s="59"/>
      <c r="G193" s="59"/>
      <c r="H193" s="59"/>
      <c r="I193" s="59"/>
      <c r="J193" s="59"/>
      <c r="K193" s="59"/>
    </row>
    <row r="194" spans="1:12" ht="28.5" customHeight="1">
      <c r="A194" s="26" t="s">
        <v>260</v>
      </c>
      <c r="B194" s="59"/>
      <c r="C194" s="59">
        <f t="shared" ref="C194" si="26">C190/C192</f>
        <v>895599.99999999988</v>
      </c>
      <c r="D194" s="59">
        <f>D190/D192</f>
        <v>895599.99999999988</v>
      </c>
      <c r="E194" s="59"/>
      <c r="F194" s="59">
        <f t="shared" ref="F194:J194" si="27">F190/F192</f>
        <v>950200</v>
      </c>
      <c r="G194" s="59">
        <f t="shared" si="27"/>
        <v>950200</v>
      </c>
      <c r="H194" s="59"/>
      <c r="I194" s="59">
        <f t="shared" si="27"/>
        <v>1004400</v>
      </c>
      <c r="J194" s="59">
        <f t="shared" si="27"/>
        <v>1004400</v>
      </c>
      <c r="K194" s="59"/>
    </row>
    <row r="195" spans="1:12" ht="28.5" customHeight="1">
      <c r="A195" s="224" t="s">
        <v>83</v>
      </c>
      <c r="B195" s="59"/>
      <c r="C195" s="59"/>
      <c r="D195" s="59"/>
      <c r="E195" s="59"/>
      <c r="F195" s="59"/>
      <c r="G195" s="59"/>
      <c r="H195" s="59"/>
      <c r="I195" s="59"/>
      <c r="J195" s="59"/>
      <c r="K195" s="59"/>
    </row>
    <row r="196" spans="1:12" ht="28.5" customHeight="1">
      <c r="A196" s="26" t="s">
        <v>210</v>
      </c>
      <c r="B196" s="59"/>
      <c r="C196" s="59">
        <v>100</v>
      </c>
      <c r="D196" s="59">
        <v>100</v>
      </c>
      <c r="E196" s="59"/>
      <c r="F196" s="59">
        <v>100</v>
      </c>
      <c r="G196" s="59">
        <v>100</v>
      </c>
      <c r="H196" s="59"/>
      <c r="I196" s="59">
        <v>100</v>
      </c>
      <c r="J196" s="59">
        <v>100</v>
      </c>
      <c r="K196" s="59"/>
    </row>
    <row r="197" spans="1:12" ht="70.5" customHeight="1">
      <c r="A197" s="26" t="s">
        <v>363</v>
      </c>
      <c r="B197" s="59"/>
      <c r="C197" s="59">
        <f>D197</f>
        <v>150.31738518913872</v>
      </c>
      <c r="D197" s="59">
        <f>D190/595806*100</f>
        <v>150.31738518913872</v>
      </c>
      <c r="E197" s="59"/>
      <c r="F197" s="59">
        <f>G197</f>
        <v>106.09647163912462</v>
      </c>
      <c r="G197" s="59">
        <f>G190/D190*100</f>
        <v>106.09647163912462</v>
      </c>
      <c r="H197" s="59"/>
      <c r="I197" s="59">
        <f>J197</f>
        <v>105.70406230267312</v>
      </c>
      <c r="J197" s="59">
        <f>J190/G190*100</f>
        <v>105.70406230267312</v>
      </c>
      <c r="K197" s="59"/>
    </row>
    <row r="198" spans="1:12" ht="36" customHeight="1">
      <c r="A198" s="475" t="s">
        <v>364</v>
      </c>
      <c r="B198" s="476"/>
      <c r="C198" s="476"/>
      <c r="D198" s="476"/>
      <c r="E198" s="476"/>
      <c r="F198" s="476"/>
      <c r="G198" s="476"/>
      <c r="H198" s="476"/>
      <c r="I198" s="476"/>
      <c r="J198" s="476"/>
      <c r="K198" s="477"/>
    </row>
    <row r="199" spans="1:12" ht="36" customHeight="1">
      <c r="A199" s="25" t="s">
        <v>274</v>
      </c>
      <c r="B199" s="224">
        <f>B202+B211+B227+B236</f>
        <v>55473300</v>
      </c>
      <c r="C199" s="224">
        <f>D199+E199</f>
        <v>17662000</v>
      </c>
      <c r="D199" s="224">
        <f>D202+D211+D227+D236</f>
        <v>17662000</v>
      </c>
      <c r="E199" s="224"/>
      <c r="F199" s="224">
        <f>G199+H199</f>
        <v>18446000</v>
      </c>
      <c r="G199" s="224">
        <f>G202+G211+G227+G236</f>
        <v>18446000</v>
      </c>
      <c r="H199" s="224"/>
      <c r="I199" s="224">
        <f>J199+K199</f>
        <v>19365300</v>
      </c>
      <c r="J199" s="224">
        <f>J202+J211+J227+J236</f>
        <v>19365300</v>
      </c>
      <c r="K199" s="224"/>
      <c r="L199" s="21" t="e">
        <f>#REF!-B199</f>
        <v>#REF!</v>
      </c>
    </row>
    <row r="200" spans="1:12" ht="28.5" customHeight="1">
      <c r="A200" s="478" t="s">
        <v>229</v>
      </c>
      <c r="B200" s="479"/>
      <c r="C200" s="479"/>
      <c r="D200" s="479"/>
      <c r="E200" s="479"/>
      <c r="F200" s="479"/>
      <c r="G200" s="479"/>
      <c r="H200" s="479"/>
      <c r="I200" s="479"/>
      <c r="J200" s="479"/>
      <c r="K200" s="480"/>
    </row>
    <row r="201" spans="1:12" ht="28.5" customHeight="1">
      <c r="A201" s="224" t="s">
        <v>79</v>
      </c>
      <c r="B201" s="224"/>
      <c r="C201" s="224"/>
      <c r="D201" s="224"/>
      <c r="E201" s="224"/>
      <c r="F201" s="224"/>
      <c r="G201" s="224"/>
      <c r="H201" s="224"/>
      <c r="I201" s="224"/>
      <c r="J201" s="224"/>
      <c r="K201" s="224"/>
    </row>
    <row r="202" spans="1:12" ht="28.5" customHeight="1">
      <c r="A202" s="26" t="s">
        <v>271</v>
      </c>
      <c r="B202" s="55">
        <f>C202+F202+I202</f>
        <v>41336700</v>
      </c>
      <c r="C202" s="55">
        <f>D202+E202</f>
        <v>13142200</v>
      </c>
      <c r="D202" s="55">
        <f>'Додаток 3'!I109*1000</f>
        <v>13142200</v>
      </c>
      <c r="E202" s="55"/>
      <c r="F202" s="55">
        <f>G202+H202</f>
        <v>13754900</v>
      </c>
      <c r="G202" s="55">
        <f>'Додаток 3'!J109*1000</f>
        <v>13754900</v>
      </c>
      <c r="H202" s="55"/>
      <c r="I202" s="55">
        <f>J202+K202</f>
        <v>14439600</v>
      </c>
      <c r="J202" s="55">
        <f>'Додаток 3'!K109*1000</f>
        <v>14439600</v>
      </c>
      <c r="K202" s="224"/>
    </row>
    <row r="203" spans="1:12" ht="28.5" customHeight="1">
      <c r="A203" s="224" t="s">
        <v>81</v>
      </c>
      <c r="B203" s="56"/>
      <c r="C203" s="56"/>
      <c r="D203" s="56"/>
      <c r="E203" s="56"/>
      <c r="F203" s="56"/>
      <c r="G203" s="56"/>
      <c r="H203" s="56"/>
      <c r="I203" s="56"/>
      <c r="J203" s="56"/>
      <c r="K203" s="224"/>
    </row>
    <row r="204" spans="1:12" ht="54.75" customHeight="1">
      <c r="A204" s="26" t="s">
        <v>213</v>
      </c>
      <c r="B204" s="56"/>
      <c r="C204" s="56">
        <f>D204</f>
        <v>26112</v>
      </c>
      <c r="D204" s="56">
        <f>18554+7550+8</f>
        <v>26112</v>
      </c>
      <c r="E204" s="56"/>
      <c r="F204" s="56">
        <f>G204</f>
        <v>26112</v>
      </c>
      <c r="G204" s="56">
        <f>18554+7550+8</f>
        <v>26112</v>
      </c>
      <c r="H204" s="56"/>
      <c r="I204" s="56">
        <f>J204</f>
        <v>26112</v>
      </c>
      <c r="J204" s="56">
        <f>18554+7550+8</f>
        <v>26112</v>
      </c>
      <c r="K204" s="224"/>
    </row>
    <row r="205" spans="1:12" ht="28.5" customHeight="1">
      <c r="A205" s="224" t="s">
        <v>82</v>
      </c>
      <c r="B205" s="56"/>
      <c r="C205" s="56"/>
      <c r="D205" s="56"/>
      <c r="E205" s="56"/>
      <c r="F205" s="56"/>
      <c r="G205" s="56"/>
      <c r="H205" s="56"/>
      <c r="I205" s="56"/>
      <c r="J205" s="56"/>
      <c r="K205" s="224"/>
    </row>
    <row r="206" spans="1:12" ht="28.5" customHeight="1">
      <c r="A206" s="48" t="s">
        <v>261</v>
      </c>
      <c r="B206" s="56"/>
      <c r="C206" s="56">
        <f>C202/C204</f>
        <v>503.3011642156863</v>
      </c>
      <c r="D206" s="56">
        <f>D202/D204</f>
        <v>503.3011642156863</v>
      </c>
      <c r="E206" s="56"/>
      <c r="F206" s="56">
        <f>F202/F204</f>
        <v>526.76547181372553</v>
      </c>
      <c r="G206" s="56">
        <f>G202/G204</f>
        <v>526.76547181372553</v>
      </c>
      <c r="H206" s="56"/>
      <c r="I206" s="56">
        <f>I202/I204</f>
        <v>552.98713235294122</v>
      </c>
      <c r="J206" s="56">
        <f>J202/J204</f>
        <v>552.98713235294122</v>
      </c>
      <c r="K206" s="26"/>
    </row>
    <row r="207" spans="1:12" ht="28.5" customHeight="1">
      <c r="A207" s="49" t="s">
        <v>83</v>
      </c>
      <c r="B207" s="56"/>
      <c r="C207" s="56"/>
      <c r="D207" s="56"/>
      <c r="E207" s="56"/>
      <c r="F207" s="56"/>
      <c r="G207" s="56"/>
      <c r="H207" s="56"/>
      <c r="I207" s="56"/>
      <c r="J207" s="56"/>
      <c r="K207" s="224"/>
    </row>
    <row r="208" spans="1:12" ht="96.75" customHeight="1">
      <c r="A208" s="26" t="s">
        <v>214</v>
      </c>
      <c r="B208" s="56"/>
      <c r="C208" s="56">
        <f>D208</f>
        <v>105.22346234527373</v>
      </c>
      <c r="D208" s="56">
        <f>D202/12489800*100</f>
        <v>105.22346234527373</v>
      </c>
      <c r="E208" s="56"/>
      <c r="F208" s="56">
        <f>G208</f>
        <v>104.66208093013347</v>
      </c>
      <c r="G208" s="56">
        <f>G202/D202*100</f>
        <v>104.66208093013347</v>
      </c>
      <c r="H208" s="56"/>
      <c r="I208" s="56">
        <f>J208</f>
        <v>104.97786243447788</v>
      </c>
      <c r="J208" s="56">
        <f>J202/G202*100</f>
        <v>104.97786243447788</v>
      </c>
      <c r="K208" s="224"/>
    </row>
    <row r="209" spans="1:11" ht="28.5" customHeight="1">
      <c r="A209" s="482" t="s">
        <v>335</v>
      </c>
      <c r="B209" s="482"/>
      <c r="C209" s="482"/>
      <c r="D209" s="482"/>
      <c r="E209" s="482"/>
      <c r="F209" s="482"/>
      <c r="G209" s="482"/>
      <c r="H209" s="482"/>
      <c r="I209" s="482"/>
      <c r="J209" s="482"/>
      <c r="K209" s="482"/>
    </row>
    <row r="210" spans="1:11" ht="28.5" customHeight="1">
      <c r="A210" s="224" t="s">
        <v>79</v>
      </c>
      <c r="B210" s="224"/>
      <c r="C210" s="224"/>
      <c r="D210" s="224"/>
      <c r="E210" s="224"/>
      <c r="F210" s="224"/>
      <c r="G210" s="224"/>
      <c r="H210" s="224"/>
      <c r="I210" s="224"/>
      <c r="J210" s="224"/>
      <c r="K210" s="224"/>
    </row>
    <row r="211" spans="1:11" ht="28.5" customHeight="1">
      <c r="A211" s="26" t="s">
        <v>270</v>
      </c>
      <c r="B211" s="55">
        <f>C211+F211+I211</f>
        <v>4738000</v>
      </c>
      <c r="C211" s="55">
        <f>D211+E211</f>
        <v>1500000</v>
      </c>
      <c r="D211" s="55">
        <f>'Додаток 3'!I113*1000</f>
        <v>1500000</v>
      </c>
      <c r="E211" s="55"/>
      <c r="F211" s="55">
        <f>G211+H211</f>
        <v>1579500</v>
      </c>
      <c r="G211" s="55">
        <f>'Додаток 3'!J113*1000</f>
        <v>1579500</v>
      </c>
      <c r="H211" s="55"/>
      <c r="I211" s="55">
        <f>J211+K211</f>
        <v>1658500</v>
      </c>
      <c r="J211" s="55">
        <f>'Додаток 3'!K113*1000</f>
        <v>1658500</v>
      </c>
      <c r="K211" s="224"/>
    </row>
    <row r="212" spans="1:11" ht="28.5" customHeight="1">
      <c r="A212" s="26" t="s">
        <v>275</v>
      </c>
      <c r="B212" s="55"/>
      <c r="C212" s="56">
        <f>D212</f>
        <v>1039819</v>
      </c>
      <c r="D212" s="56">
        <f>581117+438702+20000</f>
        <v>1039819</v>
      </c>
      <c r="E212" s="55"/>
      <c r="F212" s="56">
        <f>G212</f>
        <v>1094910</v>
      </c>
      <c r="G212" s="56">
        <f>611960+461950+21000</f>
        <v>1094910</v>
      </c>
      <c r="H212" s="55"/>
      <c r="I212" s="56">
        <f>J212</f>
        <v>1148830</v>
      </c>
      <c r="J212" s="56">
        <f>645000+482730+21100</f>
        <v>1148830</v>
      </c>
      <c r="K212" s="224"/>
    </row>
    <row r="213" spans="1:11" ht="53.25" customHeight="1">
      <c r="A213" s="26" t="s">
        <v>276</v>
      </c>
      <c r="B213" s="55"/>
      <c r="C213" s="56">
        <f t="shared" ref="C213:C218" si="28">D213</f>
        <v>421479</v>
      </c>
      <c r="D213" s="56">
        <f>20000+178498+222981</f>
        <v>421479</v>
      </c>
      <c r="E213" s="55"/>
      <c r="F213" s="56">
        <f t="shared" ref="F213:F218" si="29">G213</f>
        <v>443850</v>
      </c>
      <c r="G213" s="56">
        <f>234800+188050+21000</f>
        <v>443850</v>
      </c>
      <c r="H213" s="55"/>
      <c r="I213" s="56">
        <f t="shared" ref="I213:I218" si="30">J213</f>
        <v>466350</v>
      </c>
      <c r="J213" s="56">
        <f>247480+196670+22200</f>
        <v>466350</v>
      </c>
      <c r="K213" s="224"/>
    </row>
    <row r="214" spans="1:11" ht="42" customHeight="1">
      <c r="A214" s="26" t="s">
        <v>277</v>
      </c>
      <c r="B214" s="55"/>
      <c r="C214" s="56">
        <f t="shared" si="28"/>
        <v>38702</v>
      </c>
      <c r="D214" s="56">
        <f>30902+7800</f>
        <v>38702</v>
      </c>
      <c r="E214" s="55"/>
      <c r="F214" s="56">
        <f t="shared" si="29"/>
        <v>40740</v>
      </c>
      <c r="G214" s="56">
        <f>32540+8200</f>
        <v>40740</v>
      </c>
      <c r="H214" s="55"/>
      <c r="I214" s="56">
        <f t="shared" si="30"/>
        <v>42320</v>
      </c>
      <c r="J214" s="56">
        <f>33720+8600</f>
        <v>42320</v>
      </c>
      <c r="K214" s="224"/>
    </row>
    <row r="215" spans="1:11" ht="28.5" customHeight="1">
      <c r="A215" s="224" t="s">
        <v>81</v>
      </c>
      <c r="B215" s="56"/>
      <c r="C215" s="56"/>
      <c r="D215" s="56"/>
      <c r="E215" s="56"/>
      <c r="F215" s="56"/>
      <c r="G215" s="56"/>
      <c r="H215" s="56"/>
      <c r="I215" s="56"/>
      <c r="J215" s="56"/>
      <c r="K215" s="224"/>
    </row>
    <row r="216" spans="1:11" ht="28.5" customHeight="1">
      <c r="A216" s="26" t="s">
        <v>365</v>
      </c>
      <c r="B216" s="56"/>
      <c r="C216" s="56">
        <f t="shared" si="28"/>
        <v>284</v>
      </c>
      <c r="D216" s="56">
        <f>168+114+2</f>
        <v>284</v>
      </c>
      <c r="E216" s="56"/>
      <c r="F216" s="56">
        <f t="shared" si="29"/>
        <v>284</v>
      </c>
      <c r="G216" s="56">
        <f>168+114+2</f>
        <v>284</v>
      </c>
      <c r="H216" s="56"/>
      <c r="I216" s="56">
        <f t="shared" si="30"/>
        <v>284</v>
      </c>
      <c r="J216" s="56">
        <f>168+114+2</f>
        <v>284</v>
      </c>
      <c r="K216" s="224"/>
    </row>
    <row r="217" spans="1:11" ht="28.5" customHeight="1">
      <c r="A217" s="26" t="s">
        <v>366</v>
      </c>
      <c r="B217" s="56"/>
      <c r="C217" s="56">
        <f t="shared" si="28"/>
        <v>83</v>
      </c>
      <c r="D217" s="56">
        <f>50+30+3</f>
        <v>83</v>
      </c>
      <c r="E217" s="56"/>
      <c r="F217" s="56">
        <f t="shared" si="29"/>
        <v>83</v>
      </c>
      <c r="G217" s="56">
        <f>50+30+3</f>
        <v>83</v>
      </c>
      <c r="H217" s="56"/>
      <c r="I217" s="56">
        <f t="shared" si="30"/>
        <v>83</v>
      </c>
      <c r="J217" s="56">
        <f>50+30+3</f>
        <v>83</v>
      </c>
      <c r="K217" s="224"/>
    </row>
    <row r="218" spans="1:11" ht="28.5" customHeight="1">
      <c r="A218" s="26" t="s">
        <v>367</v>
      </c>
      <c r="B218" s="56"/>
      <c r="C218" s="56">
        <f t="shared" si="28"/>
        <v>37</v>
      </c>
      <c r="D218" s="56">
        <f>17+20</f>
        <v>37</v>
      </c>
      <c r="E218" s="56"/>
      <c r="F218" s="56">
        <f t="shared" si="29"/>
        <v>37</v>
      </c>
      <c r="G218" s="56">
        <f>17+20</f>
        <v>37</v>
      </c>
      <c r="H218" s="56"/>
      <c r="I218" s="56">
        <f t="shared" si="30"/>
        <v>37</v>
      </c>
      <c r="J218" s="56">
        <f>17+20</f>
        <v>37</v>
      </c>
      <c r="K218" s="224"/>
    </row>
    <row r="219" spans="1:11" ht="28.5" customHeight="1">
      <c r="A219" s="224" t="s">
        <v>82</v>
      </c>
      <c r="B219" s="56"/>
      <c r="C219" s="56"/>
      <c r="D219" s="56"/>
      <c r="E219" s="56"/>
      <c r="F219" s="56"/>
      <c r="G219" s="56"/>
      <c r="H219" s="56"/>
      <c r="I219" s="56"/>
      <c r="J219" s="56"/>
      <c r="K219" s="224"/>
    </row>
    <row r="220" spans="1:11" ht="39.75" customHeight="1">
      <c r="A220" s="48" t="s">
        <v>278</v>
      </c>
      <c r="B220" s="56"/>
      <c r="C220" s="56">
        <f>C212/C216</f>
        <v>3661.3345070422533</v>
      </c>
      <c r="D220" s="56">
        <f>D212/D216</f>
        <v>3661.3345070422533</v>
      </c>
      <c r="E220" s="56"/>
      <c r="F220" s="56">
        <f t="shared" ref="F220:G222" si="31">F212/F216</f>
        <v>3855.3169014084506</v>
      </c>
      <c r="G220" s="56">
        <f t="shared" si="31"/>
        <v>3855.3169014084506</v>
      </c>
      <c r="H220" s="56"/>
      <c r="I220" s="56">
        <f t="shared" ref="I220:J222" si="32">I212/I216</f>
        <v>4045.176056338028</v>
      </c>
      <c r="J220" s="56">
        <f>J212/J216</f>
        <v>4045.176056338028</v>
      </c>
      <c r="K220" s="224"/>
    </row>
    <row r="221" spans="1:11" ht="54.75" customHeight="1">
      <c r="A221" s="48" t="s">
        <v>279</v>
      </c>
      <c r="B221" s="56"/>
      <c r="C221" s="56">
        <f t="shared" ref="C221:D222" si="33">C213/C217</f>
        <v>5078.060240963855</v>
      </c>
      <c r="D221" s="56">
        <f t="shared" si="33"/>
        <v>5078.060240963855</v>
      </c>
      <c r="E221" s="56"/>
      <c r="F221" s="56">
        <f t="shared" si="31"/>
        <v>5347.5903614457829</v>
      </c>
      <c r="G221" s="56">
        <f t="shared" si="31"/>
        <v>5347.5903614457829</v>
      </c>
      <c r="H221" s="56"/>
      <c r="I221" s="56">
        <f t="shared" si="32"/>
        <v>5618.674698795181</v>
      </c>
      <c r="J221" s="56">
        <f t="shared" si="32"/>
        <v>5618.674698795181</v>
      </c>
      <c r="K221" s="224"/>
    </row>
    <row r="222" spans="1:11" ht="60.75" customHeight="1">
      <c r="A222" s="48" t="s">
        <v>280</v>
      </c>
      <c r="B222" s="56"/>
      <c r="C222" s="56">
        <f t="shared" si="33"/>
        <v>1046</v>
      </c>
      <c r="D222" s="56">
        <f t="shared" si="33"/>
        <v>1046</v>
      </c>
      <c r="E222" s="56"/>
      <c r="F222" s="56">
        <f t="shared" si="31"/>
        <v>1101.081081081081</v>
      </c>
      <c r="G222" s="56">
        <f t="shared" si="31"/>
        <v>1101.081081081081</v>
      </c>
      <c r="H222" s="56"/>
      <c r="I222" s="56">
        <f t="shared" si="32"/>
        <v>1143.7837837837837</v>
      </c>
      <c r="J222" s="56">
        <f t="shared" si="32"/>
        <v>1143.7837837837837</v>
      </c>
      <c r="K222" s="224"/>
    </row>
    <row r="223" spans="1:11" ht="28.5" customHeight="1">
      <c r="A223" s="49" t="s">
        <v>83</v>
      </c>
      <c r="B223" s="56"/>
      <c r="C223" s="56"/>
      <c r="D223" s="56"/>
      <c r="E223" s="56"/>
      <c r="F223" s="56"/>
      <c r="G223" s="56"/>
      <c r="H223" s="56"/>
      <c r="I223" s="56"/>
      <c r="J223" s="56"/>
      <c r="K223" s="224"/>
    </row>
    <row r="224" spans="1:11" ht="70.5" customHeight="1">
      <c r="A224" s="26" t="s">
        <v>368</v>
      </c>
      <c r="B224" s="56"/>
      <c r="C224" s="56">
        <f>D224</f>
        <v>166.47706778391276</v>
      </c>
      <c r="D224" s="56">
        <f>D211/901025*100</f>
        <v>166.47706778391276</v>
      </c>
      <c r="E224" s="56"/>
      <c r="F224" s="56">
        <f>G224</f>
        <v>105.3</v>
      </c>
      <c r="G224" s="56">
        <f>G211/D211*100</f>
        <v>105.3</v>
      </c>
      <c r="H224" s="56"/>
      <c r="I224" s="56">
        <f>J224</f>
        <v>105.00158277936056</v>
      </c>
      <c r="J224" s="56">
        <f>J211/G211*100</f>
        <v>105.00158277936056</v>
      </c>
      <c r="K224" s="224"/>
    </row>
    <row r="225" spans="1:11" ht="28.5" customHeight="1">
      <c r="A225" s="478" t="s">
        <v>336</v>
      </c>
      <c r="B225" s="479"/>
      <c r="C225" s="479"/>
      <c r="D225" s="479"/>
      <c r="E225" s="479"/>
      <c r="F225" s="479"/>
      <c r="G225" s="479"/>
      <c r="H225" s="479"/>
      <c r="I225" s="479"/>
      <c r="J225" s="479"/>
      <c r="K225" s="480"/>
    </row>
    <row r="226" spans="1:11" ht="28.5" customHeight="1">
      <c r="A226" s="224" t="s">
        <v>79</v>
      </c>
      <c r="B226" s="224"/>
      <c r="C226" s="224"/>
      <c r="D226" s="26"/>
      <c r="E226" s="224"/>
      <c r="F226" s="224"/>
      <c r="G226" s="224"/>
      <c r="H226" s="224"/>
      <c r="I226" s="224"/>
      <c r="J226" s="224"/>
      <c r="K226" s="224"/>
    </row>
    <row r="227" spans="1:11" ht="28.5" customHeight="1">
      <c r="A227" s="26" t="s">
        <v>281</v>
      </c>
      <c r="B227" s="55">
        <f>C227+F227+I227</f>
        <v>8386200</v>
      </c>
      <c r="C227" s="55">
        <f>D227+E227</f>
        <v>2655000</v>
      </c>
      <c r="D227" s="55">
        <f>'Додаток 3'!I117*1000</f>
        <v>2655000</v>
      </c>
      <c r="E227" s="55"/>
      <c r="F227" s="55">
        <f>G227+H227</f>
        <v>2795700</v>
      </c>
      <c r="G227" s="55">
        <f>'Додаток 3'!J117*1000</f>
        <v>2795700</v>
      </c>
      <c r="H227" s="55"/>
      <c r="I227" s="55">
        <f>J227+K227</f>
        <v>2935500</v>
      </c>
      <c r="J227" s="55">
        <f>'Додаток 3'!K117*1000</f>
        <v>2935500</v>
      </c>
      <c r="K227" s="55"/>
    </row>
    <row r="228" spans="1:11" ht="28.5" customHeight="1">
      <c r="A228" s="224" t="s">
        <v>81</v>
      </c>
      <c r="B228" s="56"/>
      <c r="C228" s="56"/>
      <c r="D228" s="56"/>
      <c r="E228" s="56"/>
      <c r="F228" s="56"/>
      <c r="G228" s="56"/>
      <c r="H228" s="56"/>
      <c r="I228" s="56"/>
      <c r="J228" s="56"/>
      <c r="K228" s="55"/>
    </row>
    <row r="229" spans="1:11" ht="57" customHeight="1">
      <c r="A229" s="26" t="s">
        <v>217</v>
      </c>
      <c r="B229" s="56"/>
      <c r="C229" s="56">
        <f>D229</f>
        <v>742</v>
      </c>
      <c r="D229" s="56">
        <f>558+184</f>
        <v>742</v>
      </c>
      <c r="E229" s="56"/>
      <c r="F229" s="56">
        <f>G229</f>
        <v>742</v>
      </c>
      <c r="G229" s="56">
        <f>558+184</f>
        <v>742</v>
      </c>
      <c r="H229" s="56"/>
      <c r="I229" s="56">
        <f>J229</f>
        <v>742</v>
      </c>
      <c r="J229" s="56">
        <f>558+184</f>
        <v>742</v>
      </c>
      <c r="K229" s="55"/>
    </row>
    <row r="230" spans="1:11" ht="28.5" customHeight="1">
      <c r="A230" s="224" t="s">
        <v>82</v>
      </c>
      <c r="B230" s="56"/>
      <c r="C230" s="56"/>
      <c r="D230" s="56"/>
      <c r="E230" s="56"/>
      <c r="F230" s="56"/>
      <c r="G230" s="56"/>
      <c r="H230" s="56"/>
      <c r="I230" s="56"/>
      <c r="J230" s="56"/>
      <c r="K230" s="55"/>
    </row>
    <row r="231" spans="1:11" ht="64.5" customHeight="1">
      <c r="A231" s="48" t="s">
        <v>216</v>
      </c>
      <c r="B231" s="56"/>
      <c r="C231" s="56">
        <f>D231</f>
        <v>3578.1671159029652</v>
      </c>
      <c r="D231" s="56">
        <f>D227/D229</f>
        <v>3578.1671159029652</v>
      </c>
      <c r="E231" s="56"/>
      <c r="F231" s="56">
        <f>G231</f>
        <v>3767.789757412399</v>
      </c>
      <c r="G231" s="56">
        <f>G227/G229</f>
        <v>3767.789757412399</v>
      </c>
      <c r="H231" s="56"/>
      <c r="I231" s="56">
        <f>J231</f>
        <v>3956.1994609164421</v>
      </c>
      <c r="J231" s="56">
        <f>J227/J229</f>
        <v>3956.1994609164421</v>
      </c>
      <c r="K231" s="55"/>
    </row>
    <row r="232" spans="1:11" ht="28.5" customHeight="1">
      <c r="A232" s="49" t="s">
        <v>83</v>
      </c>
      <c r="B232" s="56"/>
      <c r="C232" s="56"/>
      <c r="D232" s="56"/>
      <c r="E232" s="56"/>
      <c r="F232" s="56"/>
      <c r="G232" s="56"/>
      <c r="H232" s="56"/>
      <c r="I232" s="56"/>
      <c r="J232" s="56"/>
      <c r="K232" s="55"/>
    </row>
    <row r="233" spans="1:11" ht="72" customHeight="1">
      <c r="A233" s="26" t="s">
        <v>215</v>
      </c>
      <c r="B233" s="56"/>
      <c r="C233" s="56">
        <f>D233</f>
        <v>106.2</v>
      </c>
      <c r="D233" s="56">
        <f>D227/2500000*100</f>
        <v>106.2</v>
      </c>
      <c r="E233" s="56"/>
      <c r="F233" s="56">
        <f>G233</f>
        <v>105.2994350282486</v>
      </c>
      <c r="G233" s="56">
        <f>G227/D227*100</f>
        <v>105.2994350282486</v>
      </c>
      <c r="H233" s="56"/>
      <c r="I233" s="56">
        <f>J233</f>
        <v>105.00053653825519</v>
      </c>
      <c r="J233" s="56">
        <f>J227/G227*100</f>
        <v>105.00053653825519</v>
      </c>
      <c r="K233" s="55"/>
    </row>
    <row r="234" spans="1:11" ht="28.5" customHeight="1">
      <c r="A234" s="478" t="s">
        <v>337</v>
      </c>
      <c r="B234" s="479"/>
      <c r="C234" s="479"/>
      <c r="D234" s="479"/>
      <c r="E234" s="479"/>
      <c r="F234" s="479"/>
      <c r="G234" s="479"/>
      <c r="H234" s="479"/>
      <c r="I234" s="479"/>
      <c r="J234" s="479"/>
      <c r="K234" s="480"/>
    </row>
    <row r="235" spans="1:11" ht="28.5" customHeight="1">
      <c r="A235" s="224" t="s">
        <v>79</v>
      </c>
      <c r="B235" s="224"/>
      <c r="C235" s="224"/>
      <c r="D235" s="26"/>
      <c r="E235" s="224"/>
      <c r="F235" s="224"/>
      <c r="G235" s="224"/>
      <c r="H235" s="224"/>
      <c r="I235" s="224"/>
      <c r="J235" s="224"/>
      <c r="K235" s="224"/>
    </row>
    <row r="236" spans="1:11" ht="28.5" customHeight="1">
      <c r="A236" s="26" t="s">
        <v>281</v>
      </c>
      <c r="B236" s="55">
        <f>C236+F236+I236</f>
        <v>1012400</v>
      </c>
      <c r="C236" s="55">
        <f>D236+E236</f>
        <v>364800</v>
      </c>
      <c r="D236" s="56">
        <f>'Додаток 3'!I120*1000</f>
        <v>364800</v>
      </c>
      <c r="E236" s="55"/>
      <c r="F236" s="55">
        <f>G236+H236</f>
        <v>315900</v>
      </c>
      <c r="G236" s="55">
        <f>'Додаток 3'!J120*1000</f>
        <v>315900</v>
      </c>
      <c r="H236" s="55"/>
      <c r="I236" s="55">
        <f>J236+K236</f>
        <v>331700</v>
      </c>
      <c r="J236" s="55">
        <f>'Додаток 3'!K120*1000</f>
        <v>331700</v>
      </c>
      <c r="K236" s="55"/>
    </row>
    <row r="237" spans="1:11" ht="28.5" customHeight="1">
      <c r="A237" s="224" t="s">
        <v>81</v>
      </c>
      <c r="B237" s="56"/>
      <c r="C237" s="56"/>
      <c r="D237" s="56"/>
      <c r="E237" s="56"/>
      <c r="F237" s="56"/>
      <c r="G237" s="56"/>
      <c r="H237" s="56"/>
      <c r="I237" s="56"/>
      <c r="J237" s="56"/>
      <c r="K237" s="55"/>
    </row>
    <row r="238" spans="1:11" ht="28.5" customHeight="1">
      <c r="A238" s="26" t="s">
        <v>80</v>
      </c>
      <c r="B238" s="56"/>
      <c r="C238" s="56">
        <f>D238</f>
        <v>1</v>
      </c>
      <c r="D238" s="56">
        <v>1</v>
      </c>
      <c r="E238" s="56"/>
      <c r="F238" s="56">
        <f>C238</f>
        <v>1</v>
      </c>
      <c r="G238" s="56"/>
      <c r="H238" s="56"/>
      <c r="I238" s="56">
        <f>F238</f>
        <v>1</v>
      </c>
      <c r="J238" s="56"/>
      <c r="K238" s="55"/>
    </row>
    <row r="239" spans="1:11" ht="60" customHeight="1">
      <c r="A239" s="26" t="s">
        <v>86</v>
      </c>
      <c r="B239" s="56"/>
      <c r="C239" s="56">
        <f>D239</f>
        <v>99</v>
      </c>
      <c r="D239" s="56">
        <v>99</v>
      </c>
      <c r="E239" s="56"/>
      <c r="F239" s="56"/>
      <c r="G239" s="56"/>
      <c r="H239" s="56"/>
      <c r="I239" s="56"/>
      <c r="J239" s="56"/>
      <c r="K239" s="55"/>
    </row>
    <row r="240" spans="1:11" ht="60.75" customHeight="1">
      <c r="A240" s="26" t="s">
        <v>426</v>
      </c>
      <c r="B240" s="56"/>
      <c r="C240" s="56">
        <f>D240</f>
        <v>4</v>
      </c>
      <c r="D240" s="56">
        <v>4</v>
      </c>
      <c r="E240" s="56"/>
      <c r="F240" s="56"/>
      <c r="G240" s="56"/>
      <c r="H240" s="56"/>
      <c r="I240" s="56"/>
      <c r="J240" s="56"/>
      <c r="K240" s="55"/>
    </row>
    <row r="241" spans="1:12" ht="28.5" customHeight="1">
      <c r="A241" s="224" t="s">
        <v>82</v>
      </c>
      <c r="B241" s="56"/>
      <c r="C241" s="56"/>
      <c r="D241" s="56"/>
      <c r="E241" s="56"/>
      <c r="F241" s="56"/>
      <c r="G241" s="56"/>
      <c r="H241" s="56"/>
      <c r="I241" s="56"/>
      <c r="J241" s="56"/>
      <c r="K241" s="55"/>
    </row>
    <row r="242" spans="1:12" ht="59.25" customHeight="1">
      <c r="A242" s="48" t="s">
        <v>428</v>
      </c>
      <c r="B242" s="56"/>
      <c r="C242" s="56">
        <f>D242</f>
        <v>3030.3030303030305</v>
      </c>
      <c r="D242" s="56">
        <f>300000/99</f>
        <v>3030.3030303030305</v>
      </c>
      <c r="E242" s="56"/>
      <c r="F242" s="56"/>
      <c r="G242" s="56"/>
      <c r="H242" s="56"/>
      <c r="I242" s="56"/>
      <c r="J242" s="56"/>
      <c r="K242" s="55"/>
    </row>
    <row r="243" spans="1:12" ht="54" customHeight="1">
      <c r="A243" s="48" t="s">
        <v>427</v>
      </c>
      <c r="B243" s="56"/>
      <c r="C243" s="56">
        <f>D243</f>
        <v>16200</v>
      </c>
      <c r="D243" s="56">
        <f>64800/4</f>
        <v>16200</v>
      </c>
      <c r="E243" s="56"/>
      <c r="F243" s="56"/>
      <c r="G243" s="56"/>
      <c r="H243" s="56"/>
      <c r="I243" s="56"/>
      <c r="J243" s="56"/>
      <c r="K243" s="55"/>
    </row>
    <row r="244" spans="1:12" ht="28.5" customHeight="1">
      <c r="A244" s="268" t="s">
        <v>83</v>
      </c>
      <c r="B244" s="56"/>
      <c r="C244" s="56"/>
      <c r="D244" s="56"/>
      <c r="E244" s="56"/>
      <c r="F244" s="56"/>
      <c r="G244" s="56"/>
      <c r="H244" s="56"/>
      <c r="I244" s="56"/>
      <c r="J244" s="56"/>
      <c r="K244" s="55"/>
    </row>
    <row r="245" spans="1:12" ht="47.25" customHeight="1">
      <c r="A245" s="48" t="s">
        <v>429</v>
      </c>
      <c r="B245" s="56"/>
      <c r="C245" s="56">
        <f>D245</f>
        <v>100</v>
      </c>
      <c r="D245" s="56">
        <v>100</v>
      </c>
      <c r="E245" s="56"/>
      <c r="F245" s="56"/>
      <c r="G245" s="56"/>
      <c r="H245" s="56"/>
      <c r="I245" s="56"/>
      <c r="J245" s="56"/>
      <c r="K245" s="55"/>
    </row>
    <row r="246" spans="1:12" ht="60.75" customHeight="1">
      <c r="A246" s="48" t="s">
        <v>429</v>
      </c>
      <c r="B246" s="56"/>
      <c r="C246" s="56">
        <f>D246</f>
        <v>100</v>
      </c>
      <c r="D246" s="56">
        <v>100</v>
      </c>
      <c r="E246" s="56"/>
      <c r="F246" s="56">
        <f>G246</f>
        <v>85</v>
      </c>
      <c r="G246" s="56">
        <v>85</v>
      </c>
      <c r="H246" s="56"/>
      <c r="I246" s="56">
        <f>J246</f>
        <v>85</v>
      </c>
      <c r="J246" s="56">
        <v>85</v>
      </c>
      <c r="K246" s="55"/>
    </row>
    <row r="247" spans="1:12" ht="43.5" customHeight="1">
      <c r="A247" s="482" t="s">
        <v>137</v>
      </c>
      <c r="B247" s="482"/>
      <c r="C247" s="482"/>
      <c r="D247" s="482"/>
      <c r="E247" s="482"/>
      <c r="F247" s="482"/>
      <c r="G247" s="482"/>
      <c r="H247" s="482"/>
      <c r="I247" s="482"/>
      <c r="J247" s="482"/>
      <c r="K247" s="482"/>
    </row>
    <row r="248" spans="1:12" ht="42" customHeight="1">
      <c r="A248" s="25" t="s">
        <v>282</v>
      </c>
      <c r="B248" s="55">
        <f>B252</f>
        <v>11255200</v>
      </c>
      <c r="C248" s="55">
        <f>D248+E248</f>
        <v>3518500</v>
      </c>
      <c r="D248" s="55">
        <f>D252</f>
        <v>3518500</v>
      </c>
      <c r="E248" s="55">
        <f>E251</f>
        <v>0</v>
      </c>
      <c r="F248" s="55">
        <f>G248+H248</f>
        <v>3743299.9999999995</v>
      </c>
      <c r="G248" s="55">
        <f>G252</f>
        <v>3743299.9999999995</v>
      </c>
      <c r="H248" s="55">
        <f>H251</f>
        <v>0</v>
      </c>
      <c r="I248" s="55">
        <f>J248+K248</f>
        <v>3993400</v>
      </c>
      <c r="J248" s="55">
        <f>J252</f>
        <v>3993400</v>
      </c>
      <c r="K248" s="55">
        <f>K251</f>
        <v>0</v>
      </c>
      <c r="L248" s="21" t="e">
        <f>#REF!-B248</f>
        <v>#REF!</v>
      </c>
    </row>
    <row r="249" spans="1:12" ht="28.5" customHeight="1">
      <c r="A249" s="218" t="s">
        <v>338</v>
      </c>
      <c r="B249" s="221"/>
      <c r="C249" s="221"/>
      <c r="D249" s="221"/>
      <c r="E249" s="221"/>
      <c r="F249" s="221"/>
      <c r="G249" s="221"/>
      <c r="H249" s="221"/>
      <c r="I249" s="221"/>
      <c r="J249" s="221"/>
      <c r="K249" s="222"/>
    </row>
    <row r="250" spans="1:12" ht="28.5" customHeight="1">
      <c r="A250" s="478" t="s">
        <v>231</v>
      </c>
      <c r="B250" s="479"/>
      <c r="C250" s="479"/>
      <c r="D250" s="479"/>
      <c r="E250" s="479"/>
      <c r="F250" s="479"/>
      <c r="G250" s="479"/>
      <c r="H250" s="479"/>
      <c r="I250" s="479"/>
      <c r="J250" s="479"/>
      <c r="K250" s="480"/>
    </row>
    <row r="251" spans="1:12" ht="28.5" customHeight="1">
      <c r="A251" s="224" t="s">
        <v>79</v>
      </c>
      <c r="B251" s="224"/>
      <c r="C251" s="224"/>
      <c r="D251" s="224"/>
      <c r="E251" s="224"/>
      <c r="F251" s="26"/>
      <c r="G251" s="26"/>
      <c r="H251" s="224"/>
      <c r="I251" s="224"/>
      <c r="J251" s="224"/>
      <c r="K251" s="224"/>
    </row>
    <row r="252" spans="1:12" ht="28.5" customHeight="1">
      <c r="A252" s="26" t="s">
        <v>283</v>
      </c>
      <c r="B252" s="55">
        <f>C252+F252+I252</f>
        <v>11255200</v>
      </c>
      <c r="C252" s="55">
        <f>D252+E252</f>
        <v>3518500</v>
      </c>
      <c r="D252" s="55">
        <f>'Додаток 3'!I131*1000</f>
        <v>3518500</v>
      </c>
      <c r="E252" s="55"/>
      <c r="F252" s="55">
        <f>G252+H252</f>
        <v>3743299.9999999995</v>
      </c>
      <c r="G252" s="55">
        <f>'Додаток 3'!J131*1000</f>
        <v>3743299.9999999995</v>
      </c>
      <c r="H252" s="55"/>
      <c r="I252" s="55">
        <f>J252+K252</f>
        <v>3993400</v>
      </c>
      <c r="J252" s="55">
        <f>'Додаток 3'!K131*1000</f>
        <v>3993400</v>
      </c>
      <c r="K252" s="55"/>
    </row>
    <row r="253" spans="1:12" ht="28.5" customHeight="1">
      <c r="A253" s="26" t="s">
        <v>205</v>
      </c>
      <c r="B253" s="55"/>
      <c r="C253" s="55">
        <v>2</v>
      </c>
      <c r="D253" s="55">
        <v>2</v>
      </c>
      <c r="E253" s="55"/>
      <c r="F253" s="55">
        <v>2</v>
      </c>
      <c r="G253" s="55">
        <v>2</v>
      </c>
      <c r="H253" s="55"/>
      <c r="I253" s="55">
        <v>2</v>
      </c>
      <c r="J253" s="55">
        <v>2</v>
      </c>
      <c r="K253" s="55"/>
    </row>
    <row r="254" spans="1:12" ht="28.5" customHeight="1">
      <c r="A254" s="64" t="s">
        <v>369</v>
      </c>
      <c r="B254" s="55"/>
      <c r="C254" s="56">
        <f>D254</f>
        <v>1</v>
      </c>
      <c r="D254" s="56">
        <v>1</v>
      </c>
      <c r="E254" s="55"/>
      <c r="F254" s="56">
        <f>G254</f>
        <v>1</v>
      </c>
      <c r="G254" s="56">
        <v>1</v>
      </c>
      <c r="H254" s="55"/>
      <c r="I254" s="56">
        <f>J254</f>
        <v>1</v>
      </c>
      <c r="J254" s="56">
        <v>1</v>
      </c>
      <c r="K254" s="55"/>
    </row>
    <row r="255" spans="1:12" ht="28.5" customHeight="1">
      <c r="A255" s="64" t="s">
        <v>370</v>
      </c>
      <c r="B255" s="55"/>
      <c r="C255" s="56">
        <v>1</v>
      </c>
      <c r="D255" s="56">
        <v>1</v>
      </c>
      <c r="E255" s="55"/>
      <c r="F255" s="56">
        <v>1</v>
      </c>
      <c r="G255" s="56">
        <v>1</v>
      </c>
      <c r="H255" s="55"/>
      <c r="I255" s="56">
        <v>1</v>
      </c>
      <c r="J255" s="56">
        <v>1</v>
      </c>
      <c r="K255" s="55"/>
    </row>
    <row r="256" spans="1:12" ht="28.5" customHeight="1">
      <c r="A256" s="26" t="s">
        <v>284</v>
      </c>
      <c r="B256" s="55"/>
      <c r="C256" s="56">
        <f>C257+C258</f>
        <v>21</v>
      </c>
      <c r="D256" s="56">
        <f>D257+D258</f>
        <v>21</v>
      </c>
      <c r="E256" s="56"/>
      <c r="F256" s="56">
        <f t="shared" ref="F256:J256" si="34">F257+F258</f>
        <v>21</v>
      </c>
      <c r="G256" s="56">
        <f t="shared" si="34"/>
        <v>21</v>
      </c>
      <c r="H256" s="56"/>
      <c r="I256" s="56">
        <f t="shared" si="34"/>
        <v>21</v>
      </c>
      <c r="J256" s="56">
        <f t="shared" si="34"/>
        <v>21</v>
      </c>
      <c r="K256" s="55"/>
    </row>
    <row r="257" spans="1:12" ht="28.5" customHeight="1">
      <c r="A257" s="64" t="s">
        <v>236</v>
      </c>
      <c r="B257" s="55"/>
      <c r="C257" s="56">
        <f t="shared" ref="C257:C267" si="35">D257</f>
        <v>10</v>
      </c>
      <c r="D257" s="56">
        <v>10</v>
      </c>
      <c r="E257" s="55"/>
      <c r="F257" s="56">
        <f t="shared" ref="F257:F267" si="36">G257</f>
        <v>10</v>
      </c>
      <c r="G257" s="56">
        <v>10</v>
      </c>
      <c r="H257" s="55"/>
      <c r="I257" s="56">
        <f t="shared" ref="I257:I267" si="37">J257</f>
        <v>10</v>
      </c>
      <c r="J257" s="56">
        <v>10</v>
      </c>
      <c r="K257" s="55"/>
    </row>
    <row r="258" spans="1:12" ht="28.5" customHeight="1">
      <c r="A258" s="64" t="s">
        <v>237</v>
      </c>
      <c r="B258" s="55"/>
      <c r="C258" s="56">
        <f t="shared" si="35"/>
        <v>11</v>
      </c>
      <c r="D258" s="56">
        <v>11</v>
      </c>
      <c r="E258" s="55"/>
      <c r="F258" s="56">
        <f t="shared" si="36"/>
        <v>11</v>
      </c>
      <c r="G258" s="56">
        <v>11</v>
      </c>
      <c r="H258" s="55"/>
      <c r="I258" s="56">
        <f t="shared" si="37"/>
        <v>11</v>
      </c>
      <c r="J258" s="56">
        <v>11</v>
      </c>
      <c r="K258" s="55"/>
    </row>
    <row r="259" spans="1:12" ht="28.5" customHeight="1">
      <c r="A259" s="224" t="s">
        <v>81</v>
      </c>
      <c r="B259" s="56"/>
      <c r="C259" s="56"/>
      <c r="D259" s="56"/>
      <c r="E259" s="56"/>
      <c r="F259" s="56"/>
      <c r="G259" s="56"/>
      <c r="H259" s="56"/>
      <c r="I259" s="56"/>
      <c r="J259" s="56"/>
      <c r="K259" s="55"/>
    </row>
    <row r="260" spans="1:12" ht="54.75" customHeight="1">
      <c r="A260" s="26" t="s">
        <v>371</v>
      </c>
      <c r="B260" s="56"/>
      <c r="C260" s="56">
        <f t="shared" si="35"/>
        <v>9</v>
      </c>
      <c r="D260" s="59">
        <v>9</v>
      </c>
      <c r="E260" s="56"/>
      <c r="F260" s="56">
        <f t="shared" si="36"/>
        <v>9</v>
      </c>
      <c r="G260" s="59">
        <v>9</v>
      </c>
      <c r="H260" s="56"/>
      <c r="I260" s="56">
        <f t="shared" si="37"/>
        <v>9</v>
      </c>
      <c r="J260" s="59">
        <v>9</v>
      </c>
      <c r="K260" s="55"/>
    </row>
    <row r="261" spans="1:12" ht="53.25" customHeight="1">
      <c r="A261" s="26" t="s">
        <v>372</v>
      </c>
      <c r="B261" s="56"/>
      <c r="C261" s="56">
        <f t="shared" si="35"/>
        <v>800</v>
      </c>
      <c r="D261" s="59">
        <v>800</v>
      </c>
      <c r="E261" s="56"/>
      <c r="F261" s="56">
        <f t="shared" si="36"/>
        <v>800</v>
      </c>
      <c r="G261" s="59">
        <v>800</v>
      </c>
      <c r="H261" s="56"/>
      <c r="I261" s="56">
        <f t="shared" si="37"/>
        <v>800</v>
      </c>
      <c r="J261" s="59">
        <v>800</v>
      </c>
      <c r="K261" s="55"/>
    </row>
    <row r="262" spans="1:12" ht="28.5" customHeight="1">
      <c r="A262" s="26" t="s">
        <v>373</v>
      </c>
      <c r="B262" s="56"/>
      <c r="C262" s="56">
        <f t="shared" si="35"/>
        <v>42</v>
      </c>
      <c r="D262" s="59">
        <v>42</v>
      </c>
      <c r="E262" s="56"/>
      <c r="F262" s="56">
        <f t="shared" si="36"/>
        <v>42</v>
      </c>
      <c r="G262" s="59">
        <v>42</v>
      </c>
      <c r="H262" s="56"/>
      <c r="I262" s="56">
        <f t="shared" si="37"/>
        <v>42</v>
      </c>
      <c r="J262" s="59">
        <v>42</v>
      </c>
      <c r="K262" s="55"/>
    </row>
    <row r="263" spans="1:12" ht="83.25" customHeight="1">
      <c r="A263" s="26" t="s">
        <v>218</v>
      </c>
      <c r="B263" s="56"/>
      <c r="C263" s="56">
        <f t="shared" si="35"/>
        <v>220</v>
      </c>
      <c r="D263" s="59">
        <v>220</v>
      </c>
      <c r="E263" s="56"/>
      <c r="F263" s="56">
        <f t="shared" si="36"/>
        <v>220</v>
      </c>
      <c r="G263" s="59">
        <v>220</v>
      </c>
      <c r="H263" s="56"/>
      <c r="I263" s="56">
        <f t="shared" si="37"/>
        <v>220</v>
      </c>
      <c r="J263" s="59">
        <v>220</v>
      </c>
      <c r="K263" s="55"/>
    </row>
    <row r="264" spans="1:12" ht="28.5" customHeight="1">
      <c r="A264" s="224" t="s">
        <v>82</v>
      </c>
      <c r="B264" s="56"/>
      <c r="C264" s="56"/>
      <c r="D264" s="56"/>
      <c r="E264" s="56"/>
      <c r="F264" s="56"/>
      <c r="G264" s="56"/>
      <c r="H264" s="56"/>
      <c r="I264" s="56"/>
      <c r="J264" s="56"/>
      <c r="K264" s="55"/>
    </row>
    <row r="265" spans="1:12" ht="58.5" customHeight="1">
      <c r="A265" s="26" t="s">
        <v>220</v>
      </c>
      <c r="B265" s="56"/>
      <c r="C265" s="56">
        <f t="shared" si="35"/>
        <v>80</v>
      </c>
      <c r="D265" s="56">
        <f>D261/D257</f>
        <v>80</v>
      </c>
      <c r="E265" s="56"/>
      <c r="F265" s="56">
        <f t="shared" si="36"/>
        <v>80</v>
      </c>
      <c r="G265" s="56">
        <f>G261/G257</f>
        <v>80</v>
      </c>
      <c r="H265" s="56"/>
      <c r="I265" s="56">
        <f t="shared" si="37"/>
        <v>80</v>
      </c>
      <c r="J265" s="56">
        <f>J261/J257</f>
        <v>80</v>
      </c>
      <c r="K265" s="55"/>
      <c r="L265" s="490"/>
    </row>
    <row r="266" spans="1:12" ht="60.75" customHeight="1">
      <c r="A266" s="26" t="s">
        <v>219</v>
      </c>
      <c r="B266" s="56"/>
      <c r="C266" s="56">
        <f t="shared" si="35"/>
        <v>4.2</v>
      </c>
      <c r="D266" s="56">
        <f>D262/D257</f>
        <v>4.2</v>
      </c>
      <c r="E266" s="56"/>
      <c r="F266" s="56">
        <f t="shared" si="36"/>
        <v>4.2</v>
      </c>
      <c r="G266" s="56">
        <f>G262/G257</f>
        <v>4.2</v>
      </c>
      <c r="H266" s="56"/>
      <c r="I266" s="56">
        <f t="shared" si="37"/>
        <v>4.2</v>
      </c>
      <c r="J266" s="56">
        <f>J262/J257</f>
        <v>4.2</v>
      </c>
      <c r="K266" s="55"/>
      <c r="L266" s="490"/>
    </row>
    <row r="267" spans="1:12" ht="79.5" customHeight="1">
      <c r="A267" s="26" t="s">
        <v>221</v>
      </c>
      <c r="B267" s="56"/>
      <c r="C267" s="56">
        <f t="shared" si="35"/>
        <v>20</v>
      </c>
      <c r="D267" s="56">
        <f>D263/D258</f>
        <v>20</v>
      </c>
      <c r="E267" s="56"/>
      <c r="F267" s="56">
        <f t="shared" si="36"/>
        <v>20</v>
      </c>
      <c r="G267" s="56">
        <f>G263/G258</f>
        <v>20</v>
      </c>
      <c r="H267" s="56"/>
      <c r="I267" s="56">
        <f t="shared" si="37"/>
        <v>20</v>
      </c>
      <c r="J267" s="56">
        <f>J263/J258</f>
        <v>20</v>
      </c>
      <c r="K267" s="55"/>
      <c r="L267" s="490"/>
    </row>
    <row r="268" spans="1:12" ht="47.25" customHeight="1">
      <c r="A268" s="478" t="s">
        <v>102</v>
      </c>
      <c r="B268" s="479"/>
      <c r="C268" s="479"/>
      <c r="D268" s="479"/>
      <c r="E268" s="479"/>
      <c r="F268" s="479"/>
      <c r="G268" s="479"/>
      <c r="H268" s="479"/>
      <c r="I268" s="479"/>
      <c r="J268" s="479"/>
      <c r="K268" s="480"/>
    </row>
    <row r="269" spans="1:12" ht="43.5" customHeight="1">
      <c r="A269" s="25" t="s">
        <v>285</v>
      </c>
      <c r="B269" s="55">
        <f>B273+B280+B302+B309+B318</f>
        <v>352273620</v>
      </c>
      <c r="C269" s="55">
        <f>D269+E269</f>
        <v>135613620</v>
      </c>
      <c r="D269" s="55">
        <f>D273+D280</f>
        <v>0</v>
      </c>
      <c r="E269" s="55">
        <f>E273+E280+E302+E309+E318</f>
        <v>135613620</v>
      </c>
      <c r="F269" s="55">
        <f>G269+H269</f>
        <v>108330000</v>
      </c>
      <c r="G269" s="55">
        <f>G273+G280</f>
        <v>0</v>
      </c>
      <c r="H269" s="55">
        <f>H273+H280+H302</f>
        <v>108330000</v>
      </c>
      <c r="I269" s="55">
        <f>J269+K269</f>
        <v>108330000</v>
      </c>
      <c r="J269" s="55">
        <f>J273+J280</f>
        <v>0</v>
      </c>
      <c r="K269" s="55">
        <f>K273+K280+K302</f>
        <v>108330000</v>
      </c>
    </row>
    <row r="270" spans="1:12" ht="28.5" customHeight="1">
      <c r="A270" s="491" t="s">
        <v>339</v>
      </c>
      <c r="B270" s="492"/>
      <c r="C270" s="492"/>
      <c r="D270" s="492"/>
      <c r="E270" s="492"/>
      <c r="F270" s="492"/>
      <c r="G270" s="492"/>
      <c r="H270" s="492"/>
      <c r="I270" s="492"/>
      <c r="J270" s="492"/>
      <c r="K270" s="493"/>
    </row>
    <row r="271" spans="1:12" ht="28.5" customHeight="1">
      <c r="A271" s="475" t="s">
        <v>340</v>
      </c>
      <c r="B271" s="476"/>
      <c r="C271" s="476"/>
      <c r="D271" s="476"/>
      <c r="E271" s="476"/>
      <c r="F271" s="476"/>
      <c r="G271" s="476"/>
      <c r="H271" s="476"/>
      <c r="I271" s="476"/>
      <c r="J271" s="476"/>
      <c r="K271" s="477"/>
    </row>
    <row r="272" spans="1:12" ht="28.5" customHeight="1">
      <c r="A272" s="224" t="s">
        <v>79</v>
      </c>
      <c r="B272" s="219"/>
      <c r="C272" s="219"/>
      <c r="D272" s="223"/>
      <c r="E272" s="219"/>
      <c r="F272" s="219"/>
      <c r="G272" s="219"/>
      <c r="H272" s="219"/>
      <c r="I272" s="219"/>
      <c r="J272" s="219"/>
      <c r="K272" s="219"/>
    </row>
    <row r="273" spans="1:11" ht="63" customHeight="1">
      <c r="A273" s="26" t="s">
        <v>433</v>
      </c>
      <c r="B273" s="59">
        <f>C273+F273+I273</f>
        <v>240490000</v>
      </c>
      <c r="C273" s="59">
        <f>E273+D273</f>
        <v>80430000</v>
      </c>
      <c r="D273" s="59"/>
      <c r="E273" s="59">
        <f>'Додаток 3'!I133*1000</f>
        <v>80430000</v>
      </c>
      <c r="F273" s="59">
        <f>H273</f>
        <v>80030000</v>
      </c>
      <c r="G273" s="59"/>
      <c r="H273" s="59">
        <f>'Додаток 3'!J133*1000</f>
        <v>80030000</v>
      </c>
      <c r="I273" s="59">
        <f>J273+K273</f>
        <v>80030000</v>
      </c>
      <c r="J273" s="59"/>
      <c r="K273" s="59">
        <f>'Додаток 3'!K133*1000</f>
        <v>80030000</v>
      </c>
    </row>
    <row r="274" spans="1:11" ht="28.5" customHeight="1">
      <c r="A274" s="224" t="s">
        <v>81</v>
      </c>
      <c r="B274" s="59"/>
      <c r="C274" s="59"/>
      <c r="D274" s="59"/>
      <c r="E274" s="59"/>
      <c r="F274" s="59"/>
      <c r="G274" s="59"/>
      <c r="H274" s="59"/>
      <c r="I274" s="59"/>
      <c r="J274" s="59"/>
      <c r="K274" s="59"/>
    </row>
    <row r="275" spans="1:11" ht="28.5" customHeight="1">
      <c r="A275" s="48" t="s">
        <v>223</v>
      </c>
      <c r="B275" s="62"/>
      <c r="C275" s="59">
        <f>E275</f>
        <v>63</v>
      </c>
      <c r="D275" s="59"/>
      <c r="E275" s="59">
        <f>5+15+1+12+6+7+2+5+6+4</f>
        <v>63</v>
      </c>
      <c r="F275" s="59">
        <f>H275</f>
        <v>63</v>
      </c>
      <c r="G275" s="60"/>
      <c r="H275" s="59">
        <v>63</v>
      </c>
      <c r="I275" s="59">
        <f>K275</f>
        <v>63</v>
      </c>
      <c r="J275" s="59"/>
      <c r="K275" s="59">
        <v>63</v>
      </c>
    </row>
    <row r="276" spans="1:11" ht="28.5" customHeight="1">
      <c r="A276" s="224" t="s">
        <v>82</v>
      </c>
      <c r="B276" s="92"/>
      <c r="C276" s="92"/>
      <c r="D276" s="92"/>
      <c r="E276" s="92"/>
      <c r="F276" s="92"/>
      <c r="G276" s="92"/>
      <c r="H276" s="92"/>
      <c r="I276" s="92"/>
      <c r="J276" s="92"/>
      <c r="K276" s="92"/>
    </row>
    <row r="277" spans="1:11" ht="28.5" customHeight="1">
      <c r="A277" s="48" t="s">
        <v>239</v>
      </c>
      <c r="B277" s="59"/>
      <c r="C277" s="59"/>
      <c r="D277" s="59"/>
      <c r="E277" s="59">
        <f>E273/E275</f>
        <v>1276666.6666666667</v>
      </c>
      <c r="F277" s="59"/>
      <c r="G277" s="59"/>
      <c r="H277" s="59">
        <f>H273/H275</f>
        <v>1270317.4603174604</v>
      </c>
      <c r="I277" s="59"/>
      <c r="J277" s="59"/>
      <c r="K277" s="59">
        <f>K273/K275</f>
        <v>1270317.4603174604</v>
      </c>
    </row>
    <row r="278" spans="1:11" ht="32.25" customHeight="1">
      <c r="A278" s="475" t="s">
        <v>399</v>
      </c>
      <c r="B278" s="476"/>
      <c r="C278" s="476"/>
      <c r="D278" s="476"/>
      <c r="E278" s="476"/>
      <c r="F278" s="476"/>
      <c r="G278" s="476"/>
      <c r="H278" s="476"/>
      <c r="I278" s="476"/>
      <c r="J278" s="476"/>
      <c r="K278" s="477"/>
    </row>
    <row r="279" spans="1:11" ht="32.25" customHeight="1">
      <c r="A279" s="224" t="s">
        <v>79</v>
      </c>
      <c r="B279" s="224"/>
      <c r="C279" s="224"/>
      <c r="D279" s="224"/>
      <c r="E279" s="224"/>
      <c r="F279" s="224"/>
      <c r="G279" s="224"/>
      <c r="H279" s="224"/>
      <c r="I279" s="224"/>
      <c r="J279" s="224"/>
      <c r="K279" s="224"/>
    </row>
    <row r="280" spans="1:11" ht="53.25" customHeight="1">
      <c r="A280" s="26" t="s">
        <v>434</v>
      </c>
      <c r="B280" s="59">
        <f>C280+F280+I280</f>
        <v>84900000</v>
      </c>
      <c r="C280" s="59">
        <f>E280+D280</f>
        <v>28300000</v>
      </c>
      <c r="D280" s="59"/>
      <c r="E280" s="59">
        <f>'Додаток 3'!I145*1000</f>
        <v>28300000</v>
      </c>
      <c r="F280" s="59">
        <f>H280</f>
        <v>28300000</v>
      </c>
      <c r="G280" s="59"/>
      <c r="H280" s="59">
        <f>('Додаток 3'!J145+'Додаток 3'!J157)*1000</f>
        <v>28300000</v>
      </c>
      <c r="I280" s="59">
        <f>J280+K280</f>
        <v>28300000</v>
      </c>
      <c r="J280" s="59"/>
      <c r="K280" s="59">
        <f>('Додаток 3'!K145+'Додаток 3'!K157)*1000</f>
        <v>28300000</v>
      </c>
    </row>
    <row r="281" spans="1:11" ht="28.5" customHeight="1">
      <c r="A281" s="64" t="s">
        <v>192</v>
      </c>
      <c r="B281" s="59"/>
      <c r="C281" s="59">
        <f t="shared" ref="C281:C285" si="38">E281+D281</f>
        <v>5800</v>
      </c>
      <c r="D281" s="59"/>
      <c r="E281" s="59">
        <v>5800</v>
      </c>
      <c r="F281" s="59">
        <f t="shared" ref="F281:F285" si="39">H281</f>
        <v>5800</v>
      </c>
      <c r="G281" s="59"/>
      <c r="H281" s="59">
        <v>5800</v>
      </c>
      <c r="I281" s="59">
        <f t="shared" ref="I281:I285" si="40">J281+K281</f>
        <v>5800</v>
      </c>
      <c r="J281" s="59"/>
      <c r="K281" s="59">
        <v>5800</v>
      </c>
    </row>
    <row r="282" spans="1:11" ht="28.5" customHeight="1">
      <c r="A282" s="64" t="s">
        <v>193</v>
      </c>
      <c r="B282" s="59"/>
      <c r="C282" s="59">
        <f t="shared" si="38"/>
        <v>2640</v>
      </c>
      <c r="D282" s="59"/>
      <c r="E282" s="59">
        <v>2640</v>
      </c>
      <c r="F282" s="59">
        <f t="shared" si="39"/>
        <v>2640</v>
      </c>
      <c r="G282" s="59"/>
      <c r="H282" s="59">
        <v>2640</v>
      </c>
      <c r="I282" s="59">
        <f t="shared" si="40"/>
        <v>2640</v>
      </c>
      <c r="J282" s="59"/>
      <c r="K282" s="59">
        <v>2640</v>
      </c>
    </row>
    <row r="283" spans="1:11" ht="28.5" customHeight="1">
      <c r="A283" s="64" t="s">
        <v>194</v>
      </c>
      <c r="B283" s="59"/>
      <c r="C283" s="59">
        <f t="shared" si="38"/>
        <v>9360</v>
      </c>
      <c r="D283" s="59"/>
      <c r="E283" s="59">
        <v>9360</v>
      </c>
      <c r="F283" s="59">
        <f t="shared" si="39"/>
        <v>9360</v>
      </c>
      <c r="G283" s="59"/>
      <c r="H283" s="59">
        <v>9360</v>
      </c>
      <c r="I283" s="59">
        <f t="shared" si="40"/>
        <v>9360</v>
      </c>
      <c r="J283" s="59"/>
      <c r="K283" s="59">
        <v>9360</v>
      </c>
    </row>
    <row r="284" spans="1:11" ht="28.5" customHeight="1">
      <c r="A284" s="64" t="s">
        <v>222</v>
      </c>
      <c r="B284" s="59"/>
      <c r="C284" s="59">
        <f t="shared" si="38"/>
        <v>2500</v>
      </c>
      <c r="D284" s="59"/>
      <c r="E284" s="59">
        <v>2500</v>
      </c>
      <c r="F284" s="59">
        <f t="shared" si="39"/>
        <v>2500</v>
      </c>
      <c r="G284" s="59"/>
      <c r="H284" s="59">
        <v>2500</v>
      </c>
      <c r="I284" s="59">
        <f t="shared" si="40"/>
        <v>2500</v>
      </c>
      <c r="J284" s="59"/>
      <c r="K284" s="59">
        <v>2500</v>
      </c>
    </row>
    <row r="285" spans="1:11" ht="28.5" customHeight="1">
      <c r="A285" s="64" t="s">
        <v>196</v>
      </c>
      <c r="B285" s="59"/>
      <c r="C285" s="59">
        <f t="shared" si="38"/>
        <v>8000</v>
      </c>
      <c r="D285" s="59"/>
      <c r="E285" s="59">
        <v>8000</v>
      </c>
      <c r="F285" s="59">
        <f t="shared" si="39"/>
        <v>8000</v>
      </c>
      <c r="G285" s="59"/>
      <c r="H285" s="59">
        <v>8000</v>
      </c>
      <c r="I285" s="59">
        <f t="shared" si="40"/>
        <v>8000</v>
      </c>
      <c r="J285" s="59"/>
      <c r="K285" s="59">
        <v>8000</v>
      </c>
    </row>
    <row r="286" spans="1:11" ht="28.5" customHeight="1">
      <c r="A286" s="224" t="s">
        <v>81</v>
      </c>
      <c r="B286" s="59"/>
      <c r="C286" s="59"/>
      <c r="D286" s="59"/>
      <c r="E286" s="59"/>
      <c r="F286" s="59"/>
      <c r="G286" s="59"/>
      <c r="H286" s="59"/>
      <c r="I286" s="59"/>
      <c r="J286" s="59"/>
      <c r="K286" s="59"/>
    </row>
    <row r="287" spans="1:11" ht="28.5" customHeight="1">
      <c r="A287" s="48" t="s">
        <v>287</v>
      </c>
      <c r="B287" s="62"/>
      <c r="C287" s="59">
        <f t="shared" ref="C287:C292" si="41">E287</f>
        <v>19</v>
      </c>
      <c r="D287" s="59"/>
      <c r="E287" s="59">
        <v>19</v>
      </c>
      <c r="F287" s="59">
        <f t="shared" ref="F287:F292" si="42">H287</f>
        <v>19</v>
      </c>
      <c r="G287" s="60"/>
      <c r="H287" s="59">
        <v>19</v>
      </c>
      <c r="I287" s="59">
        <f t="shared" ref="I287:I292" si="43">K287</f>
        <v>19</v>
      </c>
      <c r="J287" s="59"/>
      <c r="K287" s="59">
        <v>19</v>
      </c>
    </row>
    <row r="288" spans="1:11" ht="28.5" customHeight="1">
      <c r="A288" s="64" t="s">
        <v>192</v>
      </c>
      <c r="B288" s="62"/>
      <c r="C288" s="59">
        <f t="shared" si="41"/>
        <v>5</v>
      </c>
      <c r="D288" s="59"/>
      <c r="E288" s="59">
        <v>5</v>
      </c>
      <c r="F288" s="59">
        <f t="shared" si="42"/>
        <v>5</v>
      </c>
      <c r="G288" s="60"/>
      <c r="H288" s="59">
        <v>5</v>
      </c>
      <c r="I288" s="59">
        <f t="shared" si="43"/>
        <v>5</v>
      </c>
      <c r="J288" s="59"/>
      <c r="K288" s="59">
        <v>5</v>
      </c>
    </row>
    <row r="289" spans="1:11" ht="28.5" customHeight="1">
      <c r="A289" s="64" t="s">
        <v>193</v>
      </c>
      <c r="B289" s="62"/>
      <c r="C289" s="59">
        <f t="shared" si="41"/>
        <v>5</v>
      </c>
      <c r="D289" s="59"/>
      <c r="E289" s="59">
        <v>5</v>
      </c>
      <c r="F289" s="59">
        <f t="shared" si="42"/>
        <v>5</v>
      </c>
      <c r="G289" s="60"/>
      <c r="H289" s="59">
        <v>5</v>
      </c>
      <c r="I289" s="59">
        <f t="shared" si="43"/>
        <v>5</v>
      </c>
      <c r="J289" s="59"/>
      <c r="K289" s="59">
        <v>5</v>
      </c>
    </row>
    <row r="290" spans="1:11" ht="28.5" customHeight="1">
      <c r="A290" s="64" t="s">
        <v>194</v>
      </c>
      <c r="B290" s="62"/>
      <c r="C290" s="59">
        <f t="shared" si="41"/>
        <v>6</v>
      </c>
      <c r="D290" s="59"/>
      <c r="E290" s="59">
        <v>6</v>
      </c>
      <c r="F290" s="59">
        <f t="shared" si="42"/>
        <v>6</v>
      </c>
      <c r="G290" s="60"/>
      <c r="H290" s="59">
        <v>6</v>
      </c>
      <c r="I290" s="59">
        <f t="shared" si="43"/>
        <v>6</v>
      </c>
      <c r="J290" s="59"/>
      <c r="K290" s="59">
        <v>6</v>
      </c>
    </row>
    <row r="291" spans="1:11" ht="28.5" customHeight="1">
      <c r="A291" s="64" t="s">
        <v>195</v>
      </c>
      <c r="B291" s="62"/>
      <c r="C291" s="59">
        <f t="shared" si="41"/>
        <v>1</v>
      </c>
      <c r="D291" s="59"/>
      <c r="E291" s="59">
        <v>1</v>
      </c>
      <c r="F291" s="59">
        <f t="shared" si="42"/>
        <v>1</v>
      </c>
      <c r="G291" s="60"/>
      <c r="H291" s="59">
        <v>1</v>
      </c>
      <c r="I291" s="59">
        <f t="shared" si="43"/>
        <v>1</v>
      </c>
      <c r="J291" s="59"/>
      <c r="K291" s="59">
        <v>1</v>
      </c>
    </row>
    <row r="292" spans="1:11" ht="28.5" customHeight="1">
      <c r="A292" s="64" t="s">
        <v>196</v>
      </c>
      <c r="B292" s="62"/>
      <c r="C292" s="59">
        <f t="shared" si="41"/>
        <v>2</v>
      </c>
      <c r="D292" s="59"/>
      <c r="E292" s="59">
        <v>2</v>
      </c>
      <c r="F292" s="59">
        <f t="shared" si="42"/>
        <v>2</v>
      </c>
      <c r="G292" s="60"/>
      <c r="H292" s="59">
        <v>2</v>
      </c>
      <c r="I292" s="59">
        <f t="shared" si="43"/>
        <v>2</v>
      </c>
      <c r="J292" s="59"/>
      <c r="K292" s="59">
        <v>2</v>
      </c>
    </row>
    <row r="293" spans="1:11" ht="28.5" customHeight="1">
      <c r="A293" s="224" t="s">
        <v>82</v>
      </c>
      <c r="B293" s="59"/>
      <c r="C293" s="59"/>
      <c r="D293" s="59"/>
      <c r="E293" s="59"/>
      <c r="F293" s="59"/>
      <c r="G293" s="59"/>
      <c r="H293" s="59"/>
      <c r="I293" s="59"/>
      <c r="J293" s="59"/>
      <c r="K293" s="59"/>
    </row>
    <row r="294" spans="1:11" ht="28.5" customHeight="1">
      <c r="A294" s="48" t="s">
        <v>286</v>
      </c>
      <c r="B294" s="59"/>
      <c r="C294" s="59"/>
      <c r="D294" s="59"/>
      <c r="E294" s="59"/>
      <c r="F294" s="59"/>
      <c r="G294" s="59"/>
      <c r="H294" s="59"/>
      <c r="I294" s="59"/>
      <c r="J294" s="59"/>
      <c r="K294" s="59"/>
    </row>
    <row r="295" spans="1:11" ht="28.5" customHeight="1">
      <c r="A295" s="64" t="s">
        <v>192</v>
      </c>
      <c r="B295" s="59"/>
      <c r="C295" s="59"/>
      <c r="D295" s="59"/>
      <c r="E295" s="59">
        <f>E281/E288</f>
        <v>1160</v>
      </c>
      <c r="F295" s="59"/>
      <c r="G295" s="59"/>
      <c r="H295" s="59">
        <f>H281/H288</f>
        <v>1160</v>
      </c>
      <c r="I295" s="59"/>
      <c r="J295" s="59"/>
      <c r="K295" s="59">
        <f>K281/K288</f>
        <v>1160</v>
      </c>
    </row>
    <row r="296" spans="1:11" ht="28.5" customHeight="1">
      <c r="A296" s="64" t="s">
        <v>193</v>
      </c>
      <c r="B296" s="59"/>
      <c r="C296" s="59"/>
      <c r="D296" s="59"/>
      <c r="E296" s="59">
        <f t="shared" ref="E296:E299" si="44">E282/E289</f>
        <v>528</v>
      </c>
      <c r="F296" s="59"/>
      <c r="G296" s="59"/>
      <c r="H296" s="59">
        <f t="shared" ref="H296:H299" si="45">H282/H289</f>
        <v>528</v>
      </c>
      <c r="I296" s="59"/>
      <c r="J296" s="59"/>
      <c r="K296" s="59">
        <f t="shared" ref="K296:K299" si="46">K282/K289</f>
        <v>528</v>
      </c>
    </row>
    <row r="297" spans="1:11" ht="28.5" customHeight="1">
      <c r="A297" s="64" t="s">
        <v>194</v>
      </c>
      <c r="B297" s="59"/>
      <c r="C297" s="59"/>
      <c r="D297" s="59"/>
      <c r="E297" s="59">
        <f t="shared" si="44"/>
        <v>1560</v>
      </c>
      <c r="F297" s="59"/>
      <c r="G297" s="59"/>
      <c r="H297" s="59">
        <f t="shared" si="45"/>
        <v>1560</v>
      </c>
      <c r="I297" s="59"/>
      <c r="J297" s="59"/>
      <c r="K297" s="59">
        <f t="shared" si="46"/>
        <v>1560</v>
      </c>
    </row>
    <row r="298" spans="1:11" ht="28.5" customHeight="1">
      <c r="A298" s="64" t="s">
        <v>195</v>
      </c>
      <c r="B298" s="59"/>
      <c r="C298" s="59"/>
      <c r="D298" s="59"/>
      <c r="E298" s="59">
        <f t="shared" si="44"/>
        <v>2500</v>
      </c>
      <c r="F298" s="59"/>
      <c r="G298" s="59"/>
      <c r="H298" s="59">
        <f t="shared" si="45"/>
        <v>2500</v>
      </c>
      <c r="I298" s="59"/>
      <c r="J298" s="59"/>
      <c r="K298" s="59">
        <f t="shared" si="46"/>
        <v>2500</v>
      </c>
    </row>
    <row r="299" spans="1:11" ht="28.5" customHeight="1">
      <c r="A299" s="64" t="s">
        <v>196</v>
      </c>
      <c r="B299" s="59"/>
      <c r="C299" s="59"/>
      <c r="D299" s="59"/>
      <c r="E299" s="59">
        <f t="shared" si="44"/>
        <v>4000</v>
      </c>
      <c r="F299" s="59"/>
      <c r="G299" s="59"/>
      <c r="H299" s="59">
        <f t="shared" si="45"/>
        <v>4000</v>
      </c>
      <c r="I299" s="59"/>
      <c r="J299" s="59"/>
      <c r="K299" s="59">
        <f t="shared" si="46"/>
        <v>4000</v>
      </c>
    </row>
    <row r="300" spans="1:11" ht="28.5" customHeight="1">
      <c r="A300" s="475" t="s">
        <v>400</v>
      </c>
      <c r="B300" s="476"/>
      <c r="C300" s="476"/>
      <c r="D300" s="476"/>
      <c r="E300" s="476"/>
      <c r="F300" s="476"/>
      <c r="G300" s="476"/>
      <c r="H300" s="476"/>
      <c r="I300" s="476"/>
      <c r="J300" s="476"/>
      <c r="K300" s="477"/>
    </row>
    <row r="301" spans="1:11" ht="28.5" customHeight="1">
      <c r="A301" s="224" t="s">
        <v>79</v>
      </c>
      <c r="B301" s="224"/>
      <c r="C301" s="224"/>
      <c r="D301" s="224"/>
      <c r="E301" s="224"/>
      <c r="F301" s="224"/>
      <c r="G301" s="224"/>
      <c r="H301" s="224"/>
      <c r="I301" s="224"/>
      <c r="J301" s="224"/>
      <c r="K301" s="224"/>
    </row>
    <row r="302" spans="1:11" ht="54.75" customHeight="1">
      <c r="A302" s="26" t="s">
        <v>435</v>
      </c>
      <c r="B302" s="59">
        <f>C302+F302+I302</f>
        <v>16800000</v>
      </c>
      <c r="C302" s="59">
        <f>'Додаток 3'!H156*1000</f>
        <v>16800000</v>
      </c>
      <c r="D302" s="59"/>
      <c r="E302" s="59">
        <f>'Додаток 3'!I156*1000</f>
        <v>16800000</v>
      </c>
      <c r="F302" s="59"/>
      <c r="G302" s="59"/>
      <c r="H302" s="59">
        <f>'Додаток 3'!J157*1000</f>
        <v>0</v>
      </c>
      <c r="I302" s="59"/>
      <c r="J302" s="59"/>
      <c r="K302" s="59">
        <f>'Додаток 3'!K157*1000</f>
        <v>0</v>
      </c>
    </row>
    <row r="303" spans="1:11" ht="33.75" customHeight="1">
      <c r="A303" s="224" t="s">
        <v>81</v>
      </c>
      <c r="B303" s="59"/>
      <c r="C303" s="59"/>
      <c r="D303" s="59"/>
      <c r="E303" s="59"/>
      <c r="F303" s="59"/>
      <c r="G303" s="59"/>
      <c r="H303" s="59"/>
      <c r="I303" s="59"/>
      <c r="J303" s="59"/>
      <c r="K303" s="59"/>
    </row>
    <row r="304" spans="1:11" ht="54.75" customHeight="1">
      <c r="A304" s="48" t="s">
        <v>224</v>
      </c>
      <c r="B304" s="62"/>
      <c r="C304" s="59">
        <v>1</v>
      </c>
      <c r="D304" s="59"/>
      <c r="E304" s="59">
        <v>1</v>
      </c>
      <c r="F304" s="59">
        <v>1</v>
      </c>
      <c r="G304" s="60"/>
      <c r="H304" s="59">
        <v>1</v>
      </c>
      <c r="I304" s="59">
        <v>1</v>
      </c>
      <c r="J304" s="59"/>
      <c r="K304" s="59">
        <v>1</v>
      </c>
    </row>
    <row r="305" spans="1:11" ht="28.5" customHeight="1">
      <c r="A305" s="224" t="s">
        <v>82</v>
      </c>
      <c r="B305" s="59"/>
      <c r="C305" s="59"/>
      <c r="D305" s="59"/>
      <c r="E305" s="59"/>
      <c r="F305" s="59"/>
      <c r="G305" s="59"/>
      <c r="H305" s="59"/>
      <c r="I305" s="59"/>
      <c r="J305" s="59"/>
      <c r="K305" s="59"/>
    </row>
    <row r="306" spans="1:11" ht="28.5" customHeight="1">
      <c r="A306" s="48" t="s">
        <v>238</v>
      </c>
      <c r="B306" s="59"/>
      <c r="C306" s="59"/>
      <c r="D306" s="59"/>
      <c r="E306" s="59">
        <f>E302/E304</f>
        <v>16800000</v>
      </c>
      <c r="F306" s="59"/>
      <c r="G306" s="59"/>
      <c r="H306" s="59"/>
      <c r="I306" s="59"/>
      <c r="J306" s="59"/>
      <c r="K306" s="59"/>
    </row>
    <row r="307" spans="1:11" ht="30" customHeight="1">
      <c r="A307" s="484" t="s">
        <v>437</v>
      </c>
      <c r="B307" s="484"/>
      <c r="C307" s="484"/>
      <c r="D307" s="484"/>
      <c r="E307" s="484"/>
      <c r="F307" s="484"/>
      <c r="G307" s="484"/>
      <c r="H307" s="484"/>
      <c r="I307" s="484"/>
      <c r="J307" s="484"/>
      <c r="K307" s="484"/>
    </row>
    <row r="308" spans="1:11" ht="28.5" customHeight="1">
      <c r="A308" s="224" t="s">
        <v>79</v>
      </c>
      <c r="B308" s="59"/>
      <c r="C308" s="59"/>
      <c r="D308" s="59"/>
      <c r="E308" s="59"/>
      <c r="F308" s="59"/>
      <c r="G308" s="59"/>
      <c r="H308" s="59"/>
      <c r="I308" s="59"/>
      <c r="J308" s="59"/>
      <c r="K308" s="59"/>
    </row>
    <row r="309" spans="1:11" ht="58.5" customHeight="1">
      <c r="A309" s="26" t="s">
        <v>404</v>
      </c>
      <c r="B309" s="93">
        <f>C309+F309+I309</f>
        <v>7083620</v>
      </c>
      <c r="C309" s="93">
        <f>'Додаток 3'!H160*1000</f>
        <v>7083620</v>
      </c>
      <c r="D309" s="92"/>
      <c r="E309" s="93">
        <f>'Додаток 3'!I160*1000</f>
        <v>7083620</v>
      </c>
      <c r="F309" s="93"/>
      <c r="G309" s="93"/>
      <c r="H309" s="93">
        <f>'Додаток 3'!J160*1000</f>
        <v>0</v>
      </c>
      <c r="I309" s="93"/>
      <c r="J309" s="93"/>
      <c r="K309" s="93">
        <f>'Додаток 3'!K160*1000</f>
        <v>0</v>
      </c>
    </row>
    <row r="310" spans="1:11" ht="29.25" customHeight="1">
      <c r="A310" s="224" t="s">
        <v>81</v>
      </c>
      <c r="B310" s="93"/>
      <c r="C310" s="93"/>
      <c r="D310" s="92"/>
      <c r="E310" s="93"/>
      <c r="F310" s="93"/>
      <c r="G310" s="93"/>
      <c r="H310" s="93"/>
      <c r="I310" s="93"/>
      <c r="J310" s="93"/>
      <c r="K310" s="93"/>
    </row>
    <row r="311" spans="1:11" ht="28.5" customHeight="1">
      <c r="A311" s="269" t="s">
        <v>405</v>
      </c>
      <c r="B311" s="93"/>
      <c r="C311" s="93">
        <f>E311</f>
        <v>3</v>
      </c>
      <c r="D311" s="92"/>
      <c r="E311" s="93">
        <v>3</v>
      </c>
      <c r="F311" s="93"/>
      <c r="G311" s="93"/>
      <c r="H311" s="93">
        <v>0</v>
      </c>
      <c r="I311" s="93"/>
      <c r="J311" s="93"/>
      <c r="K311" s="93">
        <v>0</v>
      </c>
    </row>
    <row r="312" spans="1:11" ht="28.5" customHeight="1">
      <c r="A312" s="224" t="s">
        <v>82</v>
      </c>
      <c r="B312" s="93"/>
      <c r="C312" s="93"/>
      <c r="D312" s="92"/>
      <c r="E312" s="92"/>
      <c r="F312" s="92"/>
      <c r="G312" s="92"/>
      <c r="H312" s="92"/>
      <c r="I312" s="92"/>
      <c r="J312" s="92"/>
      <c r="K312" s="92"/>
    </row>
    <row r="313" spans="1:11" ht="57" customHeight="1">
      <c r="A313" s="48" t="s">
        <v>406</v>
      </c>
      <c r="B313" s="93"/>
      <c r="C313" s="93">
        <f>C309/C311</f>
        <v>2361206.6666666665</v>
      </c>
      <c r="D313" s="92"/>
      <c r="E313" s="93">
        <f>E309/E311</f>
        <v>2361206.6666666665</v>
      </c>
      <c r="F313" s="92"/>
      <c r="G313" s="92"/>
      <c r="H313" s="92"/>
      <c r="I313" s="92"/>
      <c r="J313" s="92"/>
      <c r="K313" s="92"/>
    </row>
    <row r="314" spans="1:11" ht="27" customHeight="1">
      <c r="A314" s="268" t="s">
        <v>83</v>
      </c>
      <c r="B314" s="93"/>
      <c r="C314" s="93"/>
      <c r="D314" s="92"/>
      <c r="E314" s="93"/>
      <c r="F314" s="92"/>
      <c r="G314" s="92"/>
      <c r="H314" s="92"/>
      <c r="I314" s="92"/>
      <c r="J314" s="92"/>
      <c r="K314" s="92"/>
    </row>
    <row r="315" spans="1:11" ht="53.25" customHeight="1">
      <c r="A315" s="48" t="s">
        <v>407</v>
      </c>
      <c r="B315" s="93"/>
      <c r="C315" s="93">
        <v>100</v>
      </c>
      <c r="D315" s="92"/>
      <c r="E315" s="93">
        <v>100</v>
      </c>
      <c r="F315" s="92"/>
      <c r="G315" s="92"/>
      <c r="H315" s="92"/>
      <c r="I315" s="92"/>
      <c r="J315" s="92"/>
      <c r="K315" s="92"/>
    </row>
    <row r="316" spans="1:11" ht="32.25" customHeight="1">
      <c r="A316" s="484" t="s">
        <v>412</v>
      </c>
      <c r="B316" s="484"/>
      <c r="C316" s="484"/>
      <c r="D316" s="484"/>
      <c r="E316" s="484"/>
      <c r="F316" s="484"/>
      <c r="G316" s="484"/>
      <c r="H316" s="484"/>
      <c r="I316" s="484"/>
      <c r="J316" s="484"/>
      <c r="K316" s="484"/>
    </row>
    <row r="317" spans="1:11" ht="30.75" customHeight="1">
      <c r="A317" s="224" t="s">
        <v>79</v>
      </c>
      <c r="B317" s="93"/>
      <c r="C317" s="93"/>
      <c r="D317" s="92"/>
      <c r="E317" s="93"/>
      <c r="F317" s="92"/>
      <c r="G317" s="92"/>
      <c r="H317" s="92"/>
      <c r="I317" s="92"/>
      <c r="J317" s="92"/>
      <c r="K317" s="92"/>
    </row>
    <row r="318" spans="1:11" ht="53.25" customHeight="1">
      <c r="A318" s="48" t="s">
        <v>431</v>
      </c>
      <c r="B318" s="93">
        <f>C318</f>
        <v>3000000</v>
      </c>
      <c r="C318" s="93">
        <f>E318</f>
        <v>3000000</v>
      </c>
      <c r="D318" s="92"/>
      <c r="E318" s="93">
        <f>'Додаток 3'!I167*1000</f>
        <v>3000000</v>
      </c>
      <c r="F318" s="92"/>
      <c r="G318" s="92"/>
      <c r="H318" s="92"/>
      <c r="I318" s="92"/>
      <c r="J318" s="92"/>
      <c r="K318" s="92"/>
    </row>
    <row r="319" spans="1:11" ht="34.5" customHeight="1">
      <c r="A319" s="224" t="s">
        <v>81</v>
      </c>
      <c r="B319" s="93"/>
      <c r="C319" s="93"/>
      <c r="D319" s="92"/>
      <c r="E319" s="93"/>
      <c r="F319" s="92"/>
      <c r="G319" s="92"/>
      <c r="H319" s="92"/>
      <c r="I319" s="92"/>
      <c r="J319" s="92"/>
      <c r="K319" s="92"/>
    </row>
    <row r="320" spans="1:11" ht="32.25" customHeight="1">
      <c r="A320" s="80" t="s">
        <v>430</v>
      </c>
      <c r="B320" s="93"/>
      <c r="C320" s="93">
        <f>E320</f>
        <v>9</v>
      </c>
      <c r="D320" s="92"/>
      <c r="E320" s="93">
        <v>9</v>
      </c>
      <c r="F320" s="92"/>
      <c r="G320" s="92"/>
      <c r="H320" s="92"/>
      <c r="I320" s="92"/>
      <c r="J320" s="92"/>
      <c r="K320" s="92"/>
    </row>
    <row r="321" spans="1:11" ht="38.25" customHeight="1">
      <c r="A321" s="224" t="s">
        <v>82</v>
      </c>
      <c r="B321" s="93"/>
      <c r="C321" s="93"/>
      <c r="D321" s="92"/>
      <c r="E321" s="93"/>
      <c r="F321" s="92"/>
      <c r="G321" s="92"/>
      <c r="H321" s="92"/>
      <c r="I321" s="92"/>
      <c r="J321" s="92"/>
      <c r="K321" s="92"/>
    </row>
    <row r="322" spans="1:11" ht="53.25" customHeight="1">
      <c r="A322" s="26" t="s">
        <v>432</v>
      </c>
      <c r="B322" s="93"/>
      <c r="C322" s="93">
        <f>E322</f>
        <v>333333.33333333331</v>
      </c>
      <c r="D322" s="92"/>
      <c r="E322" s="93">
        <f>E318/E320</f>
        <v>333333.33333333331</v>
      </c>
      <c r="F322" s="92"/>
      <c r="G322" s="92"/>
      <c r="H322" s="92"/>
      <c r="I322" s="92"/>
      <c r="J322" s="92"/>
      <c r="K322" s="92"/>
    </row>
    <row r="323" spans="1:11" s="27" customFormat="1" ht="28.5" customHeight="1">
      <c r="A323" s="28"/>
      <c r="B323" s="29"/>
      <c r="C323" s="30"/>
      <c r="D323" s="30"/>
      <c r="E323" s="30"/>
      <c r="F323" s="30"/>
      <c r="G323" s="30"/>
      <c r="H323" s="30"/>
      <c r="I323" s="30"/>
      <c r="J323" s="30"/>
      <c r="K323" s="30"/>
    </row>
    <row r="324" spans="1:11" s="27" customFormat="1" ht="28.5" customHeight="1">
      <c r="A324" s="40" t="s">
        <v>147</v>
      </c>
      <c r="B324" s="29"/>
      <c r="C324" s="30"/>
      <c r="D324" s="30"/>
      <c r="E324" s="30"/>
      <c r="F324" s="30"/>
      <c r="G324" s="30"/>
      <c r="H324" s="30"/>
      <c r="I324" s="44" t="s">
        <v>382</v>
      </c>
      <c r="J324" s="30"/>
      <c r="K324" s="30"/>
    </row>
    <row r="325" spans="1:11" s="27" customFormat="1" ht="28.5" customHeight="1">
      <c r="A325" s="28"/>
      <c r="B325" s="29"/>
      <c r="C325" s="30"/>
      <c r="D325" s="30"/>
      <c r="E325" s="30"/>
      <c r="F325" s="30"/>
      <c r="G325" s="30"/>
      <c r="H325" s="30"/>
      <c r="I325" s="30"/>
      <c r="J325" s="30"/>
      <c r="K325" s="30"/>
    </row>
    <row r="326" spans="1:11" s="27" customFormat="1" ht="28.5" customHeight="1">
      <c r="A326" s="38" t="s">
        <v>25</v>
      </c>
      <c r="B326" s="40"/>
      <c r="C326" s="41"/>
      <c r="D326" s="42"/>
      <c r="E326" s="40"/>
      <c r="F326" s="43"/>
      <c r="G326" s="43"/>
      <c r="H326" s="43"/>
      <c r="J326" s="34"/>
      <c r="K326" s="36"/>
    </row>
    <row r="327" spans="1:11" s="27" customFormat="1" ht="28.5" customHeight="1">
      <c r="A327" s="31"/>
      <c r="B327" s="31"/>
      <c r="C327" s="32"/>
      <c r="D327" s="33"/>
      <c r="E327" s="31"/>
      <c r="F327" s="34"/>
      <c r="G327" s="34"/>
      <c r="H327" s="34"/>
      <c r="I327" s="35"/>
      <c r="J327" s="34"/>
      <c r="K327" s="36"/>
    </row>
    <row r="328" spans="1:11" ht="28.5" customHeight="1">
      <c r="B328" s="31"/>
      <c r="C328" s="39"/>
      <c r="D328" s="33"/>
      <c r="E328" s="31"/>
      <c r="F328" s="34"/>
      <c r="G328" s="34"/>
      <c r="H328" s="34"/>
      <c r="I328" s="34"/>
      <c r="J328" s="34"/>
      <c r="K328" s="37"/>
    </row>
    <row r="329" spans="1:11" ht="28.5" customHeight="1">
      <c r="A329" s="31"/>
      <c r="B329" s="31"/>
      <c r="C329" s="31"/>
      <c r="D329" s="33"/>
      <c r="E329" s="31"/>
      <c r="F329" s="34"/>
      <c r="G329" s="34"/>
      <c r="H329" s="34"/>
      <c r="I329" s="34"/>
      <c r="J329" s="34"/>
      <c r="K329" s="37"/>
    </row>
    <row r="330" spans="1:11" ht="28.5" customHeight="1">
      <c r="A330" s="31"/>
      <c r="B330" s="31"/>
      <c r="C330" s="31"/>
      <c r="D330" s="31"/>
      <c r="E330" s="31"/>
      <c r="F330" s="31"/>
      <c r="G330" s="31"/>
      <c r="H330" s="31"/>
      <c r="I330" s="31"/>
      <c r="J330" s="31"/>
    </row>
  </sheetData>
  <mergeCells count="53">
    <mergeCell ref="A271:K271"/>
    <mergeCell ref="A268:K268"/>
    <mergeCell ref="A270:K270"/>
    <mergeCell ref="A77:K77"/>
    <mergeCell ref="A84:K84"/>
    <mergeCell ref="A93:K93"/>
    <mergeCell ref="A162:K162"/>
    <mergeCell ref="A163:K163"/>
    <mergeCell ref="A174:K174"/>
    <mergeCell ref="A173:K173"/>
    <mergeCell ref="A154:K154"/>
    <mergeCell ref="A198:K198"/>
    <mergeCell ref="A316:K316"/>
    <mergeCell ref="L108:T109"/>
    <mergeCell ref="A188:K188"/>
    <mergeCell ref="A200:K200"/>
    <mergeCell ref="A209:K209"/>
    <mergeCell ref="A225:K225"/>
    <mergeCell ref="A145:K145"/>
    <mergeCell ref="L265:L267"/>
    <mergeCell ref="A247:K247"/>
    <mergeCell ref="A250:K250"/>
    <mergeCell ref="A278:K278"/>
    <mergeCell ref="A300:K300"/>
    <mergeCell ref="A307:K307"/>
    <mergeCell ref="A234:K234"/>
    <mergeCell ref="A118:K118"/>
    <mergeCell ref="A129:K129"/>
    <mergeCell ref="H2:K2"/>
    <mergeCell ref="A14:K14"/>
    <mergeCell ref="A13:K13"/>
    <mergeCell ref="H3:K3"/>
    <mergeCell ref="A5:K5"/>
    <mergeCell ref="A7:A10"/>
    <mergeCell ref="B7:B10"/>
    <mergeCell ref="C7:E8"/>
    <mergeCell ref="F7:H8"/>
    <mergeCell ref="I7:K8"/>
    <mergeCell ref="C9:C10"/>
    <mergeCell ref="G9:H9"/>
    <mergeCell ref="I9:I10"/>
    <mergeCell ref="J9:K9"/>
    <mergeCell ref="B16:K16"/>
    <mergeCell ref="D9:E9"/>
    <mergeCell ref="F9:F10"/>
    <mergeCell ref="A21:K21"/>
    <mergeCell ref="A68:K68"/>
    <mergeCell ref="B17:K17"/>
    <mergeCell ref="A22:K22"/>
    <mergeCell ref="A32:K32"/>
    <mergeCell ref="A41:K41"/>
    <mergeCell ref="A58:K58"/>
    <mergeCell ref="A57:K57"/>
  </mergeCells>
  <pageMargins left="0.78740157480314965" right="0.78740157480314965" top="1.1023622047244095" bottom="0.39370078740157483" header="0.31496062992125984" footer="0.31496062992125984"/>
  <pageSetup paperSize="9" scale="38" fitToHeight="11" orientation="landscape" r:id="rId1"/>
  <rowBreaks count="3" manualBreakCount="3">
    <brk id="60" max="10" man="1"/>
    <brk id="91" max="10" man="1"/>
    <brk id="122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M29"/>
  <sheetViews>
    <sheetView view="pageBreakPreview" zoomScale="50" zoomScaleNormal="50" zoomScaleSheetLayoutView="50" workbookViewId="0">
      <selection activeCell="C13" sqref="C13:C14"/>
    </sheetView>
  </sheetViews>
  <sheetFormatPr defaultColWidth="9.140625" defaultRowHeight="18.75"/>
  <cols>
    <col min="1" max="1" width="6.85546875" style="8" customWidth="1"/>
    <col min="2" max="2" width="21.85546875" style="8" customWidth="1"/>
    <col min="3" max="3" width="54.140625" style="8" customWidth="1"/>
    <col min="4" max="4" width="24.7109375" style="8" customWidth="1"/>
    <col min="5" max="5" width="23.7109375" style="8" customWidth="1"/>
    <col min="6" max="6" width="25.140625" style="8" customWidth="1"/>
    <col min="7" max="7" width="28.28515625" style="8" customWidth="1"/>
    <col min="8" max="8" width="26.7109375" style="8" customWidth="1"/>
    <col min="9" max="9" width="37.140625" style="8" customWidth="1"/>
    <col min="10" max="10" width="11" style="8" bestFit="1" customWidth="1"/>
    <col min="11" max="11" width="9.5703125" style="8" bestFit="1" customWidth="1"/>
    <col min="12" max="12" width="11" style="8" bestFit="1" customWidth="1"/>
    <col min="13" max="13" width="9.5703125" style="8" bestFit="1" customWidth="1"/>
    <col min="14" max="16384" width="9.140625" style="8"/>
  </cols>
  <sheetData>
    <row r="2" spans="1:13">
      <c r="A2" s="494" t="s">
        <v>403</v>
      </c>
      <c r="B2" s="494"/>
      <c r="C2" s="494"/>
      <c r="D2" s="494"/>
      <c r="E2" s="494"/>
      <c r="F2" s="494"/>
      <c r="G2" s="494"/>
      <c r="H2" s="494"/>
      <c r="I2" s="494"/>
    </row>
    <row r="3" spans="1:13">
      <c r="A3" s="495"/>
      <c r="B3" s="495"/>
      <c r="C3" s="495"/>
      <c r="D3" s="495"/>
      <c r="E3" s="495"/>
      <c r="F3" s="495"/>
      <c r="G3" s="495"/>
      <c r="H3" s="495"/>
      <c r="I3" s="495"/>
    </row>
    <row r="4" spans="1:13">
      <c r="A4" s="496" t="s">
        <v>1</v>
      </c>
      <c r="B4" s="496" t="s">
        <v>2</v>
      </c>
      <c r="C4" s="496" t="s">
        <v>3</v>
      </c>
      <c r="D4" s="496" t="s">
        <v>4</v>
      </c>
      <c r="E4" s="497" t="s">
        <v>390</v>
      </c>
      <c r="F4" s="497" t="s">
        <v>385</v>
      </c>
      <c r="G4" s="497" t="s">
        <v>386</v>
      </c>
      <c r="H4" s="498" t="s">
        <v>387</v>
      </c>
      <c r="I4" s="499"/>
    </row>
    <row r="5" spans="1:13">
      <c r="A5" s="496"/>
      <c r="B5" s="496"/>
      <c r="C5" s="496"/>
      <c r="D5" s="496"/>
      <c r="E5" s="497"/>
      <c r="F5" s="497"/>
      <c r="G5" s="497"/>
      <c r="H5" s="500"/>
      <c r="I5" s="501"/>
    </row>
    <row r="6" spans="1:13" ht="105.75" customHeight="1">
      <c r="A6" s="496"/>
      <c r="B6" s="496"/>
      <c r="C6" s="496"/>
      <c r="D6" s="496"/>
      <c r="E6" s="497"/>
      <c r="F6" s="497"/>
      <c r="G6" s="497"/>
      <c r="H6" s="502"/>
      <c r="I6" s="503"/>
    </row>
    <row r="7" spans="1:13">
      <c r="A7" s="197">
        <v>1</v>
      </c>
      <c r="B7" s="197">
        <v>2</v>
      </c>
      <c r="C7" s="197">
        <v>3</v>
      </c>
      <c r="D7" s="197">
        <v>4</v>
      </c>
      <c r="E7" s="65">
        <v>5</v>
      </c>
      <c r="F7" s="65">
        <v>6</v>
      </c>
      <c r="G7" s="65">
        <v>7</v>
      </c>
      <c r="H7" s="504"/>
      <c r="I7" s="505"/>
    </row>
    <row r="8" spans="1:13" ht="141.75" customHeight="1">
      <c r="A8" s="517" t="s">
        <v>96</v>
      </c>
      <c r="B8" s="515" t="s">
        <v>88</v>
      </c>
      <c r="C8" s="203" t="s">
        <v>391</v>
      </c>
      <c r="D8" s="196" t="s">
        <v>171</v>
      </c>
      <c r="E8" s="66">
        <v>0</v>
      </c>
      <c r="F8" s="66">
        <v>50</v>
      </c>
      <c r="G8" s="66">
        <v>50</v>
      </c>
      <c r="H8" s="506" t="s">
        <v>408</v>
      </c>
      <c r="I8" s="507"/>
    </row>
    <row r="9" spans="1:13" ht="141.75" customHeight="1">
      <c r="A9" s="518"/>
      <c r="B9" s="516"/>
      <c r="C9" s="203" t="s">
        <v>418</v>
      </c>
      <c r="D9" s="196" t="s">
        <v>171</v>
      </c>
      <c r="E9" s="66">
        <v>0</v>
      </c>
      <c r="F9" s="66">
        <v>1000</v>
      </c>
      <c r="G9" s="195">
        <v>1000</v>
      </c>
      <c r="H9" s="506" t="s">
        <v>419</v>
      </c>
      <c r="I9" s="507"/>
    </row>
    <row r="10" spans="1:13">
      <c r="A10" s="508" t="s">
        <v>409</v>
      </c>
      <c r="B10" s="509"/>
      <c r="C10" s="510"/>
      <c r="D10" s="194"/>
      <c r="E10" s="67">
        <f>79535.3-50</f>
        <v>79485.3</v>
      </c>
      <c r="F10" s="67">
        <f>F8+F9</f>
        <v>1050</v>
      </c>
      <c r="G10" s="67">
        <f>E10+F10</f>
        <v>80535.3</v>
      </c>
      <c r="H10" s="511"/>
      <c r="I10" s="512"/>
    </row>
    <row r="11" spans="1:13" ht="191.25" customHeight="1">
      <c r="A11" s="200" t="s">
        <v>95</v>
      </c>
      <c r="B11" s="203" t="s">
        <v>411</v>
      </c>
      <c r="C11" s="203" t="s">
        <v>414</v>
      </c>
      <c r="D11" s="205" t="s">
        <v>169</v>
      </c>
      <c r="E11" s="202">
        <v>300</v>
      </c>
      <c r="F11" s="202">
        <v>64.8</v>
      </c>
      <c r="G11" s="202">
        <v>364.8</v>
      </c>
      <c r="H11" s="506" t="s">
        <v>415</v>
      </c>
      <c r="I11" s="507"/>
    </row>
    <row r="12" spans="1:13" ht="53.25" customHeight="1">
      <c r="A12" s="508" t="s">
        <v>410</v>
      </c>
      <c r="B12" s="509"/>
      <c r="C12" s="510"/>
      <c r="D12" s="201"/>
      <c r="E12" s="67">
        <f>G12-F12</f>
        <v>17297.2</v>
      </c>
      <c r="F12" s="67">
        <v>364.8</v>
      </c>
      <c r="G12" s="67">
        <v>17662</v>
      </c>
      <c r="H12" s="198"/>
      <c r="I12" s="199"/>
    </row>
    <row r="13" spans="1:13" ht="286.5" customHeight="1">
      <c r="A13" s="517" t="s">
        <v>103</v>
      </c>
      <c r="B13" s="513" t="s">
        <v>104</v>
      </c>
      <c r="C13" s="513" t="s">
        <v>395</v>
      </c>
      <c r="D13" s="206" t="s">
        <v>396</v>
      </c>
      <c r="E13" s="66">
        <v>0</v>
      </c>
      <c r="F13" s="66">
        <f>G13-E13</f>
        <v>1836.72</v>
      </c>
      <c r="G13" s="66">
        <v>1836.72</v>
      </c>
      <c r="H13" s="506" t="s">
        <v>402</v>
      </c>
      <c r="I13" s="507"/>
    </row>
    <row r="14" spans="1:13" ht="124.5" customHeight="1">
      <c r="A14" s="523"/>
      <c r="B14" s="514"/>
      <c r="C14" s="514"/>
      <c r="D14" s="204" t="s">
        <v>172</v>
      </c>
      <c r="E14" s="195">
        <v>0</v>
      </c>
      <c r="F14" s="195">
        <v>5246.9</v>
      </c>
      <c r="G14" s="195">
        <f>F14-E14</f>
        <v>5246.9</v>
      </c>
      <c r="H14" s="506" t="s">
        <v>417</v>
      </c>
      <c r="I14" s="507"/>
    </row>
    <row r="15" spans="1:13" ht="124.5" customHeight="1">
      <c r="A15" s="518"/>
      <c r="B15" s="522"/>
      <c r="C15" s="203" t="s">
        <v>412</v>
      </c>
      <c r="D15" s="204" t="s">
        <v>172</v>
      </c>
      <c r="E15" s="66">
        <v>0</v>
      </c>
      <c r="F15" s="66">
        <v>3000</v>
      </c>
      <c r="G15" s="66">
        <v>3000</v>
      </c>
      <c r="H15" s="506" t="s">
        <v>416</v>
      </c>
      <c r="I15" s="507"/>
    </row>
    <row r="16" spans="1:13" ht="46.5" customHeight="1">
      <c r="A16" s="508" t="s">
        <v>401</v>
      </c>
      <c r="B16" s="509"/>
      <c r="C16" s="510"/>
      <c r="D16" s="94"/>
      <c r="E16" s="67">
        <v>125530</v>
      </c>
      <c r="F16" s="67">
        <f>7083.62+3000</f>
        <v>10083.619999999999</v>
      </c>
      <c r="G16" s="67">
        <f>E16+F16</f>
        <v>135613.62</v>
      </c>
      <c r="H16" s="511"/>
      <c r="I16" s="512"/>
      <c r="L16" s="68"/>
      <c r="M16" s="68"/>
    </row>
    <row r="17" spans="1:10" ht="27.75" customHeight="1">
      <c r="A17" s="519" t="s">
        <v>388</v>
      </c>
      <c r="B17" s="520"/>
      <c r="C17" s="521"/>
      <c r="D17" s="94"/>
      <c r="E17" s="69">
        <v>226131</v>
      </c>
      <c r="F17" s="69">
        <f>F8+F11+F13+F14+F15+F9</f>
        <v>11198.42</v>
      </c>
      <c r="G17" s="69">
        <f>E17+F17</f>
        <v>237329.42</v>
      </c>
      <c r="H17" s="511"/>
      <c r="I17" s="512"/>
      <c r="J17" s="68"/>
    </row>
    <row r="19" spans="1:10">
      <c r="I19" s="68"/>
    </row>
    <row r="20" spans="1:10">
      <c r="A20" s="27" t="s">
        <v>147</v>
      </c>
      <c r="B20" s="27"/>
      <c r="C20" s="70"/>
      <c r="D20" s="71"/>
      <c r="E20" s="27"/>
      <c r="F20" s="72" t="s">
        <v>389</v>
      </c>
      <c r="G20" s="73"/>
      <c r="H20" s="73"/>
    </row>
    <row r="21" spans="1:10">
      <c r="A21" s="27"/>
      <c r="B21" s="27"/>
      <c r="C21" s="70"/>
      <c r="D21" s="71"/>
      <c r="E21" s="27"/>
      <c r="F21" s="73"/>
      <c r="G21" s="73"/>
      <c r="H21" s="73"/>
      <c r="I21" s="72"/>
    </row>
    <row r="22" spans="1:10">
      <c r="A22" s="74" t="s">
        <v>25</v>
      </c>
      <c r="B22" s="27"/>
      <c r="C22" s="75"/>
      <c r="D22" s="71"/>
      <c r="E22" s="27"/>
      <c r="F22" s="76"/>
      <c r="G22" s="73"/>
      <c r="H22" s="73"/>
      <c r="I22" s="73"/>
    </row>
    <row r="24" spans="1:10">
      <c r="F24" s="77"/>
    </row>
    <row r="26" spans="1:10">
      <c r="G26" s="77"/>
    </row>
    <row r="27" spans="1:10">
      <c r="F27" s="68"/>
    </row>
    <row r="28" spans="1:10">
      <c r="E28" s="68"/>
      <c r="F28" s="68"/>
      <c r="G28" s="68"/>
    </row>
    <row r="29" spans="1:10">
      <c r="E29" s="77"/>
    </row>
  </sheetData>
  <mergeCells count="28">
    <mergeCell ref="A16:C16"/>
    <mergeCell ref="H16:I16"/>
    <mergeCell ref="A17:C17"/>
    <mergeCell ref="H17:I17"/>
    <mergeCell ref="H11:I11"/>
    <mergeCell ref="A12:C12"/>
    <mergeCell ref="B13:B15"/>
    <mergeCell ref="A13:A15"/>
    <mergeCell ref="H15:I15"/>
    <mergeCell ref="H7:I7"/>
    <mergeCell ref="H8:I8"/>
    <mergeCell ref="A10:C10"/>
    <mergeCell ref="H10:I10"/>
    <mergeCell ref="C13:C14"/>
    <mergeCell ref="H13:I13"/>
    <mergeCell ref="H14:I14"/>
    <mergeCell ref="B8:B9"/>
    <mergeCell ref="A8:A9"/>
    <mergeCell ref="H9:I9"/>
    <mergeCell ref="A2:I3"/>
    <mergeCell ref="A4:A6"/>
    <mergeCell ref="B4:B6"/>
    <mergeCell ref="C4:C6"/>
    <mergeCell ref="D4:D6"/>
    <mergeCell ref="E4:E6"/>
    <mergeCell ref="F4:F6"/>
    <mergeCell ref="G4:G6"/>
    <mergeCell ref="H4:I6"/>
  </mergeCells>
  <pageMargins left="0.31496062992125984" right="0.31496062992125984" top="0.35433070866141736" bottom="0.35433070866141736" header="0.31496062992125984" footer="0.31496062992125984"/>
  <pageSetup paperSize="9" scale="53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6</vt:i4>
      </vt:variant>
    </vt:vector>
  </HeadingPairs>
  <TitlesOfParts>
    <vt:vector size="10" baseType="lpstr">
      <vt:lpstr>Додаток 1</vt:lpstr>
      <vt:lpstr>Додаток 3</vt:lpstr>
      <vt:lpstr>Додаток 4</vt:lpstr>
      <vt:lpstr>порівняльна</vt:lpstr>
      <vt:lpstr>'Додаток 3'!Заголовки_для_печати</vt:lpstr>
      <vt:lpstr>'Додаток 4'!Заголовки_для_печати</vt:lpstr>
      <vt:lpstr>'Додаток 1'!Область_печати</vt:lpstr>
      <vt:lpstr>'Додаток 3'!Область_печати</vt:lpstr>
      <vt:lpstr>'Додаток 4'!Область_печати</vt:lpstr>
      <vt:lpstr>порівняльна!Область_печати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2022-09-30T10:53:01Z</cp:lastPrinted>
  <dcterms:created xsi:type="dcterms:W3CDTF">1996-10-08T23:32:33Z</dcterms:created>
  <dcterms:modified xsi:type="dcterms:W3CDTF">2022-09-30T11:13:42Z</dcterms:modified>
</cp:coreProperties>
</file>