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185" windowHeight="7515" firstSheet="1" activeTab="3"/>
  </bookViews>
  <sheets>
    <sheet name="Додаток 1" sheetId="10" state="hidden" r:id="rId1"/>
    <sheet name="Додаток 2" sheetId="24" r:id="rId2"/>
    <sheet name="Додаток 3" sheetId="25" r:id="rId3"/>
    <sheet name="Додаток 4" sheetId="14" r:id="rId4"/>
  </sheets>
  <definedNames>
    <definedName name="_xlnm._FilterDatabase" localSheetId="2" hidden="1">'Додаток 3'!$A$7:$L$315</definedName>
    <definedName name="_xlnm.Print_Titles" localSheetId="2">'Додаток 3'!$7:$10</definedName>
    <definedName name="_xlnm.Print_Titles" localSheetId="3">'Додаток 4'!$7:$11</definedName>
    <definedName name="_xlnm.Print_Area" localSheetId="0">'Додаток 1'!$A$1:$C$28</definedName>
    <definedName name="_xlnm.Print_Area" localSheetId="1">'Додаток 2'!$A$1:$I$29</definedName>
    <definedName name="_xlnm.Print_Area" localSheetId="2">'Додаток 3'!$A$1:$L$317</definedName>
    <definedName name="_xlnm.Print_Area" localSheetId="3">'Додаток 4'!$A$1:$K$295</definedName>
  </definedNames>
  <calcPr calcId="125725"/>
</workbook>
</file>

<file path=xl/calcChain.xml><?xml version="1.0" encoding="utf-8"?>
<calcChain xmlns="http://schemas.openxmlformats.org/spreadsheetml/2006/main">
  <c r="I152" i="25"/>
  <c r="I80" l="1"/>
  <c r="I53"/>
  <c r="I50"/>
  <c r="J201" i="14"/>
  <c r="J200"/>
  <c r="J199"/>
  <c r="G201"/>
  <c r="G200"/>
  <c r="G199"/>
  <c r="D199"/>
  <c r="J310" i="25"/>
  <c r="K310"/>
  <c r="I311"/>
  <c r="I310"/>
  <c r="D201" i="14"/>
  <c r="D200"/>
  <c r="I306" i="25"/>
  <c r="J306"/>
  <c r="K306"/>
  <c r="I236" l="1"/>
  <c r="I262" s="1"/>
  <c r="I273" l="1"/>
  <c r="J273"/>
  <c r="K273"/>
  <c r="H257" l="1"/>
  <c r="H256"/>
  <c r="H253"/>
  <c r="I248"/>
  <c r="J248"/>
  <c r="K248"/>
  <c r="I166"/>
  <c r="K295"/>
  <c r="J311"/>
  <c r="K311"/>
  <c r="H311"/>
  <c r="H306"/>
  <c r="I305"/>
  <c r="J305"/>
  <c r="K305"/>
  <c r="I300"/>
  <c r="J300"/>
  <c r="K300"/>
  <c r="I301"/>
  <c r="J301"/>
  <c r="K301"/>
  <c r="I295"/>
  <c r="J295"/>
  <c r="I296"/>
  <c r="J296"/>
  <c r="K296"/>
  <c r="I289"/>
  <c r="J289"/>
  <c r="K289"/>
  <c r="I290"/>
  <c r="J290"/>
  <c r="K290"/>
  <c r="I284"/>
  <c r="J284"/>
  <c r="K284"/>
  <c r="I285"/>
  <c r="J285"/>
  <c r="K285"/>
  <c r="I278"/>
  <c r="J278"/>
  <c r="K278"/>
  <c r="I279"/>
  <c r="J279"/>
  <c r="K279"/>
  <c r="I274"/>
  <c r="J274"/>
  <c r="K274"/>
  <c r="I268"/>
  <c r="J268"/>
  <c r="K268"/>
  <c r="I269"/>
  <c r="J269"/>
  <c r="K269"/>
  <c r="D255" i="14"/>
  <c r="H234"/>
  <c r="E234"/>
  <c r="D253"/>
  <c r="J169"/>
  <c r="G169"/>
  <c r="D169"/>
  <c r="I168"/>
  <c r="F168"/>
  <c r="C168"/>
  <c r="C99"/>
  <c r="I214" i="25" l="1"/>
  <c r="I213" l="1"/>
  <c r="G242" i="14" l="1"/>
  <c r="J242"/>
  <c r="D242"/>
  <c r="I97"/>
  <c r="I99"/>
  <c r="I100"/>
  <c r="I101"/>
  <c r="I102"/>
  <c r="I103"/>
  <c r="I105"/>
  <c r="I106"/>
  <c r="I96"/>
  <c r="F96"/>
  <c r="F106"/>
  <c r="F105"/>
  <c r="F103"/>
  <c r="F102"/>
  <c r="F100"/>
  <c r="F99"/>
  <c r="F97"/>
  <c r="C97"/>
  <c r="C100"/>
  <c r="C102"/>
  <c r="C103"/>
  <c r="C105"/>
  <c r="C106"/>
  <c r="C96"/>
  <c r="I243"/>
  <c r="I244"/>
  <c r="I246"/>
  <c r="I247"/>
  <c r="I248"/>
  <c r="I249"/>
  <c r="I240"/>
  <c r="F243"/>
  <c r="F244"/>
  <c r="F246"/>
  <c r="F247"/>
  <c r="F248"/>
  <c r="F249"/>
  <c r="F240"/>
  <c r="J253"/>
  <c r="I253" s="1"/>
  <c r="J252"/>
  <c r="I252" s="1"/>
  <c r="J251"/>
  <c r="I251" s="1"/>
  <c r="G253"/>
  <c r="F253" s="1"/>
  <c r="G252"/>
  <c r="F252" s="1"/>
  <c r="G251"/>
  <c r="F251" s="1"/>
  <c r="C253"/>
  <c r="D252"/>
  <c r="C252" s="1"/>
  <c r="D251"/>
  <c r="C251" s="1"/>
  <c r="C243"/>
  <c r="C244"/>
  <c r="C246"/>
  <c r="C247"/>
  <c r="C248"/>
  <c r="C249"/>
  <c r="C240"/>
  <c r="C242" l="1"/>
  <c r="F242"/>
  <c r="I242"/>
  <c r="C81"/>
  <c r="D79"/>
  <c r="D83" s="1"/>
  <c r="I222" i="25" l="1"/>
  <c r="I261" s="1"/>
  <c r="J173" i="14" l="1"/>
  <c r="J177" s="1"/>
  <c r="G173"/>
  <c r="G177" s="1"/>
  <c r="E15"/>
  <c r="H15"/>
  <c r="K15"/>
  <c r="I162"/>
  <c r="I163"/>
  <c r="I164"/>
  <c r="I165"/>
  <c r="I166"/>
  <c r="I161"/>
  <c r="F162"/>
  <c r="F164"/>
  <c r="F165"/>
  <c r="F166"/>
  <c r="F161"/>
  <c r="C162"/>
  <c r="C164"/>
  <c r="C165"/>
  <c r="C166"/>
  <c r="C161"/>
  <c r="J212"/>
  <c r="G212"/>
  <c r="D212"/>
  <c r="J187"/>
  <c r="I187" s="1"/>
  <c r="G187"/>
  <c r="F187" s="1"/>
  <c r="D187"/>
  <c r="J36"/>
  <c r="G36"/>
  <c r="D36"/>
  <c r="I262"/>
  <c r="I263"/>
  <c r="I264"/>
  <c r="I265"/>
  <c r="I266"/>
  <c r="F262"/>
  <c r="F263"/>
  <c r="F264"/>
  <c r="F265"/>
  <c r="F266"/>
  <c r="C262"/>
  <c r="C263"/>
  <c r="C264"/>
  <c r="C265"/>
  <c r="C266"/>
  <c r="I270"/>
  <c r="I271"/>
  <c r="I272"/>
  <c r="I273"/>
  <c r="I274"/>
  <c r="I275"/>
  <c r="F270"/>
  <c r="F271"/>
  <c r="F272"/>
  <c r="F273"/>
  <c r="F274"/>
  <c r="F275"/>
  <c r="C270"/>
  <c r="C271"/>
  <c r="C272"/>
  <c r="C273"/>
  <c r="C274"/>
  <c r="C275"/>
  <c r="K281"/>
  <c r="K284"/>
  <c r="K283"/>
  <c r="K282"/>
  <c r="K280"/>
  <c r="H284"/>
  <c r="H283"/>
  <c r="H282"/>
  <c r="H281"/>
  <c r="H280"/>
  <c r="E281"/>
  <c r="E282"/>
  <c r="E283"/>
  <c r="E284"/>
  <c r="E280"/>
  <c r="F117"/>
  <c r="I117"/>
  <c r="C117"/>
  <c r="I112"/>
  <c r="F112"/>
  <c r="C112"/>
  <c r="I111"/>
  <c r="F111"/>
  <c r="C111"/>
  <c r="F169" l="1"/>
  <c r="C169"/>
  <c r="I169"/>
  <c r="J180"/>
  <c r="I180" s="1"/>
  <c r="E269" l="1"/>
  <c r="J219" l="1"/>
  <c r="G219"/>
  <c r="D219"/>
  <c r="I173"/>
  <c r="I177" s="1"/>
  <c r="F173"/>
  <c r="F177" s="1"/>
  <c r="J159"/>
  <c r="J170" s="1"/>
  <c r="G159"/>
  <c r="G170" s="1"/>
  <c r="D159"/>
  <c r="J148"/>
  <c r="J152" s="1"/>
  <c r="G148"/>
  <c r="G152" s="1"/>
  <c r="J95"/>
  <c r="G95"/>
  <c r="D95"/>
  <c r="J86"/>
  <c r="G86"/>
  <c r="F86" s="1"/>
  <c r="D86"/>
  <c r="J155" l="1"/>
  <c r="I155" s="1"/>
  <c r="F219"/>
  <c r="G232"/>
  <c r="F232" s="1"/>
  <c r="C219"/>
  <c r="D232"/>
  <c r="C232" s="1"/>
  <c r="J230"/>
  <c r="J232"/>
  <c r="I232" s="1"/>
  <c r="I86"/>
  <c r="J90"/>
  <c r="F95"/>
  <c r="I95"/>
  <c r="C95"/>
  <c r="C86"/>
  <c r="D90"/>
  <c r="I219"/>
  <c r="D230"/>
  <c r="G230"/>
  <c r="G90"/>
  <c r="C159"/>
  <c r="I159"/>
  <c r="I170" s="1"/>
  <c r="I148"/>
  <c r="I152" s="1"/>
  <c r="F159"/>
  <c r="F170" s="1"/>
  <c r="F148"/>
  <c r="F152" s="1"/>
  <c r="J70"/>
  <c r="G70"/>
  <c r="D70"/>
  <c r="B219" l="1"/>
  <c r="D74"/>
  <c r="D76"/>
  <c r="C76" s="1"/>
  <c r="G74"/>
  <c r="G76"/>
  <c r="F76" s="1"/>
  <c r="J74"/>
  <c r="J76"/>
  <c r="I76" s="1"/>
  <c r="B86"/>
  <c r="B95"/>
  <c r="F70"/>
  <c r="B159"/>
  <c r="I70"/>
  <c r="C70"/>
  <c r="C79"/>
  <c r="H252" i="25"/>
  <c r="H285" l="1"/>
  <c r="C83" i="14"/>
  <c r="B79"/>
  <c r="B70"/>
  <c r="C74"/>
  <c r="H215" i="25"/>
  <c r="K126"/>
  <c r="J126"/>
  <c r="J41"/>
  <c r="G60" i="14" s="1"/>
  <c r="I126" i="25"/>
  <c r="I42"/>
  <c r="I44"/>
  <c r="I46"/>
  <c r="I45"/>
  <c r="I43"/>
  <c r="I17"/>
  <c r="I16"/>
  <c r="I81"/>
  <c r="I76"/>
  <c r="D148" i="14" s="1"/>
  <c r="D152" s="1"/>
  <c r="D155" l="1"/>
  <c r="C155" s="1"/>
  <c r="G155"/>
  <c r="F155" s="1"/>
  <c r="G64"/>
  <c r="C148"/>
  <c r="C152" s="1"/>
  <c r="D173"/>
  <c r="I83" i="25"/>
  <c r="F60" i="14"/>
  <c r="F64" s="1"/>
  <c r="D170" l="1"/>
  <c r="D177"/>
  <c r="D180"/>
  <c r="C180" s="1"/>
  <c r="G180"/>
  <c r="F180" s="1"/>
  <c r="C173"/>
  <c r="B148"/>
  <c r="K140" i="25"/>
  <c r="C170" i="14" l="1"/>
  <c r="C177"/>
  <c r="B173"/>
  <c r="H154" i="25"/>
  <c r="H152"/>
  <c r="J140" l="1"/>
  <c r="H75" l="1"/>
  <c r="I24" l="1"/>
  <c r="H23"/>
  <c r="H17"/>
  <c r="H16"/>
  <c r="H15" l="1"/>
  <c r="J161"/>
  <c r="K161"/>
  <c r="I161"/>
  <c r="I157"/>
  <c r="I172" s="1"/>
  <c r="J156"/>
  <c r="K156"/>
  <c r="I160"/>
  <c r="I181" s="1"/>
  <c r="I282" s="1"/>
  <c r="J157"/>
  <c r="K157"/>
  <c r="I151"/>
  <c r="E267" i="14" s="1"/>
  <c r="E285" s="1"/>
  <c r="J151" i="25"/>
  <c r="K151"/>
  <c r="C137" i="14"/>
  <c r="C138"/>
  <c r="C136"/>
  <c r="I137"/>
  <c r="I138"/>
  <c r="I136"/>
  <c r="F137"/>
  <c r="F138"/>
  <c r="F136"/>
  <c r="H157" i="25" l="1"/>
  <c r="H161"/>
  <c r="J132" i="14"/>
  <c r="J140" s="1"/>
  <c r="I140" s="1"/>
  <c r="J133"/>
  <c r="J141" s="1"/>
  <c r="I141" s="1"/>
  <c r="J134"/>
  <c r="J142" s="1"/>
  <c r="I142" s="1"/>
  <c r="G132"/>
  <c r="G140" s="1"/>
  <c r="G133"/>
  <c r="G141" s="1"/>
  <c r="G134"/>
  <c r="G142" s="1"/>
  <c r="D133"/>
  <c r="D141" s="1"/>
  <c r="C141" s="1"/>
  <c r="D134"/>
  <c r="D142" s="1"/>
  <c r="C142" s="1"/>
  <c r="D132"/>
  <c r="D140" l="1"/>
  <c r="C140" s="1"/>
  <c r="I134"/>
  <c r="I132"/>
  <c r="F133"/>
  <c r="C134"/>
  <c r="C132"/>
  <c r="I133"/>
  <c r="F134"/>
  <c r="F132"/>
  <c r="C133"/>
  <c r="I72" i="25" l="1"/>
  <c r="J72"/>
  <c r="K72"/>
  <c r="J58"/>
  <c r="G131" i="14" s="1"/>
  <c r="K58" i="25"/>
  <c r="J131" i="14" s="1"/>
  <c r="I58" i="25"/>
  <c r="D131" i="14" s="1"/>
  <c r="D144" s="1"/>
  <c r="C144" s="1"/>
  <c r="I131" l="1"/>
  <c r="J144"/>
  <c r="I144" s="1"/>
  <c r="F131"/>
  <c r="G144"/>
  <c r="F144" s="1"/>
  <c r="C131"/>
  <c r="H60" i="25"/>
  <c r="H61"/>
  <c r="H59"/>
  <c r="B131" i="14" l="1"/>
  <c r="H58" i="25"/>
  <c r="I269" i="14"/>
  <c r="I88"/>
  <c r="I90" s="1"/>
  <c r="F88"/>
  <c r="F90" s="1"/>
  <c r="I72"/>
  <c r="I74" s="1"/>
  <c r="F72"/>
  <c r="F74" s="1"/>
  <c r="I50"/>
  <c r="F50"/>
  <c r="I49"/>
  <c r="I48"/>
  <c r="F49"/>
  <c r="F48"/>
  <c r="J74" i="25"/>
  <c r="K74"/>
  <c r="I74"/>
  <c r="J166"/>
  <c r="K166"/>
  <c r="H226"/>
  <c r="I291"/>
  <c r="J291"/>
  <c r="K291"/>
  <c r="I283"/>
  <c r="J283"/>
  <c r="K283"/>
  <c r="I267"/>
  <c r="J267"/>
  <c r="K267"/>
  <c r="J261"/>
  <c r="K261"/>
  <c r="J207"/>
  <c r="K207"/>
  <c r="I210"/>
  <c r="I207" s="1"/>
  <c r="H214"/>
  <c r="H211"/>
  <c r="J220"/>
  <c r="K220"/>
  <c r="I220"/>
  <c r="H222"/>
  <c r="H283" s="1"/>
  <c r="H223"/>
  <c r="H291" s="1"/>
  <c r="H224"/>
  <c r="H225"/>
  <c r="H221"/>
  <c r="H212"/>
  <c r="H210" l="1"/>
  <c r="H261"/>
  <c r="H267"/>
  <c r="H220"/>
  <c r="K267" i="14"/>
  <c r="H267"/>
  <c r="J165" i="25"/>
  <c r="K165"/>
  <c r="J164"/>
  <c r="K164"/>
  <c r="H131" l="1"/>
  <c r="J129"/>
  <c r="K129"/>
  <c r="C125" i="14"/>
  <c r="I156" i="25" l="1"/>
  <c r="I169" s="1"/>
  <c r="I260" s="1"/>
  <c r="I129"/>
  <c r="H166"/>
  <c r="I201" i="14"/>
  <c r="I200"/>
  <c r="I199"/>
  <c r="J197"/>
  <c r="J196"/>
  <c r="J195"/>
  <c r="J203" s="1"/>
  <c r="F201"/>
  <c r="F200"/>
  <c r="F199"/>
  <c r="G197"/>
  <c r="G196"/>
  <c r="G195"/>
  <c r="C201"/>
  <c r="C200"/>
  <c r="C199"/>
  <c r="D197"/>
  <c r="C197" s="1"/>
  <c r="D196"/>
  <c r="C196" s="1"/>
  <c r="D195"/>
  <c r="D203" s="1"/>
  <c r="C205" l="1"/>
  <c r="I155" i="25"/>
  <c r="E259" i="14" s="1"/>
  <c r="C259" s="1"/>
  <c r="C195"/>
  <c r="C203" s="1"/>
  <c r="F195"/>
  <c r="F203" s="1"/>
  <c r="G203"/>
  <c r="F197"/>
  <c r="F205" s="1"/>
  <c r="G205"/>
  <c r="I195"/>
  <c r="I203" s="1"/>
  <c r="I197"/>
  <c r="I205" s="1"/>
  <c r="J205"/>
  <c r="F196"/>
  <c r="F204" s="1"/>
  <c r="G204"/>
  <c r="I196"/>
  <c r="I204" s="1"/>
  <c r="J204"/>
  <c r="C204"/>
  <c r="C221"/>
  <c r="C222"/>
  <c r="C223"/>
  <c r="C224"/>
  <c r="C225"/>
  <c r="C226"/>
  <c r="C227"/>
  <c r="C228"/>
  <c r="C230" s="1"/>
  <c r="I212" l="1"/>
  <c r="F212"/>
  <c r="C212"/>
  <c r="D204" l="1"/>
  <c r="C187" l="1"/>
  <c r="I70" i="25" l="1"/>
  <c r="J70"/>
  <c r="K70"/>
  <c r="K66"/>
  <c r="J66"/>
  <c r="I66"/>
  <c r="K55"/>
  <c r="J55"/>
  <c r="I55"/>
  <c r="D120" i="14" s="1"/>
  <c r="C120" s="1"/>
  <c r="B120" s="1"/>
  <c r="I33" i="25" l="1"/>
  <c r="K33"/>
  <c r="J33"/>
  <c r="J34"/>
  <c r="J32"/>
  <c r="K234" i="14"/>
  <c r="J31" i="25" l="1"/>
  <c r="D122" i="14" l="1"/>
  <c r="D128" s="1"/>
  <c r="D121"/>
  <c r="D127" s="1"/>
  <c r="C122" l="1"/>
  <c r="C128" s="1"/>
  <c r="C121"/>
  <c r="C127" s="1"/>
  <c r="C88"/>
  <c r="C90" s="1"/>
  <c r="I103" i="25" l="1"/>
  <c r="J35"/>
  <c r="K35"/>
  <c r="I35"/>
  <c r="H40"/>
  <c r="C36" i="14"/>
  <c r="I198" i="25" l="1"/>
  <c r="I313" s="1"/>
  <c r="J196"/>
  <c r="J309" s="1"/>
  <c r="K196"/>
  <c r="K309" s="1"/>
  <c r="J193"/>
  <c r="J304" s="1"/>
  <c r="K193"/>
  <c r="K304" s="1"/>
  <c r="I165"/>
  <c r="I196" s="1"/>
  <c r="I164"/>
  <c r="I193" s="1"/>
  <c r="I304" s="1"/>
  <c r="I163"/>
  <c r="I190" s="1"/>
  <c r="J160"/>
  <c r="K160"/>
  <c r="J159"/>
  <c r="K159"/>
  <c r="I159"/>
  <c r="I178" s="1"/>
  <c r="I277" s="1"/>
  <c r="J172"/>
  <c r="J266" s="1"/>
  <c r="K172"/>
  <c r="K266" s="1"/>
  <c r="I266"/>
  <c r="J155"/>
  <c r="H259" i="14" s="1"/>
  <c r="F259" s="1"/>
  <c r="K155" i="25"/>
  <c r="K259" i="14" s="1"/>
  <c r="I259" s="1"/>
  <c r="H261"/>
  <c r="K261"/>
  <c r="I261" s="1"/>
  <c r="I140" i="25"/>
  <c r="E261" i="14" s="1"/>
  <c r="H141" i="25"/>
  <c r="H150"/>
  <c r="H149"/>
  <c r="H139"/>
  <c r="J198"/>
  <c r="K198"/>
  <c r="K313" s="1"/>
  <c r="I124"/>
  <c r="I118"/>
  <c r="I184"/>
  <c r="I288" s="1"/>
  <c r="J158"/>
  <c r="K158"/>
  <c r="I158"/>
  <c r="I162"/>
  <c r="I187" s="1"/>
  <c r="I294" s="1"/>
  <c r="I87"/>
  <c r="I171" s="1"/>
  <c r="I265" s="1"/>
  <c r="I264" l="1"/>
  <c r="B259" i="14"/>
  <c r="H160" i="25"/>
  <c r="I175"/>
  <c r="I272" s="1"/>
  <c r="H158"/>
  <c r="H165"/>
  <c r="I309"/>
  <c r="H196"/>
  <c r="H309" s="1"/>
  <c r="H164"/>
  <c r="H193" s="1"/>
  <c r="H304" s="1"/>
  <c r="I199"/>
  <c r="I314" s="1"/>
  <c r="I312" s="1"/>
  <c r="H159"/>
  <c r="I34"/>
  <c r="I102"/>
  <c r="K32"/>
  <c r="I32"/>
  <c r="I28"/>
  <c r="D46" i="14" s="1"/>
  <c r="C46" l="1"/>
  <c r="D54"/>
  <c r="C54" s="1"/>
  <c r="I101" i="25"/>
  <c r="I100" s="1"/>
  <c r="I31"/>
  <c r="I79" l="1"/>
  <c r="I78" s="1"/>
  <c r="I73"/>
  <c r="J103"/>
  <c r="J102" s="1"/>
  <c r="I71"/>
  <c r="J71"/>
  <c r="K71"/>
  <c r="J68"/>
  <c r="J67" s="1"/>
  <c r="K68"/>
  <c r="K67" s="1"/>
  <c r="I68"/>
  <c r="I67" s="1"/>
  <c r="J65"/>
  <c r="I65"/>
  <c r="H48"/>
  <c r="J83"/>
  <c r="J82" s="1"/>
  <c r="K83"/>
  <c r="K82" s="1"/>
  <c r="I82"/>
  <c r="H81"/>
  <c r="H80"/>
  <c r="J69"/>
  <c r="K69"/>
  <c r="H39"/>
  <c r="H38"/>
  <c r="H37"/>
  <c r="H36"/>
  <c r="H83" l="1"/>
  <c r="H82" s="1"/>
  <c r="I69"/>
  <c r="I91"/>
  <c r="H35"/>
  <c r="J73"/>
  <c r="K73"/>
  <c r="K103"/>
  <c r="K102" s="1"/>
  <c r="K127" l="1"/>
  <c r="J238" i="14" s="1"/>
  <c r="J127" i="25"/>
  <c r="G238" i="14" s="1"/>
  <c r="I127" i="25"/>
  <c r="D238" i="14" s="1"/>
  <c r="J124" i="25"/>
  <c r="K124"/>
  <c r="J123"/>
  <c r="K123"/>
  <c r="I123"/>
  <c r="J122"/>
  <c r="K122"/>
  <c r="I122"/>
  <c r="I121"/>
  <c r="J120"/>
  <c r="K120"/>
  <c r="J119"/>
  <c r="K119"/>
  <c r="I119"/>
  <c r="I120"/>
  <c r="J118"/>
  <c r="K118"/>
  <c r="K79"/>
  <c r="K78" s="1"/>
  <c r="J79"/>
  <c r="J78" s="1"/>
  <c r="I93"/>
  <c r="I180" s="1"/>
  <c r="I281" s="1"/>
  <c r="I280" s="1"/>
  <c r="J51"/>
  <c r="G109" i="14" s="1"/>
  <c r="I51" i="25"/>
  <c r="D109" i="14" s="1"/>
  <c r="H53" i="25"/>
  <c r="H52"/>
  <c r="K34"/>
  <c r="H30"/>
  <c r="H29"/>
  <c r="J28"/>
  <c r="G46" i="14" s="1"/>
  <c r="K28" i="25"/>
  <c r="J46" i="14" s="1"/>
  <c r="D45"/>
  <c r="J24" i="25"/>
  <c r="G45" i="14" s="1"/>
  <c r="K24" i="25"/>
  <c r="J45" i="14" s="1"/>
  <c r="H27" i="25"/>
  <c r="H34" s="1"/>
  <c r="I21"/>
  <c r="D43" i="14" s="1"/>
  <c r="J21" i="25"/>
  <c r="K21"/>
  <c r="H22"/>
  <c r="H21" s="1"/>
  <c r="K18"/>
  <c r="J34" i="14" s="1"/>
  <c r="J18" i="25"/>
  <c r="G34" i="14" s="1"/>
  <c r="I18" i="25"/>
  <c r="D34" i="14" s="1"/>
  <c r="H20" i="25"/>
  <c r="H19"/>
  <c r="D114" i="14" l="1"/>
  <c r="C114" s="1"/>
  <c r="D115"/>
  <c r="C115" s="1"/>
  <c r="J40"/>
  <c r="I40" s="1"/>
  <c r="C43"/>
  <c r="D56"/>
  <c r="C56" s="1"/>
  <c r="D38"/>
  <c r="C38" s="1"/>
  <c r="D40"/>
  <c r="C40" s="1"/>
  <c r="G40"/>
  <c r="F40" s="1"/>
  <c r="C238"/>
  <c r="D234"/>
  <c r="C34"/>
  <c r="F34"/>
  <c r="G38"/>
  <c r="F38" s="1"/>
  <c r="G43"/>
  <c r="F238"/>
  <c r="G234"/>
  <c r="G115"/>
  <c r="F115" s="1"/>
  <c r="G114"/>
  <c r="F114" s="1"/>
  <c r="F109"/>
  <c r="J43"/>
  <c r="I34"/>
  <c r="J38"/>
  <c r="I38" s="1"/>
  <c r="C109"/>
  <c r="I238"/>
  <c r="J234"/>
  <c r="I45"/>
  <c r="I53" s="1"/>
  <c r="J53"/>
  <c r="F46"/>
  <c r="F54" s="1"/>
  <c r="G54"/>
  <c r="F45"/>
  <c r="F53" s="1"/>
  <c r="G53"/>
  <c r="I46"/>
  <c r="I54" s="1"/>
  <c r="J54"/>
  <c r="G44"/>
  <c r="J44"/>
  <c r="C45"/>
  <c r="D53"/>
  <c r="C53" s="1"/>
  <c r="D44"/>
  <c r="D52" s="1"/>
  <c r="H18" i="25"/>
  <c r="H28"/>
  <c r="I43" i="14" l="1"/>
  <c r="J56"/>
  <c r="I56" s="1"/>
  <c r="F43"/>
  <c r="G56"/>
  <c r="F56" s="1"/>
  <c r="B34"/>
  <c r="B238"/>
  <c r="B234" s="1"/>
  <c r="F44"/>
  <c r="F52" s="1"/>
  <c r="G52"/>
  <c r="I44"/>
  <c r="I52" s="1"/>
  <c r="J52"/>
  <c r="C44"/>
  <c r="C52"/>
  <c r="I263" i="25"/>
  <c r="H290"/>
  <c r="H243"/>
  <c r="H289" s="1"/>
  <c r="I229"/>
  <c r="H234"/>
  <c r="B43" i="14" l="1"/>
  <c r="I177" i="25"/>
  <c r="I276" s="1"/>
  <c r="I275" s="1"/>
  <c r="H57" l="1"/>
  <c r="H146"/>
  <c r="H136"/>
  <c r="I109"/>
  <c r="D194" i="14" s="1"/>
  <c r="D207" s="1"/>
  <c r="H112" i="25"/>
  <c r="I105"/>
  <c r="D185" i="14" s="1"/>
  <c r="D191" s="1"/>
  <c r="C191" s="1"/>
  <c r="H108" i="25"/>
  <c r="I41"/>
  <c r="H46"/>
  <c r="H74" s="1"/>
  <c r="H77"/>
  <c r="H54"/>
  <c r="H47"/>
  <c r="H26"/>
  <c r="H25"/>
  <c r="I12"/>
  <c r="J12"/>
  <c r="H213"/>
  <c r="H209"/>
  <c r="H45"/>
  <c r="C194" i="14" l="1"/>
  <c r="C207"/>
  <c r="I63" i="25"/>
  <c r="I62" s="1"/>
  <c r="D60" i="14"/>
  <c r="D189"/>
  <c r="C185"/>
  <c r="J184" i="25"/>
  <c r="J288" s="1"/>
  <c r="H184"/>
  <c r="H288" s="1"/>
  <c r="H73"/>
  <c r="H103"/>
  <c r="H102" s="1"/>
  <c r="H124"/>
  <c r="H24"/>
  <c r="J183"/>
  <c r="K183"/>
  <c r="K287" s="1"/>
  <c r="I183"/>
  <c r="K184"/>
  <c r="K288" s="1"/>
  <c r="J63"/>
  <c r="J105"/>
  <c r="G185" i="14" s="1"/>
  <c r="G191" s="1"/>
  <c r="F191" s="1"/>
  <c r="K109" i="25"/>
  <c r="J194" i="14" s="1"/>
  <c r="K105" i="25"/>
  <c r="J185" i="14" s="1"/>
  <c r="J109" i="25"/>
  <c r="G194" i="14" s="1"/>
  <c r="K51" i="25"/>
  <c r="J109" i="14" s="1"/>
  <c r="H51" i="25"/>
  <c r="J15"/>
  <c r="G24" i="14" s="1"/>
  <c r="G28" s="1"/>
  <c r="I85" i="25" l="1"/>
  <c r="I168" s="1"/>
  <c r="J191" i="14"/>
  <c r="I191" s="1"/>
  <c r="F194"/>
  <c r="G207"/>
  <c r="F207" s="1"/>
  <c r="I194"/>
  <c r="J207"/>
  <c r="I207" s="1"/>
  <c r="D64"/>
  <c r="D67"/>
  <c r="C67" s="1"/>
  <c r="G67"/>
  <c r="F67" s="1"/>
  <c r="C60"/>
  <c r="C64" s="1"/>
  <c r="G15"/>
  <c r="F24"/>
  <c r="F28" s="1"/>
  <c r="C189"/>
  <c r="I185"/>
  <c r="I189" s="1"/>
  <c r="J189"/>
  <c r="J115"/>
  <c r="I115" s="1"/>
  <c r="I109"/>
  <c r="B109" s="1"/>
  <c r="J114"/>
  <c r="I114" s="1"/>
  <c r="F185"/>
  <c r="F189" s="1"/>
  <c r="G189"/>
  <c r="K286" i="25"/>
  <c r="J182"/>
  <c r="J287"/>
  <c r="J286" s="1"/>
  <c r="I182"/>
  <c r="I287"/>
  <c r="I286" s="1"/>
  <c r="J62"/>
  <c r="I84"/>
  <c r="K31"/>
  <c r="H183"/>
  <c r="H287" s="1"/>
  <c r="H286" s="1"/>
  <c r="H56"/>
  <c r="K182"/>
  <c r="B194" i="14" l="1"/>
  <c r="B185"/>
  <c r="F15"/>
  <c r="H55" i="25"/>
  <c r="H43"/>
  <c r="H182"/>
  <c r="H42" l="1"/>
  <c r="K41"/>
  <c r="J60" i="14" s="1"/>
  <c r="J64" l="1"/>
  <c r="J67"/>
  <c r="I67" s="1"/>
  <c r="H66" i="25"/>
  <c r="I60" i="14"/>
  <c r="I64" s="1"/>
  <c r="K63" i="25"/>
  <c r="K62" s="1"/>
  <c r="F269" i="14"/>
  <c r="C269"/>
  <c r="I228"/>
  <c r="I230" s="1"/>
  <c r="F228"/>
  <c r="F230" s="1"/>
  <c r="D205"/>
  <c r="B60" l="1"/>
  <c r="H44" i="25"/>
  <c r="H70" l="1"/>
  <c r="H69" s="1"/>
  <c r="H41"/>
  <c r="J87"/>
  <c r="J171" s="1"/>
  <c r="J265" s="1"/>
  <c r="J264" s="1"/>
  <c r="J89"/>
  <c r="J174" s="1"/>
  <c r="J271" s="1"/>
  <c r="H50" l="1"/>
  <c r="H72" s="1"/>
  <c r="J95"/>
  <c r="J186" s="1"/>
  <c r="J293" s="1"/>
  <c r="H71" l="1"/>
  <c r="H93"/>
  <c r="H92" s="1"/>
  <c r="J169"/>
  <c r="J260" s="1"/>
  <c r="J189"/>
  <c r="J298" s="1"/>
  <c r="J113"/>
  <c r="H76"/>
  <c r="J117" l="1"/>
  <c r="G210" i="14"/>
  <c r="H79" i="25"/>
  <c r="H78" s="1"/>
  <c r="H49"/>
  <c r="I89"/>
  <c r="I174" s="1"/>
  <c r="I271" s="1"/>
  <c r="I270" s="1"/>
  <c r="H63" l="1"/>
  <c r="H62" s="1"/>
  <c r="F210" i="14"/>
  <c r="G214"/>
  <c r="F214" s="1"/>
  <c r="G182"/>
  <c r="H68" i="25"/>
  <c r="H67" s="1"/>
  <c r="F182" i="14" l="1"/>
  <c r="G18"/>
  <c r="J201" i="25"/>
  <c r="G20" i="14" l="1"/>
  <c r="H208" i="25" l="1"/>
  <c r="H235" l="1"/>
  <c r="H143"/>
  <c r="H228" l="1"/>
  <c r="K227"/>
  <c r="J227"/>
  <c r="I227"/>
  <c r="H151" l="1"/>
  <c r="C267" i="14" s="1"/>
  <c r="B267" s="1"/>
  <c r="H227" i="25"/>
  <c r="H14"/>
  <c r="H33" s="1"/>
  <c r="I113"/>
  <c r="I117" l="1"/>
  <c r="D210" i="14"/>
  <c r="E260"/>
  <c r="E255" s="1"/>
  <c r="E12" l="1"/>
  <c r="C255"/>
  <c r="D216"/>
  <c r="C216" s="1"/>
  <c r="G216"/>
  <c r="F216" s="1"/>
  <c r="C210"/>
  <c r="D214"/>
  <c r="C214" s="1"/>
  <c r="D182"/>
  <c r="C182" s="1"/>
  <c r="E278"/>
  <c r="K260"/>
  <c r="H260"/>
  <c r="C260"/>
  <c r="H278" l="1"/>
  <c r="H255"/>
  <c r="H12" s="1"/>
  <c r="K278"/>
  <c r="K255"/>
  <c r="K12" s="1"/>
  <c r="F260"/>
  <c r="I260"/>
  <c r="B260" l="1"/>
  <c r="C234"/>
  <c r="I234" l="1"/>
  <c r="F234"/>
  <c r="F18" l="1"/>
  <c r="K201" i="25" l="1"/>
  <c r="H204"/>
  <c r="H205"/>
  <c r="H206"/>
  <c r="H202"/>
  <c r="H232" l="1"/>
  <c r="H233"/>
  <c r="H231"/>
  <c r="J181"/>
  <c r="J282" s="1"/>
  <c r="K181"/>
  <c r="K282" s="1"/>
  <c r="H130"/>
  <c r="H230" l="1"/>
  <c r="H229" s="1"/>
  <c r="K169"/>
  <c r="K260" s="1"/>
  <c r="I201"/>
  <c r="I259" s="1"/>
  <c r="H203"/>
  <c r="J121"/>
  <c r="K121"/>
  <c r="H116"/>
  <c r="H120" s="1"/>
  <c r="K113"/>
  <c r="K97"/>
  <c r="I195"/>
  <c r="K117" l="1"/>
  <c r="J210" i="14"/>
  <c r="J216" s="1"/>
  <c r="I216" s="1"/>
  <c r="H201" i="25"/>
  <c r="I194"/>
  <c r="J97"/>
  <c r="J96" s="1"/>
  <c r="J88"/>
  <c r="F261" i="14"/>
  <c r="K96" i="25"/>
  <c r="K189"/>
  <c r="K298" s="1"/>
  <c r="I210" i="14" l="1"/>
  <c r="B210" s="1"/>
  <c r="B182" s="1"/>
  <c r="J214"/>
  <c r="I214" s="1"/>
  <c r="J182"/>
  <c r="I182" s="1"/>
  <c r="J313" i="25"/>
  <c r="J229"/>
  <c r="K229"/>
  <c r="H115"/>
  <c r="H121" s="1"/>
  <c r="H114"/>
  <c r="H119" s="1"/>
  <c r="H107"/>
  <c r="H106"/>
  <c r="H105" l="1"/>
  <c r="H113"/>
  <c r="I15"/>
  <c r="K15"/>
  <c r="J24" i="14" s="1"/>
  <c r="J101" i="25"/>
  <c r="J99"/>
  <c r="H219"/>
  <c r="H218"/>
  <c r="H217"/>
  <c r="H216"/>
  <c r="K163"/>
  <c r="K190" s="1"/>
  <c r="J163"/>
  <c r="K162"/>
  <c r="K187" s="1"/>
  <c r="K294" s="1"/>
  <c r="J162"/>
  <c r="K178"/>
  <c r="K277" s="1"/>
  <c r="K175"/>
  <c r="K272" s="1"/>
  <c r="J175"/>
  <c r="J272" s="1"/>
  <c r="J270" s="1"/>
  <c r="H148"/>
  <c r="H147"/>
  <c r="H145"/>
  <c r="H144"/>
  <c r="H142"/>
  <c r="H138"/>
  <c r="H137"/>
  <c r="H135"/>
  <c r="H134"/>
  <c r="H133"/>
  <c r="H132"/>
  <c r="H126"/>
  <c r="H198" s="1"/>
  <c r="K12"/>
  <c r="J18" i="14" s="1"/>
  <c r="I6" i="25"/>
  <c r="J31" i="14" l="1"/>
  <c r="I31" s="1"/>
  <c r="J28"/>
  <c r="D24"/>
  <c r="D15" s="1"/>
  <c r="J15"/>
  <c r="I24"/>
  <c r="I28" s="1"/>
  <c r="H207" i="25"/>
  <c r="H156"/>
  <c r="I18" i="14"/>
  <c r="H129" i="25"/>
  <c r="H199"/>
  <c r="J187"/>
  <c r="J294" s="1"/>
  <c r="J292" s="1"/>
  <c r="H162"/>
  <c r="H187" s="1"/>
  <c r="H294" s="1"/>
  <c r="J190"/>
  <c r="J299" s="1"/>
  <c r="J297" s="1"/>
  <c r="H163"/>
  <c r="H190" s="1"/>
  <c r="H140"/>
  <c r="H172"/>
  <c r="H181"/>
  <c r="H282" s="1"/>
  <c r="J195"/>
  <c r="J100"/>
  <c r="J192"/>
  <c r="J98"/>
  <c r="H127"/>
  <c r="J178"/>
  <c r="J277" s="1"/>
  <c r="H13"/>
  <c r="H32" s="1"/>
  <c r="H31" s="1"/>
  <c r="H178"/>
  <c r="H277" s="1"/>
  <c r="I99"/>
  <c r="I192" s="1"/>
  <c r="I191" s="1"/>
  <c r="I197"/>
  <c r="K199"/>
  <c r="K314" s="1"/>
  <c r="J199"/>
  <c r="J197" s="1"/>
  <c r="K188"/>
  <c r="K299"/>
  <c r="K297" s="1"/>
  <c r="I97"/>
  <c r="I95"/>
  <c r="J263"/>
  <c r="H110"/>
  <c r="H122" s="1"/>
  <c r="K99"/>
  <c r="K101"/>
  <c r="K100" s="1"/>
  <c r="H246"/>
  <c r="H255"/>
  <c r="H301" s="1"/>
  <c r="H266" l="1"/>
  <c r="H155"/>
  <c r="H169"/>
  <c r="H260" s="1"/>
  <c r="D28" i="14"/>
  <c r="D31"/>
  <c r="C31" s="1"/>
  <c r="G31"/>
  <c r="F31" s="1"/>
  <c r="I15"/>
  <c r="C24"/>
  <c r="J188" i="25"/>
  <c r="K312"/>
  <c r="H314"/>
  <c r="J303"/>
  <c r="J302" s="1"/>
  <c r="J191"/>
  <c r="J308"/>
  <c r="J307" s="1"/>
  <c r="J194"/>
  <c r="H299"/>
  <c r="H175"/>
  <c r="H12"/>
  <c r="H85"/>
  <c r="K192"/>
  <c r="K191" s="1"/>
  <c r="K98"/>
  <c r="I98"/>
  <c r="K65"/>
  <c r="K195"/>
  <c r="K194" s="1"/>
  <c r="H241"/>
  <c r="H295" s="1"/>
  <c r="I186"/>
  <c r="H313"/>
  <c r="I299"/>
  <c r="J85"/>
  <c r="J173"/>
  <c r="J170"/>
  <c r="K197"/>
  <c r="J314"/>
  <c r="J312" s="1"/>
  <c r="H197"/>
  <c r="D18" i="14"/>
  <c r="J236" i="25"/>
  <c r="J262" s="1"/>
  <c r="H249"/>
  <c r="J94"/>
  <c r="I96"/>
  <c r="I189"/>
  <c r="I298" s="1"/>
  <c r="I297" s="1"/>
  <c r="I94"/>
  <c r="J91"/>
  <c r="J177" s="1"/>
  <c r="J276" s="1"/>
  <c r="J275" s="1"/>
  <c r="I179"/>
  <c r="J93"/>
  <c r="H95"/>
  <c r="H186" s="1"/>
  <c r="H293" s="1"/>
  <c r="K95"/>
  <c r="K186" s="1"/>
  <c r="K293" s="1"/>
  <c r="K292" s="1"/>
  <c r="H97"/>
  <c r="H189" s="1"/>
  <c r="H101"/>
  <c r="K263"/>
  <c r="H247"/>
  <c r="H310" s="1"/>
  <c r="H240"/>
  <c r="H238"/>
  <c r="H273" s="1"/>
  <c r="H245"/>
  <c r="H242"/>
  <c r="H300" s="1"/>
  <c r="H237"/>
  <c r="H239"/>
  <c r="H278" s="1"/>
  <c r="H251"/>
  <c r="H279" s="1"/>
  <c r="H250"/>
  <c r="H274" s="1"/>
  <c r="H268" l="1"/>
  <c r="H269"/>
  <c r="H284"/>
  <c r="H312"/>
  <c r="H272"/>
  <c r="C15" i="14"/>
  <c r="C28"/>
  <c r="B24"/>
  <c r="B15" s="1"/>
  <c r="H84" i="25"/>
  <c r="H188"/>
  <c r="H298"/>
  <c r="H297" s="1"/>
  <c r="I185"/>
  <c r="I293"/>
  <c r="I292" s="1"/>
  <c r="D20" i="14"/>
  <c r="H100" i="25"/>
  <c r="K303"/>
  <c r="K302" s="1"/>
  <c r="J168"/>
  <c r="J259" s="1"/>
  <c r="J84"/>
  <c r="H65"/>
  <c r="J180"/>
  <c r="J281" s="1"/>
  <c r="J280" s="1"/>
  <c r="I303"/>
  <c r="I302" s="1"/>
  <c r="J92"/>
  <c r="H185"/>
  <c r="K308"/>
  <c r="K307" s="1"/>
  <c r="H99"/>
  <c r="H98" s="1"/>
  <c r="K185"/>
  <c r="I188"/>
  <c r="C18" i="14"/>
  <c r="B18" s="1"/>
  <c r="J185" i="25"/>
  <c r="K236"/>
  <c r="K262" s="1"/>
  <c r="H94"/>
  <c r="I90"/>
  <c r="J86"/>
  <c r="H96"/>
  <c r="I86"/>
  <c r="I88"/>
  <c r="I92"/>
  <c r="J90"/>
  <c r="K94"/>
  <c r="K93"/>
  <c r="K89"/>
  <c r="H89"/>
  <c r="K87"/>
  <c r="H244"/>
  <c r="H305" s="1"/>
  <c r="H236" l="1"/>
  <c r="H262" s="1"/>
  <c r="J179"/>
  <c r="K171"/>
  <c r="K265" s="1"/>
  <c r="K264" s="1"/>
  <c r="H180"/>
  <c r="H174"/>
  <c r="H192"/>
  <c r="H303" s="1"/>
  <c r="H302" s="1"/>
  <c r="K174"/>
  <c r="K271" s="1"/>
  <c r="K270" s="1"/>
  <c r="K180"/>
  <c r="K281" s="1"/>
  <c r="K280" s="1"/>
  <c r="I173"/>
  <c r="J176"/>
  <c r="C20" i="14"/>
  <c r="K85" i="25"/>
  <c r="K84" s="1"/>
  <c r="K167" s="1"/>
  <c r="K258" s="1"/>
  <c r="I170"/>
  <c r="K88"/>
  <c r="K92"/>
  <c r="K86"/>
  <c r="H88"/>
  <c r="H87"/>
  <c r="K91"/>
  <c r="K177" s="1"/>
  <c r="K276" s="1"/>
  <c r="K275" s="1"/>
  <c r="H173" l="1"/>
  <c r="H271"/>
  <c r="H270" s="1"/>
  <c r="H179"/>
  <c r="H281"/>
  <c r="H280" s="1"/>
  <c r="K170"/>
  <c r="H171"/>
  <c r="H265" s="1"/>
  <c r="H264" s="1"/>
  <c r="K168"/>
  <c r="K259" s="1"/>
  <c r="J167"/>
  <c r="J258" s="1"/>
  <c r="K179"/>
  <c r="K173"/>
  <c r="H86"/>
  <c r="K90"/>
  <c r="H91"/>
  <c r="H177" s="1"/>
  <c r="H276" s="1"/>
  <c r="H275" s="1"/>
  <c r="G255" i="14"/>
  <c r="G12" s="1"/>
  <c r="J255"/>
  <c r="C12" l="1"/>
  <c r="D12"/>
  <c r="I255"/>
  <c r="I12" s="1"/>
  <c r="J12"/>
  <c r="H170" i="25"/>
  <c r="K176"/>
  <c r="F255" i="14"/>
  <c r="F12" s="1"/>
  <c r="H90" i="25"/>
  <c r="C261" i="14" l="1"/>
  <c r="B261" s="1"/>
  <c r="B255" s="1"/>
  <c r="B12" l="1"/>
  <c r="F222"/>
  <c r="I222" s="1"/>
  <c r="L234" l="1"/>
  <c r="H111" i="25" l="1"/>
  <c r="H118" l="1"/>
  <c r="H123"/>
  <c r="H109"/>
  <c r="H117" s="1"/>
  <c r="H167" s="1"/>
  <c r="H168" l="1"/>
  <c r="H259" s="1"/>
  <c r="H191"/>
  <c r="H195"/>
  <c r="I308"/>
  <c r="I307" s="1"/>
  <c r="H194" l="1"/>
  <c r="H308"/>
  <c r="H307" s="1"/>
  <c r="I167" l="1"/>
  <c r="I258" s="1"/>
  <c r="H176"/>
  <c r="I176"/>
  <c r="H254" l="1"/>
  <c r="H296" l="1"/>
  <c r="H248"/>
  <c r="H258" s="1"/>
  <c r="L182" i="14"/>
  <c r="H292" i="25" l="1"/>
  <c r="H263"/>
  <c r="K320" l="1"/>
</calcChain>
</file>

<file path=xl/sharedStrings.xml><?xml version="1.0" encoding="utf-8"?>
<sst xmlns="http://schemas.openxmlformats.org/spreadsheetml/2006/main" count="995" uniqueCount="419">
  <si>
    <t>Додаток 1</t>
  </si>
  <si>
    <t>№ з/п</t>
  </si>
  <si>
    <t>Назва напряму діяльності (пріоритетні завдання)</t>
  </si>
  <si>
    <t>Перелік заходів програми</t>
  </si>
  <si>
    <t>Джерела фінансування</t>
  </si>
  <si>
    <t>Очікуваний результат</t>
  </si>
  <si>
    <t>Код програмної класифікації видатків та кредитування місцевих бюджетів (КПКВК)</t>
  </si>
  <si>
    <t>Перелік</t>
  </si>
  <si>
    <t xml:space="preserve">Назва головного розпорядника бюджетних коштів                            </t>
  </si>
  <si>
    <t>Найменування бюджетної програми</t>
  </si>
  <si>
    <t>Відділ охорони здоров'я Сумської міської ради                                                              Багатопрофільна стаціонарна медична допомога населенню</t>
  </si>
  <si>
    <t>Відділ охорони здоров'я Сумської міської ради                                                          Стоматологічна допомога населенню</t>
  </si>
  <si>
    <t>Відділ охорони здоров'я Сумської міської ради                                                            Первинна медична допомога населенню, що надається центрами первинної медичної (медико-санітарної) допомоги.</t>
  </si>
  <si>
    <t>Відділ охорони здоров'я Сумської міської ради                                                                                 Лікарсько-акушерська допомога вагітним, породіллям та новонародженим</t>
  </si>
  <si>
    <t xml:space="preserve"> "Охорона здоров'я м. Суми на 2019-2021 роки"</t>
  </si>
  <si>
    <t>Орієнтовні обсяги фінансування, тис.грн.</t>
  </si>
  <si>
    <t>бюджетних програм до комплексної міської Програми</t>
  </si>
  <si>
    <t>АТО</t>
  </si>
  <si>
    <t>Відділ охорони здоров'я Сумської міської ради                                                           Інші програми та  заходи у сфері охорони здоров'я.</t>
  </si>
  <si>
    <t>Відділ охорони здоров'я Сумської міської ради                                                          Забезпечення діяльності інших закладів у сфері охорони здоров’я</t>
  </si>
  <si>
    <t>Відділ охорони здоров'я Сумської міської ради                                                            Виконання інвестаційних проектів в рамках здійснення заходів щодо соціально-економічного розвитку окремих територій</t>
  </si>
  <si>
    <t>Відділ охорони здоров'я Сумської міської ради                                                          Заходи з енергозбереження</t>
  </si>
  <si>
    <t>Відділ охорони здоров'я Сумської міської ради                                                            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</si>
  <si>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Сумський міський голова </t>
  </si>
  <si>
    <t>О.М. Лисенко</t>
  </si>
  <si>
    <t>Виконавець: Чумаченко О.Ю.</t>
  </si>
  <si>
    <t>0712010</t>
  </si>
  <si>
    <t>0712030</t>
  </si>
  <si>
    <t>0712100</t>
  </si>
  <si>
    <t>0712151</t>
  </si>
  <si>
    <t>0712152</t>
  </si>
  <si>
    <t>0712144</t>
  </si>
  <si>
    <t>0712146</t>
  </si>
  <si>
    <t>0712111</t>
  </si>
  <si>
    <t>0717363</t>
  </si>
  <si>
    <t>0717640</t>
  </si>
  <si>
    <t>0717700</t>
  </si>
  <si>
    <t>до рішення Сумської міської ради "Про внесення змін до рішення Сумської міської ради від 19 грудня 2018 року № 4333 - МР "Про затвердження комплексної міської Програми «Охорона здоров’я м. Суми на 2019-2021 роки» (зі змінами)</t>
  </si>
  <si>
    <t>Відділ охорони здоров'я Сумської міської ради                                                        Відшкодування вартості лікарських засобів для лікування окремих захворювань</t>
  </si>
  <si>
    <t>Відділ охорони здоров'я Сумської міської ради                                                        Централізовані заходи з лікування хворих на цукровий та нецукровий діабет</t>
  </si>
  <si>
    <t>від 18 грудня 2019 року № 6188 - МР</t>
  </si>
  <si>
    <t>Контроль за виконанням</t>
  </si>
  <si>
    <t xml:space="preserve">Покращення догляду за тяжкохворими у домашніх умовах та адаптування їх до самообслуговування. </t>
  </si>
  <si>
    <t>Раннє виявлення туберкульозу у дітей та підлітків</t>
  </si>
  <si>
    <t>Одержувач коштів/Виконавець</t>
  </si>
  <si>
    <t>КПКВК</t>
  </si>
  <si>
    <t>Запобігання виникнення захворювання у людини у разі контакту із хворою або ж підозрілою на сказ твариною</t>
  </si>
  <si>
    <t>Покращення умов перебування пацієнтів та працівників у закладі охорони здоров'я</t>
  </si>
  <si>
    <t>УСЬОГО по підпрограмі 1</t>
  </si>
  <si>
    <t>УСЬОГО по підпрограмі 2</t>
  </si>
  <si>
    <t>0717361</t>
  </si>
  <si>
    <t>УСЬОГО по підпрограмі 3</t>
  </si>
  <si>
    <t>УСЬОГО по підпрограмі 4</t>
  </si>
  <si>
    <t>КНП "Дитяча клінічна лікарня Святої Зінаїди" СМР</t>
  </si>
  <si>
    <t>КНП "Клінічна лікарня № 4" СМР</t>
  </si>
  <si>
    <t>КНП "Клінічна лікарня № 5" СМР</t>
  </si>
  <si>
    <t xml:space="preserve">КНП "Клінічна стоматологічна поліклініка" СМР </t>
  </si>
  <si>
    <t>КНП "Клінічний пологовий будинок Пресвятої Діви Марії" СМР</t>
  </si>
  <si>
    <t>КНП "Центр первинної медико-санітарної допомоги № 1" СМР</t>
  </si>
  <si>
    <t>КНП "Центр первинної медико-санітарної допомоги № 2" СМР</t>
  </si>
  <si>
    <t>КНП "Центральна міська клінічна лікарня" СМР</t>
  </si>
  <si>
    <t>Інші джерела коштів (Грант GIZ)</t>
  </si>
  <si>
    <t>Всього</t>
  </si>
  <si>
    <t>Управління капітального будівництва та дорожнього господарства Сумської міської ради</t>
  </si>
  <si>
    <t>Кошти НСЗУ</t>
  </si>
  <si>
    <t>РАЗОМ по сфері охорона здоров'я</t>
  </si>
  <si>
    <t>ВСЬОГО</t>
  </si>
  <si>
    <t>Власні надходження КНП</t>
  </si>
  <si>
    <t xml:space="preserve">з них по </t>
  </si>
  <si>
    <t>РАЗОМ</t>
  </si>
  <si>
    <t>Разом</t>
  </si>
  <si>
    <t>РАЗОМ ПО ПРОГРАМІ</t>
  </si>
  <si>
    <t>Кошти ДФРР (спеціальний фонд)</t>
  </si>
  <si>
    <t>Збільшення переліку послуг, що надають заклади охорони здоров'я</t>
  </si>
  <si>
    <t>Мета, КПКВК, завдання та результативні показники Програми</t>
  </si>
  <si>
    <t>в тому числі</t>
  </si>
  <si>
    <t>Загальний фонд</t>
  </si>
  <si>
    <t>Спеціальний фонд</t>
  </si>
  <si>
    <t xml:space="preserve">Мета: </t>
  </si>
  <si>
    <t>Показник затрат:</t>
  </si>
  <si>
    <t>кількість  установ, од.</t>
  </si>
  <si>
    <t>Показник продукту:</t>
  </si>
  <si>
    <t>Показник ефективності:</t>
  </si>
  <si>
    <t>Показник якості:</t>
  </si>
  <si>
    <t>КПКВК 0712111</t>
  </si>
  <si>
    <t>Первинна медична допомога населенню, що надається центрами первинної медичної (медико-санітарної) допомоги</t>
  </si>
  <si>
    <t>кількість осіб, яким встановлені/будуть встановлені до кінця року слухові апарати</t>
  </si>
  <si>
    <t>середня вартість протезування на одного пацієнта</t>
  </si>
  <si>
    <t>питома вага осіб, яким встановлені слухові апарати, до загальної кількості осіб, які перебувають у черзі, %</t>
  </si>
  <si>
    <t>0717322</t>
  </si>
  <si>
    <t>0712150</t>
  </si>
  <si>
    <t>0712140</t>
  </si>
  <si>
    <t>Розвиток первинної медико-санітарної допомоги</t>
  </si>
  <si>
    <t>Розвиток вторинної (спеціалізованої) медичної допомоги</t>
  </si>
  <si>
    <t>ПІДПРОГРАМА 2.  Забезпечення соціальних стандартів у сфері охорони здоров'я</t>
  </si>
  <si>
    <t xml:space="preserve"> Виконання соціальних гарантій пільгових категорій громадян</t>
  </si>
  <si>
    <t>Інші заклади</t>
  </si>
  <si>
    <t>1.1.</t>
  </si>
  <si>
    <t xml:space="preserve">1.1.1. Сприяння в утриманні закладів первинного рівня  </t>
  </si>
  <si>
    <t xml:space="preserve">1.2.1. Забезпечення надання вторинної медичної допомоги </t>
  </si>
  <si>
    <t>2.1.</t>
  </si>
  <si>
    <t>1.2.</t>
  </si>
  <si>
    <t>1.3.</t>
  </si>
  <si>
    <t>1.3.1. Забезпечення надання лікарсько-акушерської допомоги вагітним, роділлям, породіллям та новонародженим</t>
  </si>
  <si>
    <t>1.4.</t>
  </si>
  <si>
    <t>1.4.2. Покриття вартості комунальних послуг та енергоносіїв</t>
  </si>
  <si>
    <t>3.1.</t>
  </si>
  <si>
    <t>ПІДПРОГРАМА 4. Приведення закладів охорони здоров'я у відповідність до сучасних потреб</t>
  </si>
  <si>
    <t>4.1.</t>
  </si>
  <si>
    <t>Зміцнення та оновлення матеріально-технічної бази закладів охорони здоров'я</t>
  </si>
  <si>
    <t xml:space="preserve">4.1.2. Проведення капітальних ремонтів                                           </t>
  </si>
  <si>
    <t xml:space="preserve">Видатки галузі, які враховані в інших цільових програмах та інші джерела фінансування </t>
  </si>
  <si>
    <t>1.</t>
  </si>
  <si>
    <t xml:space="preserve">Підвищення енергоефективності в закладах охорони здоров'я міста </t>
  </si>
  <si>
    <t>з них по закладах:</t>
  </si>
  <si>
    <t xml:space="preserve">Будівництво та реконструкція комунальних некомерційних підприємств </t>
  </si>
  <si>
    <t xml:space="preserve">Медичне обслуговування населення за програмою медичних гарантій </t>
  </si>
  <si>
    <t>Надання медичної допомоги на платній основі</t>
  </si>
  <si>
    <t>ПІДПРОГРАМА 1.  Покращення надання медичної допомоги населенню</t>
  </si>
  <si>
    <t>Всього по напряму 1.1. , у тому числі:</t>
  </si>
  <si>
    <t xml:space="preserve">Збереження стоматологічного здоров'я населення </t>
  </si>
  <si>
    <t>Всього по напряму 1.2, у тому числі</t>
  </si>
  <si>
    <t>В розрізі КНП</t>
  </si>
  <si>
    <t>2.</t>
  </si>
  <si>
    <t>3.</t>
  </si>
  <si>
    <t>4.</t>
  </si>
  <si>
    <t>5.</t>
  </si>
  <si>
    <t xml:space="preserve">Сприяння в утриманні закладів первинного рівня  </t>
  </si>
  <si>
    <t xml:space="preserve">Показник ефективності: </t>
  </si>
  <si>
    <t xml:space="preserve">Показник продукту: </t>
  </si>
  <si>
    <t>Разом по заходу 1.1.1</t>
  </si>
  <si>
    <t>Разом по заходу 1.2.1</t>
  </si>
  <si>
    <t>Забезпечення надання вторинної (амбулаторної та стаціонарної) медичної допомоги відповідно до галузевих стандартів</t>
  </si>
  <si>
    <r>
      <t>КНП "Центр первинної медико-санітарної допомоги № 1" СМР</t>
    </r>
    <r>
      <rPr>
        <i/>
        <sz val="22"/>
        <rFont val="Times New Roman"/>
        <family val="1"/>
        <charset val="204"/>
      </rPr>
      <t xml:space="preserve"> (капітальні)</t>
    </r>
  </si>
  <si>
    <r>
      <t xml:space="preserve">КНП "Центр первинної медико-санітарної допомоги № 2" СМР </t>
    </r>
    <r>
      <rPr>
        <i/>
        <sz val="22"/>
        <rFont val="Times New Roman"/>
        <family val="1"/>
        <charset val="204"/>
      </rPr>
      <t>(капітальні)</t>
    </r>
  </si>
  <si>
    <t>Визначення стану здоров’я працівників навчальних закладів, що знаходяться у комунальній власності Сумської міської ради, закладів та установ соціального захисту міського підпорядкування, зокрема можливості виконання ним певних трудових обов’язків, а також попередження виникненню та розповсюдженню інфекційних хвороб</t>
  </si>
  <si>
    <t>Разом по заходу 4.1.1.</t>
  </si>
  <si>
    <t>Разом по заходу 4.1.2.</t>
  </si>
  <si>
    <t xml:space="preserve">4.1.3. Участь у інвестиційних проєктах, що реалізуються за рахунок коштів державного фонду регіонального розвитку    </t>
  </si>
  <si>
    <r>
      <t xml:space="preserve">Показник продукту: </t>
    </r>
    <r>
      <rPr>
        <sz val="18"/>
        <rFont val="Times New Roman"/>
        <family val="1"/>
        <charset val="204"/>
      </rPr>
      <t>кількість установ, од.</t>
    </r>
  </si>
  <si>
    <r>
      <t xml:space="preserve">Показник ефективності: </t>
    </r>
    <r>
      <rPr>
        <sz val="18"/>
        <rFont val="Times New Roman"/>
        <family val="1"/>
        <charset val="204"/>
      </rPr>
      <t>середні витрати на 1 заклад охорони здоров'я, грн.</t>
    </r>
  </si>
  <si>
    <t>Інші джерела коштів (кредитні кошти НЕФКО)</t>
  </si>
  <si>
    <t>ПІДПРОГРАМА 3. Інші заходи та заклади у сфері охорони здоров'я</t>
  </si>
  <si>
    <t>ПІДПРОГРАМА 3.  Інші заходи та заклади у сфері охорони здоров'я</t>
  </si>
  <si>
    <t>Субвенція з державного бюджету місцевим бюджетам (спеціальний фонд)</t>
  </si>
  <si>
    <t>0719770</t>
  </si>
  <si>
    <t xml:space="preserve">Розвиток лікарсько-акушерської допомоги </t>
  </si>
  <si>
    <t>0712020</t>
  </si>
  <si>
    <t xml:space="preserve">Додаток 4   </t>
  </si>
  <si>
    <t>Управління охорони здоров’я СМР</t>
  </si>
  <si>
    <t>Управління охорони здоров’я Сумської міської ради</t>
  </si>
  <si>
    <t>Управління охорони здоров'я Сумської міської ради</t>
  </si>
  <si>
    <t>Управління охорони здоров'я Сумської міської ради                                                              Багатопрофільна стаціонарна медична допомога населенню</t>
  </si>
  <si>
    <t>Управління охорони здоров'я Сумської міської ради                                                              Спеціалізована стаціонарна медична допомога населенню</t>
  </si>
  <si>
    <t>Управління охорони здоров'я Сумської міської ради                                                                                 Лікарсько-акушерська допомога вагітним, породіллям та новонародженим</t>
  </si>
  <si>
    <t>Управління охорони здоров'я Сумської міської ради                                                          Стоматологічна допомога населенню</t>
  </si>
  <si>
    <t>Управління охорони здоров'я Сумської міської ради                                                                         Інші програми, заклади та заходи у сфері охорони здоров'я</t>
  </si>
  <si>
    <t>Управління охорони здоров'я Сумської міської ради                                                          Забезпечення діяльності інших закладів у сфері охорони здоров’я</t>
  </si>
  <si>
    <t>Управління охорони здоров'я Сумської міської ради                                                                   Програми і централізовані заходи у галузі охорони здоров'я</t>
  </si>
  <si>
    <t>Управління охорони здоров'я Сумської міської ради                                            Централізовані заходи з лікування хворих на цукровий та нецукровий діабет</t>
  </si>
  <si>
    <t>Управління охорони здоров'я Сумської міської ради                                                            Первинна медична допомога населенню, що надається центрами первинної медичної (медико-санітарної) допомоги</t>
  </si>
  <si>
    <t>Управління охорони здоров'я Сумської міської ради                                                           Будівництво медичних установ та закладів</t>
  </si>
  <si>
    <t xml:space="preserve">Управління охорони здоров'я Сумської міської ради                                                           Співфінансування інвестиційних проєктів, що реалізуються за рахунок коштів державного фонду регіонального розвитку </t>
  </si>
  <si>
    <t>Управління охорони здоров'я Сумської міської ради                                                         Виконання інвестиційних проєктів в рамках здійснення заходів щодо соціально-економічного розвитку окремих територій</t>
  </si>
  <si>
    <t>Управління охорони здоров'я Сумської міської ради                                                         Інші субвенції з місцевого бюджету</t>
  </si>
  <si>
    <t>Реалізація проєктів, що фінансуються за рахунок субвенції з державного бюджету місцевим бюджетам на реалізацію проєктів з реконтсрукції, капітального ремонту приймальних відділень в опорних закладах охорони здоров'я у госпітальних округах</t>
  </si>
  <si>
    <t xml:space="preserve"> Інвестиційні проєкти, що реалізуються за рахунок коштів державного фонду регіонального розвитку </t>
  </si>
  <si>
    <t>Сумський міський голова</t>
  </si>
  <si>
    <t>Кошти бюджету ТГ (загальний фонд)</t>
  </si>
  <si>
    <t>КНП "Клінічна лікарня Святого Пантлеймона" СМР</t>
  </si>
  <si>
    <t>Придбання судинних протезів для проведення органозберігаючих реконструктивних операцій на артеріях у пацієнтів з критичним порушенням артеріального кровообігу кінцівок та мозкового кровообігу</t>
  </si>
  <si>
    <t>Кошти бюджету ТГ(загальний фонд)</t>
  </si>
  <si>
    <t>Кошти бюджету ТГ (спеціальний фонд)</t>
  </si>
  <si>
    <t>Забезпечення гарантованого рівня медичної допомоги населенню Сумської міської ТГ</t>
  </si>
  <si>
    <t>Програма підвищення енергоефективності в бюджетній сфері Сумської міської об’єднаної територіальної громади на 2022-2024 роки</t>
  </si>
  <si>
    <t>Додаток 2</t>
  </si>
  <si>
    <t>бюджетних програм до комплексної Програми Cумської міської територіальної громади «Охорона здоров'я» на 2022-2024 роки»</t>
  </si>
  <si>
    <t>1.2.1. Покриття вартості комунальних послуг та енергоносіїв</t>
  </si>
  <si>
    <t xml:space="preserve">до рішення Сумської міської ради "Про затвердження комплексної Програми Cумської міської територіальної громади «Охорона здоров'я» на 2022-2024                                                                                                          </t>
  </si>
  <si>
    <t>Додаток 3</t>
  </si>
  <si>
    <t>до рішення Сумської міської ради "Про затвердження комплексної Програми Cумської міської  територіальної громади «Охорона здоров'я» на 2022-2024 роки»</t>
  </si>
  <si>
    <t>до рішення Сумської міської ради "Про затвердження комплексної Програми Cумської міської територіальної громади «Охорона здоров'я» на 2022-2024 роки»</t>
  </si>
  <si>
    <t>Напрями діяльності (пріоритетні завдання) та заходи комплексної Програми Cумської міської територіальної  громади "Охорона здоров'я" на 2022-2024 роки"</t>
  </si>
  <si>
    <t>Разом по заходу 4.1.3.</t>
  </si>
  <si>
    <t xml:space="preserve">Попередження розвитку ускладнень та продовження тривалості і якості життя                       </t>
  </si>
  <si>
    <t>у т. ч. по роках</t>
  </si>
  <si>
    <t xml:space="preserve">Сприяння забезпеченню пільгової категорії громадян медичними послугами згідно з чинним законодавством </t>
  </si>
  <si>
    <t>2022 (план)</t>
  </si>
  <si>
    <t>2023 (план)</t>
  </si>
  <si>
    <t>2024 (план)</t>
  </si>
  <si>
    <t xml:space="preserve">3.1.1. Забезпечення діяльності централізованої бухгалтерії  та інформаційно-аналітичного центру медичної статистики управління охорони здоров'я СМР                   </t>
  </si>
  <si>
    <t>2.1.3. Сприяння забезпеченню надання громадянам  послуг по зубопротезуванню на пільгових умовах</t>
  </si>
  <si>
    <t xml:space="preserve">Покращення показників здоров'я дітей хворих на церебральний параліч </t>
  </si>
  <si>
    <t>Покращення показників здоров'я  дітей хворих  на вроджений імунодифіцит</t>
  </si>
  <si>
    <t>Кошти бюджету СМТГ (загальний фонд)</t>
  </si>
  <si>
    <t xml:space="preserve">Кошти бюджету СМТГ (загальний фонд) </t>
  </si>
  <si>
    <t>Кошти  бюджету СМТГ (загальний фонд)</t>
  </si>
  <si>
    <t>Кошти бюджету СМТГ (спеціальний фонд)</t>
  </si>
  <si>
    <t>Забезпечення надання спеціалізованої медичної допомоги вагітним, роділлям, породіллям та новонародженим відповідно до галузевих стандартів.</t>
  </si>
  <si>
    <t>1.1.1. Покриття вартості комунальних послуг та енергоносіїв</t>
  </si>
  <si>
    <t>1.2.2. Сприяння забезпеченню надання антирабічної допомоги</t>
  </si>
  <si>
    <t xml:space="preserve">Сприяння  навчанню та підготовки нових спеціалістів </t>
  </si>
  <si>
    <t>Сприяння забезпеченню надання медичної допомоги підліткам (віком 14-18 років)  та молоді  (віком до 24 років)  за їх особистим зверненням або за направленням центрів соціальних служб для сім’ї, дітей та молоді, інших  закладів охорони здоров'я на засадах дружнього підходу до молоді</t>
  </si>
  <si>
    <t>2.1.4. Сприяння забезпеченню слуховими апаратами дорослого населення з інвалідністю по слуху</t>
  </si>
  <si>
    <t>Сприяння забезпеченню компенсації функцій ушкоджених органів, з метою медичної та соціальної реабілітації осіб з інвалідністю з вираженими вадами слуху</t>
  </si>
  <si>
    <t>Управління охорони здоров'я Сумської міської ради                                                                                          Інші програми та  заходи у сфері охорони здоров'я</t>
  </si>
  <si>
    <t>2022 рік (план)</t>
  </si>
  <si>
    <t>2023 рік (план)</t>
  </si>
  <si>
    <t>2024рік (план)</t>
  </si>
  <si>
    <t>у тому числі по:</t>
  </si>
  <si>
    <t>з них по:</t>
  </si>
  <si>
    <t>у тому числі:</t>
  </si>
  <si>
    <t xml:space="preserve">Показник затрат: </t>
  </si>
  <si>
    <t>обсяг видатків, грн.</t>
  </si>
  <si>
    <t>кількість дітей   віком від 0-2 років з малозабезпечених  сімей, осіб</t>
  </si>
  <si>
    <t>кількість дітей, народжених від ВІЛ-інфікованих матерів, осіб</t>
  </si>
  <si>
    <t>рівень охоплення, %</t>
  </si>
  <si>
    <t xml:space="preserve">Обсяг видатків, грн. </t>
  </si>
  <si>
    <t>кількість установ, од.</t>
  </si>
  <si>
    <t>кількість лікарських відвідувань, од.</t>
  </si>
  <si>
    <t>ліфтове господарство</t>
  </si>
  <si>
    <t>протипожежні заходи</t>
  </si>
  <si>
    <t>капітальний ремонт приміщень</t>
  </si>
  <si>
    <t xml:space="preserve">водопостачання </t>
  </si>
  <si>
    <t xml:space="preserve">благоустрій території </t>
  </si>
  <si>
    <t xml:space="preserve">Результативні показники виконання завдань комплексної  Програми Cумської міської територіальної  громади "Охорона здоров'я" на 2022-2024 роки"
</t>
  </si>
  <si>
    <t>кількість штатних одиниць, од.</t>
  </si>
  <si>
    <t>кількість лікарських відвідувань,осіб</t>
  </si>
  <si>
    <t>1.1.2. Сприяння забезпеченню проведення туберкулінодіагностики (закупівля туберкуліну)</t>
  </si>
  <si>
    <t>витрати на одного пацієнта, грн</t>
  </si>
  <si>
    <t>кількість дітей  з орфанними захворюваннями, осіб</t>
  </si>
  <si>
    <t>чисельність осіб, яким проведена  санація, од.</t>
  </si>
  <si>
    <t>динамика обсягу витрат на забезпечення поккриття вартості дороговартістних медичних препаратів до попереднього року, %</t>
  </si>
  <si>
    <t>кількість установ:</t>
  </si>
  <si>
    <t>Мета програми: поліпшення фінансового забезпечення закладів охорони здоров'я  для  збереження і відновлення здоров’я населення шляхом надання медичних послуг та лікарських засобів належної якості</t>
  </si>
  <si>
    <t>1.1.2. Сприяння забезпеченню проведення туберкулінодіагностики (закупівля туберкуліну), КПКВК 0712152</t>
  </si>
  <si>
    <t xml:space="preserve"> 1.1.  Розвиток первинної медико-санітарної допомоги</t>
  </si>
  <si>
    <t>рівень забезпечення, %</t>
  </si>
  <si>
    <t>рівень забезпечення видатками, %</t>
  </si>
  <si>
    <t>динаміка забезпечення надання антирабічної допомоги порівняно до попереднього року, %</t>
  </si>
  <si>
    <t>кількість лікарських відвідувань на одну штатну посаду лікаря, осіб</t>
  </si>
  <si>
    <t>кількість осіб пільгової категорії  населення, які отримають ліки на пільгових умовах, осіб</t>
  </si>
  <si>
    <t>динамика обсягу витрат на забезпечення пільгової категорії населення лікарськими засобами за безкоштовними рецептами порвняно до попереднього року, %</t>
  </si>
  <si>
    <t>динамика обсягу витрат на забезпечення надання громадянам послуг по зубопротезуванню на пільгових умовах порвняно до попереднього року, %</t>
  </si>
  <si>
    <t>середня вартість зубопротезування на одного пацієнта, грн</t>
  </si>
  <si>
    <t>кількість осіб, які отримають послуги з зубного протезування, осіб</t>
  </si>
  <si>
    <t>кількість осіб, яким встановлять слухові апарати</t>
  </si>
  <si>
    <t>динамика обсягу витрат на забезпечення слуховими апаратами дорослого населення з інвалідністю по слуху порвняно  до попереднього року, %</t>
  </si>
  <si>
    <t>кількість аналітичних довідок, письмових роз`яснень, іншої інформації працівників інформаційно-аналітичного центру медичної статистики, од.</t>
  </si>
  <si>
    <t>кількість рахунків на одного працівника централізованої бухгалтерії, од.</t>
  </si>
  <si>
    <t>кількість звітних форм на одного працівника централізованої бухгалтерії, од.</t>
  </si>
  <si>
    <t>кількість аналітичних довідок, письмових роз`яснень, іншої інформації наданих інформаційно-аналітичного центру медичної статистики, од.</t>
  </si>
  <si>
    <t xml:space="preserve">системи водопостачання </t>
  </si>
  <si>
    <t>кількість  обладнання, од.</t>
  </si>
  <si>
    <t>кількість інвестиційних проєктів,од.</t>
  </si>
  <si>
    <t xml:space="preserve"> 1.1.1. Покриття вартості комунальних послуг та енергоносіїв, КПКВК 0712111</t>
  </si>
  <si>
    <t>1.1.3.  Сприяння забезпеченню лікувальним харчуванням  дітей хворих на орфанні  рідкісні захворювання</t>
  </si>
  <si>
    <t xml:space="preserve"> 1.2.1. Покриття вартості комунальних послуг та енергоносіїв, КПКВК 0712010</t>
  </si>
  <si>
    <t xml:space="preserve">2.1.1.Сприяння забезпеченню пільгової категорії населення лікарськими засобами за безкоштовними рецептами </t>
  </si>
  <si>
    <t xml:space="preserve">2.1.1 Сприяння забезпеченню пільгової категорії населення лікарськими засобами за безкоштовними рецептами, КПКВК 0712152 </t>
  </si>
  <si>
    <t xml:space="preserve">2.1.2. Забезпечення осіб з інвалідністю, дітей з інвалідністю технічними та іншими засобами для догляду у домашніх умовах </t>
  </si>
  <si>
    <t xml:space="preserve">3.1.1 Забезпечення діяльності централізованої бухгалтерії  та інформаційно-аналітичного центру медичної статистики відділу охорони здоров'я СМР, КПКВК 0712151                   </t>
  </si>
  <si>
    <t xml:space="preserve"> 1.2. Розвиток вторинної (спеціалізованої) медичної допомоги</t>
  </si>
  <si>
    <t>кількість штатних одиниць лікарів-інтернів, од.</t>
  </si>
  <si>
    <t>в т.ч. лікарі, од.</t>
  </si>
  <si>
    <t>кількість пролікованих пацієнтів, од.</t>
  </si>
  <si>
    <t xml:space="preserve"> централізованої бухгалтерії,од.</t>
  </si>
  <si>
    <t xml:space="preserve"> інформаційно-аналітичного центру, од.</t>
  </si>
  <si>
    <t>середня вартість інвестиційного проєкту, грн.</t>
  </si>
  <si>
    <t>середні видатки на придбання одиниці обладнання ,грн.</t>
  </si>
  <si>
    <t>Забезпечення проведення якісного та своєчасного медичного освідчення  військовозобов’язаних громадян, які підлягають призову на військову службу до Збройних Сил України протягом року</t>
  </si>
  <si>
    <t xml:space="preserve">Покращення показників здоров'я   дітей хворих на ревматоїдний артрит </t>
  </si>
  <si>
    <t>Забезпечення  інформаційно-аналітичними матеріалами та стабільним фінансуванням, здійснення контролю за складанням звітності комунальних некомерційних підприємств</t>
  </si>
  <si>
    <t>Оновлення лікувально-діагностичної бази підприємств з метою проведення обстежень на сучасному обладнанні, що значно підвищить якість надання медичних послуг та створення комфортних умов перебування у закладах охорони здоров'я</t>
  </si>
  <si>
    <t xml:space="preserve">Завершення проекту "Капітальний ремонт будівлі за адресою: м.Суми, вул.Троїцька,28 (стаціонар двохповерхова будівля)" та придбання сучасного медичного реабілітаційного обладнання для покращення умов перебування пацієнтів і медичних працівників у закладі охорони здоров'я та отримання якісних медичних послуг                  </t>
  </si>
  <si>
    <t>Завершення проекту "Капітальний ремонт будівлі за адресою: м.Суми, вул.Троїцька,28 (стаціонар двохповерхова будівля)" та придбання сучасного медичного реабілітаційного обладнання для покращення умов перебування пацієнтів та медичних працівників у закладі охорони здоров'я та отримання якісних медичних послуг</t>
  </si>
  <si>
    <t xml:space="preserve">Поліпшення якості життя пацієнтів відповідного контингенту та
рівня їхньої соціальної реабілітації
</t>
  </si>
  <si>
    <t>Забезпечення  сталого функціонування медичних закладів та установ та комфортних умов перебування пацієнтів та медичного персоналу</t>
  </si>
  <si>
    <r>
      <t xml:space="preserve">Всього на виконання програми </t>
    </r>
    <r>
      <rPr>
        <sz val="22"/>
        <rFont val="Times New Roman"/>
        <family val="1"/>
        <charset val="204"/>
      </rPr>
      <t>(без коштів на виконання інших цільових програм)</t>
    </r>
    <r>
      <rPr>
        <b/>
        <sz val="22"/>
        <rFont val="Times New Roman"/>
        <family val="1"/>
        <charset val="204"/>
      </rPr>
      <t>, грн</t>
    </r>
  </si>
  <si>
    <t>Всього на виконання підпрограми 1, грн</t>
  </si>
  <si>
    <t>обсяг видатків, грн</t>
  </si>
  <si>
    <t>середні витрати на 1 заклад, грн</t>
  </si>
  <si>
    <t>динамика обсягу витрат на забезпечення покриття вартості комунальних послуг та енергоносіїв порівняно до попереднього року, %</t>
  </si>
  <si>
    <t>кількість дітей, яким планується  провести туберкулінодіагностику, осіб</t>
  </si>
  <si>
    <t>динамика обсягу витрат на проведення туберкулінодіагностики (придбання туберкуліну) порівняно до попереднього року, %</t>
  </si>
  <si>
    <t>обсяг видатків, грн :</t>
  </si>
  <si>
    <t>середні витрати  на одну дитину з орфанними захворюваннями, грн</t>
  </si>
  <si>
    <t>динамика обсягу витрат на забезпечення 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 порівняно до попереднього року , %</t>
  </si>
  <si>
    <t>середні витрати  на одну дитину від 0-2 років з малозабезпечених  сімей, грн</t>
  </si>
  <si>
    <t>середні витрати на одну дитину народжену від ВІЛ - інфікованої матері, грн</t>
  </si>
  <si>
    <t xml:space="preserve"> середні витрати на 1 заклад , грн</t>
  </si>
  <si>
    <t>середні витрати на одну особу, грн</t>
  </si>
  <si>
    <t>витрати на утримання 1 посади лікаря - інтерна, грн</t>
  </si>
  <si>
    <t>середня вартість проведеного медичного огляду однієї особи, грн</t>
  </si>
  <si>
    <t>зниження рівня захворюваності порівнянно з попереднім роком, %</t>
  </si>
  <si>
    <t>зниження незапланованої вагітності у неповнолітніх, %</t>
  </si>
  <si>
    <t>середні витрати на 1 обстеження, грн</t>
  </si>
  <si>
    <t>рівень охоплення  медичними оглядами , %</t>
  </si>
  <si>
    <t>обсяг видатків, грн:</t>
  </si>
  <si>
    <t>кількість медичних працівників, що входять до складу комісії, осіб</t>
  </si>
  <si>
    <t>Обсяг видатків, грн:</t>
  </si>
  <si>
    <t xml:space="preserve">Обсяг видатків, грн </t>
  </si>
  <si>
    <t>середня вартість 1 лікарського відвідування (враховані видатки на комунальні послуги та енергоносії), грн</t>
  </si>
  <si>
    <t>кількість відвідувань на одну штатну посаду лікаря, осіб</t>
  </si>
  <si>
    <t>Всього на виконання підпрограми 2, грн</t>
  </si>
  <si>
    <t>придбання підгузків, грн</t>
  </si>
  <si>
    <t>придбання калоприймачів, катетерів, уропрезервативи, грн</t>
  </si>
  <si>
    <t>придбання прокладок урологічних, грн</t>
  </si>
  <si>
    <t>витрати на одну особу, які отримали підгузки, грн</t>
  </si>
  <si>
    <t>витрати на одну особу, які отримали калоприймачи, катетери, уропрезервативи, грн</t>
  </si>
  <si>
    <t>витрати на одну особу, які отримали прокладки урологічної, грн</t>
  </si>
  <si>
    <t xml:space="preserve">обсяг видатків, грн </t>
  </si>
  <si>
    <t>Всього на виконання підпрограми 3, грн</t>
  </si>
  <si>
    <t>обсяг витрат, грн</t>
  </si>
  <si>
    <t>кількість штатних одиниць, од.:</t>
  </si>
  <si>
    <t>Всього на виконання підпрограми 4, грн</t>
  </si>
  <si>
    <t xml:space="preserve"> на придбання довгострокового обладнаня, грн</t>
  </si>
  <si>
    <t>середня вартість протезування органів слуху на одну особу, грн</t>
  </si>
  <si>
    <t xml:space="preserve"> на участь у інвестиційних проєктах, що реалізуються за рахунок коштів ДФРР, грн</t>
  </si>
  <si>
    <r>
      <t xml:space="preserve">середня вартість об'єкту,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 xml:space="preserve"> грн.:</t>
    </r>
  </si>
  <si>
    <r>
      <t xml:space="preserve">кількість об'єктів капітального ремонту,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>, од.:</t>
    </r>
  </si>
  <si>
    <r>
      <t xml:space="preserve"> на проведення капітальних ремонтів,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>, грн:</t>
    </r>
  </si>
  <si>
    <t>КНП "Клінічна лікарня № 4"СМР</t>
  </si>
  <si>
    <t>КНП "Клінічна лікарня № 5"СМР</t>
  </si>
  <si>
    <r>
      <t>КНП "Центр первинної медико-санітарної допомоги № 1" СМР</t>
    </r>
    <r>
      <rPr>
        <i/>
        <sz val="22"/>
        <rFont val="Times New Roman"/>
        <family val="1"/>
        <charset val="204"/>
      </rPr>
      <t xml:space="preserve"> </t>
    </r>
  </si>
  <si>
    <t xml:space="preserve">4.1.1. Придбання обладнання               </t>
  </si>
  <si>
    <t xml:space="preserve">Забезпечення доступності надання медичної допомоги хворим на орфанні захворювання </t>
  </si>
  <si>
    <t xml:space="preserve">Придбання колінних та кульшових протезів для надання ортопедичної допомоги хворим на артроз </t>
  </si>
  <si>
    <t>Завершення проекту "Капітальний ремонт будівель медичного закладу з утепленням стін, покрівлі, заміною покриття, заміною системи опалення за адресою м.Суми, вул. М.Вовчок ,2"</t>
  </si>
  <si>
    <t>1.2.3. Сприяння забезпеченню  первинного підвищення кваліфікації випускників вищих медичних закладів (інтернатура 3 рік навчання)</t>
  </si>
  <si>
    <t>1.2.4. Проведення обов'язкових  профілактичних оглядів  з видачею  особистих медичних книжок працівникам бюджетної сфери</t>
  </si>
  <si>
    <t>1.2.5. Забезпечення функціонування відділення медико-соціальної допомоги дітям та молоді "Клініка, дружня до молоді"</t>
  </si>
  <si>
    <t>1.2.6. Сприяння організації призову громадян на військову службу</t>
  </si>
  <si>
    <t>1.2.7. Проведення ендопротезування в т.ч.:</t>
  </si>
  <si>
    <t>1.2.7.1. Ендопротезування великих суглобів</t>
  </si>
  <si>
    <t>1.2.8. Сприяння забезпеченню дороговартісними лікарськими засобами, в т.ч.:</t>
  </si>
  <si>
    <t>1.2.7.2. Ендопротезування судин</t>
  </si>
  <si>
    <t xml:space="preserve">1.2.8.1. Препарат "Диспорт" для дітей хворих на церебральний параліч </t>
  </si>
  <si>
    <t>1.2.8.2.  Препарат "Октогам" для дітей хворих  на вроджений імунодифіцит</t>
  </si>
  <si>
    <t>1.2.8.3. Препарат "Хуміра" , "Актембра","Методжект" для дітей хворих на ревматоїдний артрит</t>
  </si>
  <si>
    <t>1.3.1. Покриття вартості комунальних послуг та енергоносіїв</t>
  </si>
  <si>
    <t>1.3.2. Сприяння забезпеченню  первинного підвищення кваліфікації випускників вищих медичних закладів (інтернатура 3 рік навчання)</t>
  </si>
  <si>
    <t xml:space="preserve">1.4.1. Сприяння наданню амбулаторної стоматологічної допомоги  дорослому населенню пільгових категорій          </t>
  </si>
  <si>
    <t>Разом по заходу 1.1.1.</t>
  </si>
  <si>
    <t>Разом по заходу 1.1.2.</t>
  </si>
  <si>
    <t>Разом по заходу 1.1.3.</t>
  </si>
  <si>
    <t>Разом по заходу 1.1.4.</t>
  </si>
  <si>
    <t>Разом по заходу 1.1.5.</t>
  </si>
  <si>
    <t>Разом по заходу 1.2.1.</t>
  </si>
  <si>
    <t>Разом по заходу 1.2.7.</t>
  </si>
  <si>
    <t>Разом по заходу 1.2.6.</t>
  </si>
  <si>
    <t>Разом по заходу 1.2.8.</t>
  </si>
  <si>
    <t xml:space="preserve">Всього по напряму 1.3., у тому числі </t>
  </si>
  <si>
    <t>Всього по напряму 1.4., у тому числі</t>
  </si>
  <si>
    <t>Разом по заходу 2.1.1.</t>
  </si>
  <si>
    <t>Разом по заходу 2.1.2.</t>
  </si>
  <si>
    <t>Разом по заходу 2.1.3.</t>
  </si>
  <si>
    <t>1.1.3.; 1.1.4.; 1.1.5. Сприяння забезпеченню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матерів, КПКВК 0712152</t>
  </si>
  <si>
    <t>1.2.2. Сприяння забезпеченню надання антирабічної допомоги, КПКВК 0712010</t>
  </si>
  <si>
    <t xml:space="preserve">1.2.3.; 1.3.2.  Сприяння забезпеченню  первинного підвищення кваліфікації випускників вищих медичних закладів (інтернатура 3 рік навчання), КПКВК 0712010, КПКВК 0712030 </t>
  </si>
  <si>
    <t>1.2.4. Проведення обов'язкових  профілактичних оглядів  з видачею  особистих медичних книжок працівникам бюджетної сфери, КПКВК 0712152</t>
  </si>
  <si>
    <t>1.2.5. Забезпеченню функціонування відділення медико-соціальної допомоги дітям та молоді "Клініка, дружня до молоді", КПКВК 0712010</t>
  </si>
  <si>
    <t>1.2.6. Сприяння організації призову громадян на військову службу, КПКВК 0712010, КПКВК 0712152</t>
  </si>
  <si>
    <t>1.2.7. Проведення ендопротезування, КПКВК 0712010</t>
  </si>
  <si>
    <t>1.3. Розвиток лікарсько-акушерської допомоги</t>
  </si>
  <si>
    <t>1.3.1. Покриття вартості комунальних послуг та енергоносіїв, КПКВК 0712030</t>
  </si>
  <si>
    <t>1.4. Збереження стоматологічного здоров'я населення</t>
  </si>
  <si>
    <t xml:space="preserve">1.4.1. Сприяння наданню амбулаторної стоматологічної допомоги  дорослому населенню пільгових категорій, КПКВК 0712100          </t>
  </si>
  <si>
    <t>1.4.2. Покриття вартості комунальних послуг та енергоносіїв, КПКВК 0712100</t>
  </si>
  <si>
    <t>2.1.2. Забезпечення осіб з інвалідністю, дітей з інвалідністю технічними та іншими засобами для догляду у домашніх умовах, КПКВК 0712152</t>
  </si>
  <si>
    <t>2.1.3. Сприяння забезпеченню надання громадянам послуг по зубопротезуванню на пільгових умовах, КПКВК 0712152</t>
  </si>
  <si>
    <t>2.1.4. Сприяння забезпеченню слуховими апаратами дорослого населення з інвалідністю по слуху, КПКВК 0712010</t>
  </si>
  <si>
    <t>3.1. Інші заклади</t>
  </si>
  <si>
    <t>4.1. Зміцнення та оновлення матеріально-технічної бази закладів охорони здоров'я</t>
  </si>
  <si>
    <t>4.1.1. Оновлення матеріально-технічної бази закладів охорони здоров'я, КПКВК 0712010, КПКВК 0712030, КПКВК 0712100, КПКВК 0712111, КПКВК 0712151, КПКВК 0712152, КПКВК 0717361</t>
  </si>
  <si>
    <t>кількість осіб, яким проводиться щеплення ( по медичним висновкам), осіб</t>
  </si>
  <si>
    <t>кількість працівників бюджетної сфери,  яким проводяться обов'язкові  профілактичні огляди  з видачею  особистих медичних книжок, осіб</t>
  </si>
  <si>
    <t>кількість  проведених бесід, семінарів, лекцій, од.</t>
  </si>
  <si>
    <t>кількість проведених лекцій, бесід, семінарів на 1 лікаря, од.</t>
  </si>
  <si>
    <t>кількість кандидатів на військову службу, осіб</t>
  </si>
  <si>
    <t>середні витрати на одного медичного працівника, грн</t>
  </si>
  <si>
    <t>витрати на закупівлю ендопротезів колінних і кульшових суглобів, од.</t>
  </si>
  <si>
    <t>витрати на закупівлю ендопротезів судин, од.</t>
  </si>
  <si>
    <t>кількість пацієнтів, яким проводиться ендопротезування колінних і кульшових суглобів, осіб</t>
  </si>
  <si>
    <t>кількість пацієнтів, яким проводиться ендопротезування судин, осіб</t>
  </si>
  <si>
    <t>середні витрати на одного пацієнта при  ендопротезвунні  колінних і кульшових суглобів, грн.</t>
  </si>
  <si>
    <t>середні витрати на одного пацієнта при ендопротезвунні  судин, грн.</t>
  </si>
  <si>
    <t>придбання медичного препарату "Диспорт" для дітей хворих на церебральний параліч, грн</t>
  </si>
  <si>
    <t>придбання  медичного  препарату  "Октогам" для дітей хворих  на вроджений імунодифіцит, грн</t>
  </si>
  <si>
    <t>придбання медичних препартів  "Хуміра" , "Актембра","Методжект" для дітей хворих на ревматоїдний артрит, грн</t>
  </si>
  <si>
    <t>кількість дітей, які отримають медичний препарат "Диспорт", осіб</t>
  </si>
  <si>
    <t>кількість дітей, які отримають медичний препарат "Октагам", осіб</t>
  </si>
  <si>
    <t>кількість дітей, які отримають медичний препарат "Хуміра" , "Актембра","Методжект", осіб</t>
  </si>
  <si>
    <t>Середні витрати на одну дитину хвору на церебральний параліч, грн.</t>
  </si>
  <si>
    <t>Середні витрати на одну дитину хвору на вроджений імунодифіцит, грн.</t>
  </si>
  <si>
    <t xml:space="preserve">Середні витрати на одну дитину хвору на ревматоїдний артрит та кістозний фіброз із легеневими симптомами, грн. </t>
  </si>
  <si>
    <t>кількість пролікованих пацієнтів на одного лікаря, осіб</t>
  </si>
  <si>
    <t>динамика обсягу витрат на забезпечення покриття вартості комунальних послуг та енергоносіїв порвняно до попереднього року, %</t>
  </si>
  <si>
    <t>ПІДПРОГРАМА 2. Забезпечення соціальних стандартів у сфері охорони здоров'я</t>
  </si>
  <si>
    <t>кількість осіб, які отримають підгузки, осіб</t>
  </si>
  <si>
    <t>кількість осіб, які отримають калоприймачі, катетери,уропрезервативи, осіб</t>
  </si>
  <si>
    <t>кількість осіб, які  отримають прокладок урологічних, осіб</t>
  </si>
  <si>
    <t>динамика обсягу витрат на забезпечення пільгової категорії населення  технічними та іншими засобами порівняно до попереднього року, %</t>
  </si>
  <si>
    <t>централізована бухгалтерія, од.</t>
  </si>
  <si>
    <t>інформаційно-аналітичний центр медичної статистик, од.</t>
  </si>
  <si>
    <t>кількість медичних закладів, які обслуговує централізована бухгалтерія, од.</t>
  </si>
  <si>
    <t>кількість звітних форм та інформацій працівників бухгалтерії, од.</t>
  </si>
  <si>
    <t>кількість рахунків, од.</t>
  </si>
  <si>
    <t xml:space="preserve">1.1.4. Сприяння забезпеченню продуктами харчування дітей віком від    0-2 років з малозабезпечених сімей </t>
  </si>
  <si>
    <t>1.1.5. Сприяння забезпеченню спеціальним харчуванням дітей народжених від ВІЛ-  інфікованих матерів</t>
  </si>
  <si>
    <t xml:space="preserve"> Програма Сумської міської  територіальної громади «Cоціальна підтримка захисників України та членів їх сімей» на 2022-2024 роки»</t>
  </si>
  <si>
    <t>Забезпечення  стоматологічними послугами учасників антитерористичної операції та членів сімей загиблих (померлих) учасників антитерористичної операції</t>
  </si>
  <si>
    <t>1.2.8. Сприяння забезпеченню дитячого населення дороговартісними медичними препаратами, КПКВК 0712010</t>
  </si>
  <si>
    <t>продукти дитячого харчування дітям, народженим від ВІЛ-інфікованих матерів, грн</t>
  </si>
  <si>
    <t>продукти дитячого харчування дітям перших двох років життя з малозабезпечених сімей, грн</t>
  </si>
  <si>
    <t>лікувальне харчування для  дітей  з орфанними захворюваннями, грн</t>
  </si>
  <si>
    <t>Олександр ЛИСЕНКО</t>
  </si>
  <si>
    <t>від 26 січня 2022 року № 2713-МР</t>
  </si>
  <si>
    <t>від 26 січня 2022 року № 2713 - МР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</si>
</sst>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8"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Arial"/>
      <family val="2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sz val="2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name val="Arial"/>
      <family val="2"/>
      <charset val="204"/>
    </font>
    <font>
      <b/>
      <sz val="28"/>
      <name val="Times New Roman"/>
      <family val="1"/>
      <charset val="204"/>
    </font>
    <font>
      <sz val="20"/>
      <name val="Arial"/>
      <family val="2"/>
      <charset val="204"/>
    </font>
    <font>
      <sz val="28"/>
      <name val="Times New Roman"/>
      <family val="1"/>
      <charset val="204"/>
    </font>
    <font>
      <u/>
      <sz val="2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8"/>
      <name val="Times New Roman"/>
      <family val="1"/>
      <charset val="204"/>
    </font>
    <font>
      <sz val="36"/>
      <name val="Times New Roman"/>
      <family val="1"/>
      <charset val="204"/>
    </font>
    <font>
      <sz val="48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7" fillId="0" borderId="0"/>
    <xf numFmtId="0" fontId="15" fillId="0" borderId="0">
      <alignment horizontal="left"/>
    </xf>
    <xf numFmtId="0" fontId="2" fillId="0" borderId="0"/>
    <xf numFmtId="0" fontId="15" fillId="0" borderId="0">
      <alignment horizontal="left"/>
    </xf>
    <xf numFmtId="0" fontId="5" fillId="0" borderId="0"/>
    <xf numFmtId="0" fontId="37" fillId="0" borderId="0"/>
  </cellStyleXfs>
  <cellXfs count="4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13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wrapText="1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wrapText="1"/>
    </xf>
    <xf numFmtId="0" fontId="22" fillId="2" borderId="0" xfId="0" applyFont="1" applyFill="1" applyAlignment="1">
      <alignment vertical="top"/>
    </xf>
    <xf numFmtId="0" fontId="22" fillId="2" borderId="0" xfId="0" applyFont="1" applyFill="1" applyAlignment="1">
      <alignment horizontal="right"/>
    </xf>
    <xf numFmtId="0" fontId="22" fillId="2" borderId="0" xfId="0" applyFont="1" applyFill="1"/>
    <xf numFmtId="3" fontId="9" fillId="2" borderId="0" xfId="0" applyNumberFormat="1" applyFont="1" applyFill="1"/>
    <xf numFmtId="3" fontId="9" fillId="2" borderId="0" xfId="0" applyNumberFormat="1" applyFont="1" applyFill="1" applyBorder="1"/>
    <xf numFmtId="3" fontId="9" fillId="2" borderId="0" xfId="0" applyNumberFormat="1" applyFont="1" applyFill="1" applyAlignment="1">
      <alignment horizontal="center"/>
    </xf>
    <xf numFmtId="3" fontId="11" fillId="2" borderId="1" xfId="0" applyNumberFormat="1" applyFont="1" applyFill="1" applyBorder="1" applyAlignment="1">
      <alignment horizontal="center" vertical="top" wrapText="1"/>
    </xf>
    <xf numFmtId="3" fontId="10" fillId="2" borderId="1" xfId="6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/>
    <xf numFmtId="3" fontId="1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13" fillId="2" borderId="0" xfId="0" applyNumberFormat="1" applyFont="1" applyFill="1" applyBorder="1"/>
    <xf numFmtId="3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wrapText="1"/>
    </xf>
    <xf numFmtId="3" fontId="1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top" wrapText="1"/>
    </xf>
    <xf numFmtId="3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vertical="top"/>
    </xf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wrapText="1"/>
    </xf>
    <xf numFmtId="3" fontId="17" fillId="2" borderId="0" xfId="0" applyNumberFormat="1" applyFont="1" applyFill="1" applyAlignment="1">
      <alignment horizontal="center"/>
    </xf>
    <xf numFmtId="0" fontId="9" fillId="0" borderId="0" xfId="0" applyFont="1"/>
    <xf numFmtId="0" fontId="26" fillId="0" borderId="0" xfId="0" applyFont="1"/>
    <xf numFmtId="3" fontId="22" fillId="2" borderId="0" xfId="0" applyNumberFormat="1" applyFont="1" applyFill="1" applyAlignment="1">
      <alignment horizontal="left"/>
    </xf>
    <xf numFmtId="3" fontId="22" fillId="2" borderId="0" xfId="0" applyNumberFormat="1" applyFont="1" applyFill="1"/>
    <xf numFmtId="0" fontId="17" fillId="0" borderId="0" xfId="0" applyFont="1"/>
    <xf numFmtId="0" fontId="28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top" wrapText="1"/>
    </xf>
    <xf numFmtId="0" fontId="29" fillId="2" borderId="0" xfId="0" applyFont="1" applyFill="1"/>
    <xf numFmtId="0" fontId="29" fillId="2" borderId="0" xfId="0" applyFont="1" applyFill="1" applyAlignment="1">
      <alignment horizontal="right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wrapText="1"/>
    </xf>
    <xf numFmtId="0" fontId="22" fillId="2" borderId="0" xfId="0" applyFont="1" applyFill="1" applyAlignment="1">
      <alignment horizontal="left"/>
    </xf>
    <xf numFmtId="166" fontId="19" fillId="2" borderId="1" xfId="0" applyNumberFormat="1" applyFont="1" applyFill="1" applyBorder="1" applyAlignment="1">
      <alignment horizontal="center" vertical="top" wrapText="1"/>
    </xf>
    <xf numFmtId="166" fontId="22" fillId="2" borderId="1" xfId="0" applyNumberFormat="1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3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22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 wrapText="1"/>
    </xf>
    <xf numFmtId="0" fontId="17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31" fillId="2" borderId="0" xfId="0" applyFont="1" applyFill="1" applyAlignment="1">
      <alignment horizontal="center"/>
    </xf>
    <xf numFmtId="0" fontId="32" fillId="2" borderId="0" xfId="0" applyFont="1" applyFill="1"/>
    <xf numFmtId="0" fontId="30" fillId="2" borderId="0" xfId="0" applyFont="1" applyFill="1" applyAlignment="1">
      <alignment vertical="top"/>
    </xf>
    <xf numFmtId="0" fontId="33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wrapText="1"/>
    </xf>
    <xf numFmtId="0" fontId="22" fillId="2" borderId="1" xfId="0" applyFont="1" applyFill="1" applyBorder="1" applyAlignment="1">
      <alignment horizontal="left" vertical="center" wrapText="1"/>
    </xf>
    <xf numFmtId="0" fontId="34" fillId="2" borderId="0" xfId="0" applyFont="1" applyFill="1" applyAlignment="1">
      <alignment horizontal="center"/>
    </xf>
    <xf numFmtId="0" fontId="34" fillId="2" borderId="0" xfId="0" applyFont="1" applyFill="1"/>
    <xf numFmtId="0" fontId="34" fillId="2" borderId="0" xfId="0" applyFont="1" applyFill="1" applyAlignment="1">
      <alignment vertical="top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wrapText="1"/>
    </xf>
    <xf numFmtId="0" fontId="34" fillId="2" borderId="0" xfId="0" applyFont="1" applyFill="1" applyAlignment="1">
      <alignment vertical="top" wrapText="1"/>
    </xf>
    <xf numFmtId="0" fontId="35" fillId="2" borderId="0" xfId="0" applyFont="1" applyFill="1"/>
    <xf numFmtId="0" fontId="29" fillId="2" borderId="0" xfId="0" applyFont="1" applyFill="1" applyAlignment="1">
      <alignment horizontal="left"/>
    </xf>
    <xf numFmtId="0" fontId="22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22" fillId="0" borderId="0" xfId="0" applyFont="1"/>
    <xf numFmtId="49" fontId="25" fillId="2" borderId="1" xfId="0" applyNumberFormat="1" applyFont="1" applyFill="1" applyBorder="1" applyAlignment="1">
      <alignment horizontal="center" vertical="top" wrapText="1"/>
    </xf>
    <xf numFmtId="0" fontId="22" fillId="2" borderId="0" xfId="3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166" fontId="22" fillId="2" borderId="0" xfId="0" applyNumberFormat="1" applyFont="1" applyFill="1" applyAlignment="1">
      <alignment horizontal="center" wrapText="1"/>
    </xf>
    <xf numFmtId="0" fontId="22" fillId="2" borderId="0" xfId="0" applyFont="1" applyFill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9" fillId="2" borderId="3" xfId="0" applyNumberFormat="1" applyFont="1" applyFill="1" applyBorder="1" applyAlignment="1">
      <alignment horizontal="center" vertical="top" wrapText="1"/>
    </xf>
    <xf numFmtId="166" fontId="22" fillId="2" borderId="3" xfId="0" applyNumberFormat="1" applyFont="1" applyFill="1" applyBorder="1" applyAlignment="1">
      <alignment horizontal="center" vertical="top" wrapText="1"/>
    </xf>
    <xf numFmtId="3" fontId="19" fillId="2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/>
    </xf>
    <xf numFmtId="3" fontId="9" fillId="2" borderId="1" xfId="0" applyNumberFormat="1" applyFont="1" applyFill="1" applyBorder="1" applyAlignment="1">
      <alignment horizontal="left" vertical="top"/>
    </xf>
    <xf numFmtId="3" fontId="13" fillId="2" borderId="1" xfId="7" applyNumberFormat="1" applyFont="1" applyFill="1" applyBorder="1" applyAlignment="1">
      <alignment horizontal="left" vertical="top" wrapText="1"/>
    </xf>
    <xf numFmtId="3" fontId="10" fillId="2" borderId="1" xfId="7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 shrinkToFit="1"/>
    </xf>
    <xf numFmtId="3" fontId="13" fillId="2" borderId="0" xfId="0" applyNumberFormat="1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3" fontId="13" fillId="2" borderId="1" xfId="8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166" fontId="13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top"/>
    </xf>
    <xf numFmtId="165" fontId="22" fillId="2" borderId="0" xfId="0" applyNumberFormat="1" applyFont="1" applyFill="1" applyAlignment="1">
      <alignment horizontal="center" wrapText="1"/>
    </xf>
    <xf numFmtId="0" fontId="13" fillId="2" borderId="1" xfId="7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22" fillId="2" borderId="6" xfId="0" applyNumberFormat="1" applyFont="1" applyFill="1" applyBorder="1" applyAlignment="1">
      <alignment vertical="top" wrapText="1"/>
    </xf>
    <xf numFmtId="0" fontId="22" fillId="2" borderId="6" xfId="0" applyFont="1" applyFill="1" applyBorder="1" applyAlignment="1">
      <alignment vertical="top" wrapText="1"/>
    </xf>
    <xf numFmtId="166" fontId="22" fillId="2" borderId="1" xfId="0" applyNumberFormat="1" applyFont="1" applyFill="1" applyBorder="1" applyAlignment="1">
      <alignment horizontal="center" vertical="top"/>
    </xf>
    <xf numFmtId="0" fontId="22" fillId="2" borderId="6" xfId="3" applyFont="1" applyFill="1" applyBorder="1" applyAlignment="1">
      <alignment vertical="top" wrapText="1"/>
    </xf>
    <xf numFmtId="0" fontId="22" fillId="2" borderId="1" xfId="3" applyFont="1" applyFill="1" applyBorder="1" applyAlignment="1">
      <alignment vertical="top" wrapText="1"/>
    </xf>
    <xf numFmtId="166" fontId="19" fillId="2" borderId="9" xfId="0" applyNumberFormat="1" applyFont="1" applyFill="1" applyBorder="1" applyAlignment="1">
      <alignment horizontal="center" vertical="top" wrapText="1"/>
    </xf>
    <xf numFmtId="166" fontId="22" fillId="2" borderId="9" xfId="0" applyNumberFormat="1" applyFont="1" applyFill="1" applyBorder="1" applyAlignment="1">
      <alignment horizontal="center" vertical="top" wrapText="1"/>
    </xf>
    <xf numFmtId="0" fontId="22" fillId="2" borderId="1" xfId="3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vertical="top"/>
    </xf>
    <xf numFmtId="0" fontId="22" fillId="2" borderId="12" xfId="0" applyFont="1" applyFill="1" applyBorder="1" applyAlignment="1">
      <alignment vertical="top" wrapText="1"/>
    </xf>
    <xf numFmtId="49" fontId="13" fillId="2" borderId="12" xfId="0" applyNumberFormat="1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vertical="top" wrapText="1"/>
    </xf>
    <xf numFmtId="16" fontId="14" fillId="2" borderId="12" xfId="0" applyNumberFormat="1" applyFont="1" applyFill="1" applyBorder="1" applyAlignment="1">
      <alignment vertical="top"/>
    </xf>
    <xf numFmtId="49" fontId="13" fillId="2" borderId="6" xfId="0" applyNumberFormat="1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49" fontId="13" fillId="2" borderId="6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24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vertical="top" wrapText="1"/>
    </xf>
    <xf numFmtId="0" fontId="2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166" fontId="13" fillId="2" borderId="6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left" vertical="top" wrapText="1"/>
    </xf>
    <xf numFmtId="166" fontId="19" fillId="2" borderId="6" xfId="0" applyNumberFormat="1" applyFont="1" applyFill="1" applyBorder="1" applyAlignment="1">
      <alignment horizontal="center" vertical="top" wrapText="1"/>
    </xf>
    <xf numFmtId="166" fontId="22" fillId="2" borderId="6" xfId="0" applyNumberFormat="1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top" wrapText="1"/>
    </xf>
    <xf numFmtId="166" fontId="17" fillId="2" borderId="6" xfId="0" applyNumberFormat="1" applyFont="1" applyFill="1" applyBorder="1" applyAlignment="1">
      <alignment horizontal="center" vertical="top" wrapText="1"/>
    </xf>
    <xf numFmtId="166" fontId="17" fillId="2" borderId="12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3" fontId="22" fillId="2" borderId="1" xfId="0" applyNumberFormat="1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horizontal="center" vertical="top"/>
    </xf>
    <xf numFmtId="0" fontId="20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6" xfId="0" applyFont="1" applyFill="1" applyBorder="1" applyAlignment="1">
      <alignment vertical="top" wrapText="1"/>
    </xf>
    <xf numFmtId="0" fontId="19" fillId="2" borderId="12" xfId="0" applyFont="1" applyFill="1" applyBorder="1" applyAlignment="1">
      <alignment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2" borderId="6" xfId="3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3" fillId="2" borderId="6" xfId="3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49" fontId="22" fillId="2" borderId="12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6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12" xfId="3" applyFont="1" applyFill="1" applyBorder="1" applyAlignment="1">
      <alignment horizontal="center" vertical="top" wrapText="1"/>
    </xf>
    <xf numFmtId="0" fontId="22" fillId="2" borderId="1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/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left" vertical="top"/>
    </xf>
    <xf numFmtId="3" fontId="10" fillId="2" borderId="3" xfId="0" applyNumberFormat="1" applyFont="1" applyFill="1" applyBorder="1" applyAlignment="1">
      <alignment horizontal="left" vertical="top"/>
    </xf>
    <xf numFmtId="3" fontId="10" fillId="2" borderId="4" xfId="0" applyNumberFormat="1" applyFont="1" applyFill="1" applyBorder="1" applyAlignment="1">
      <alignment horizontal="left" vertical="top"/>
    </xf>
    <xf numFmtId="3" fontId="10" fillId="2" borderId="2" xfId="0" applyNumberFormat="1" applyFont="1" applyFill="1" applyBorder="1" applyAlignment="1">
      <alignment horizontal="left" vertical="top"/>
    </xf>
    <xf numFmtId="3" fontId="10" fillId="2" borderId="3" xfId="6" applyNumberFormat="1" applyFont="1" applyFill="1" applyBorder="1" applyAlignment="1">
      <alignment horizontal="left" vertical="top" wrapText="1"/>
    </xf>
    <xf numFmtId="3" fontId="36" fillId="2" borderId="1" xfId="0" applyNumberFormat="1" applyFont="1" applyFill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left" vertical="top" wrapText="1"/>
    </xf>
    <xf numFmtId="3" fontId="9" fillId="4" borderId="0" xfId="0" applyNumberFormat="1" applyFont="1" applyFill="1"/>
    <xf numFmtId="3" fontId="13" fillId="4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3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2" fillId="0" borderId="0" xfId="0" applyFont="1" applyFill="1" applyAlignment="1">
      <alignment horizontal="justify" wrapText="1"/>
    </xf>
    <xf numFmtId="0" fontId="13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left" vertical="top" wrapText="1"/>
    </xf>
    <xf numFmtId="0" fontId="22" fillId="2" borderId="6" xfId="3" applyFont="1" applyFill="1" applyBorder="1" applyAlignment="1">
      <alignment horizontal="left" vertical="top" wrapText="1"/>
    </xf>
    <xf numFmtId="0" fontId="22" fillId="2" borderId="12" xfId="3" applyFont="1" applyFill="1" applyBorder="1" applyAlignment="1">
      <alignment horizontal="left" vertical="top" wrapText="1"/>
    </xf>
    <xf numFmtId="0" fontId="22" fillId="2" borderId="9" xfId="3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/>
    </xf>
    <xf numFmtId="0" fontId="13" fillId="2" borderId="1" xfId="3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top"/>
    </xf>
    <xf numFmtId="0" fontId="14" fillId="2" borderId="13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0" fontId="13" fillId="2" borderId="6" xfId="3" applyFont="1" applyFill="1" applyBorder="1" applyAlignment="1">
      <alignment horizontal="center" vertical="top" wrapText="1"/>
    </xf>
    <xf numFmtId="0" fontId="13" fillId="2" borderId="12" xfId="3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top" wrapText="1"/>
    </xf>
    <xf numFmtId="0" fontId="13" fillId="2" borderId="9" xfId="3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left" vertical="top" wrapText="1"/>
    </xf>
    <xf numFmtId="49" fontId="22" fillId="2" borderId="6" xfId="0" applyNumberFormat="1" applyFont="1" applyFill="1" applyBorder="1" applyAlignment="1">
      <alignment horizontal="left" vertical="top" wrapText="1"/>
    </xf>
    <xf numFmtId="49" fontId="22" fillId="2" borderId="12" xfId="0" applyNumberFormat="1" applyFont="1" applyFill="1" applyBorder="1" applyAlignment="1">
      <alignment horizontal="left" vertical="top" wrapText="1"/>
    </xf>
    <xf numFmtId="49" fontId="22" fillId="2" borderId="9" xfId="0" applyNumberFormat="1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22" fillId="2" borderId="6" xfId="3" applyFont="1" applyFill="1" applyBorder="1" applyAlignment="1">
      <alignment horizontal="center" vertical="top" wrapText="1"/>
    </xf>
    <xf numFmtId="0" fontId="22" fillId="2" borderId="12" xfId="3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12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0" fontId="22" fillId="2" borderId="1" xfId="3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2" borderId="11" xfId="0" applyFont="1" applyFill="1" applyBorder="1" applyAlignment="1">
      <alignment horizontal="left" vertical="top"/>
    </xf>
    <xf numFmtId="0" fontId="19" fillId="2" borderId="15" xfId="0" applyFont="1" applyFill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11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 vertical="top"/>
    </xf>
    <xf numFmtId="0" fontId="14" fillId="2" borderId="15" xfId="0" applyFont="1" applyFill="1" applyBorder="1" applyAlignment="1">
      <alignment horizontal="left" vertical="top"/>
    </xf>
    <xf numFmtId="0" fontId="14" fillId="2" borderId="8" xfId="0" applyFont="1" applyFill="1" applyBorder="1" applyAlignment="1">
      <alignment horizontal="left" vertical="top"/>
    </xf>
    <xf numFmtId="0" fontId="14" fillId="2" borderId="6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49" fontId="19" fillId="2" borderId="6" xfId="0" applyNumberFormat="1" applyFont="1" applyFill="1" applyBorder="1" applyAlignment="1">
      <alignment horizontal="center" vertical="top" wrapText="1"/>
    </xf>
    <xf numFmtId="49" fontId="19" fillId="2" borderId="12" xfId="0" applyNumberFormat="1" applyFont="1" applyFill="1" applyBorder="1" applyAlignment="1">
      <alignment horizontal="center" vertical="top" wrapText="1"/>
    </xf>
    <xf numFmtId="49" fontId="19" fillId="2" borderId="9" xfId="0" applyNumberFormat="1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top"/>
    </xf>
    <xf numFmtId="0" fontId="20" fillId="2" borderId="4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22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/>
    </xf>
    <xf numFmtId="0" fontId="19" fillId="2" borderId="1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3" fontId="10" fillId="2" borderId="3" xfId="0" applyNumberFormat="1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left" vertical="top" wrapText="1"/>
    </xf>
    <xf numFmtId="3" fontId="10" fillId="2" borderId="3" xfId="0" applyNumberFormat="1" applyFont="1" applyFill="1" applyBorder="1" applyAlignment="1">
      <alignment horizontal="left" vertical="top"/>
    </xf>
    <xf numFmtId="3" fontId="10" fillId="2" borderId="4" xfId="0" applyNumberFormat="1" applyFont="1" applyFill="1" applyBorder="1" applyAlignment="1">
      <alignment horizontal="left" vertical="top"/>
    </xf>
    <xf numFmtId="3" fontId="10" fillId="2" borderId="2" xfId="0" applyNumberFormat="1" applyFont="1" applyFill="1" applyBorder="1" applyAlignment="1">
      <alignment horizontal="left" vertical="top"/>
    </xf>
    <xf numFmtId="3" fontId="35" fillId="2" borderId="0" xfId="0" applyNumberFormat="1" applyFont="1" applyFill="1" applyAlignment="1">
      <alignment horizontal="center" wrapText="1"/>
    </xf>
    <xf numFmtId="3" fontId="10" fillId="2" borderId="1" xfId="0" applyNumberFormat="1" applyFont="1" applyFill="1" applyBorder="1" applyAlignment="1">
      <alignment horizontal="left" vertical="top"/>
    </xf>
    <xf numFmtId="3" fontId="11" fillId="2" borderId="1" xfId="0" applyNumberFormat="1" applyFont="1" applyFill="1" applyBorder="1" applyAlignment="1">
      <alignment horizontal="center" wrapText="1"/>
    </xf>
    <xf numFmtId="3" fontId="10" fillId="2" borderId="3" xfId="6" applyNumberFormat="1" applyFont="1" applyFill="1" applyBorder="1" applyAlignment="1">
      <alignment horizontal="left" vertical="top" wrapText="1"/>
    </xf>
    <xf numFmtId="3" fontId="10" fillId="2" borderId="4" xfId="6" applyNumberFormat="1" applyFont="1" applyFill="1" applyBorder="1" applyAlignment="1">
      <alignment horizontal="left" vertical="top" wrapText="1"/>
    </xf>
    <xf numFmtId="3" fontId="10" fillId="2" borderId="2" xfId="6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justify" wrapText="1"/>
    </xf>
    <xf numFmtId="3" fontId="14" fillId="2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3" fontId="22" fillId="2" borderId="0" xfId="0" applyNumberFormat="1" applyFont="1" applyFill="1" applyAlignment="1">
      <alignment horizontal="left" wrapText="1"/>
    </xf>
    <xf numFmtId="3" fontId="21" fillId="2" borderId="0" xfId="0" applyNumberFormat="1" applyFont="1" applyFill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</cellXfs>
  <cellStyles count="11">
    <cellStyle name="Обычный" xfId="0" builtinId="0"/>
    <cellStyle name="Обычный 2" xfId="1"/>
    <cellStyle name="Обычный 2 3" xfId="9"/>
    <cellStyle name="Обычный 3" xfId="2"/>
    <cellStyle name="Обычный 4" xfId="8"/>
    <cellStyle name="Обычный 7" xfId="10"/>
    <cellStyle name="Обычный_Dnepr" xfId="6"/>
    <cellStyle name="Обычный_Запит ПЦМ 2012 свод4 по уоз" xfId="7"/>
    <cellStyle name="Обычный_Лист1" xfId="3"/>
    <cellStyle name="Процентный 2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topLeftCell="A19" zoomScale="84" zoomScaleSheetLayoutView="84" workbookViewId="0">
      <selection activeCell="A29" sqref="A29:IV29"/>
    </sheetView>
  </sheetViews>
  <sheetFormatPr defaultColWidth="9.140625" defaultRowHeight="18.75"/>
  <cols>
    <col min="1" max="1" width="40.85546875" style="1" customWidth="1"/>
    <col min="2" max="2" width="38.85546875" style="1" customWidth="1"/>
    <col min="3" max="3" width="52.140625" style="1" customWidth="1"/>
    <col min="4" max="4" width="9.140625" style="1"/>
    <col min="5" max="5" width="37.42578125" style="1" customWidth="1"/>
    <col min="6" max="16384" width="9.140625" style="1"/>
  </cols>
  <sheetData>
    <row r="1" spans="1:13">
      <c r="C1" s="1" t="s">
        <v>0</v>
      </c>
    </row>
    <row r="2" spans="1:13" ht="114" customHeight="1">
      <c r="C2" s="4" t="s">
        <v>37</v>
      </c>
      <c r="F2" s="247"/>
      <c r="G2" s="247"/>
      <c r="H2" s="247"/>
      <c r="I2" s="2"/>
      <c r="J2" s="2"/>
      <c r="K2" s="2"/>
      <c r="L2" s="15"/>
      <c r="M2" s="15"/>
    </row>
    <row r="3" spans="1:13" ht="24" customHeight="1">
      <c r="C3" s="4" t="s">
        <v>40</v>
      </c>
      <c r="E3" s="17"/>
      <c r="F3" s="248"/>
      <c r="G3" s="248"/>
      <c r="H3" s="248"/>
      <c r="J3" s="15"/>
      <c r="K3" s="15"/>
      <c r="L3" s="15"/>
      <c r="M3" s="15"/>
    </row>
    <row r="4" spans="1:13" ht="30" customHeight="1">
      <c r="C4" s="4"/>
      <c r="E4" s="17"/>
      <c r="F4" s="16"/>
      <c r="G4" s="16"/>
      <c r="H4" s="16"/>
      <c r="J4" s="15"/>
      <c r="K4" s="15"/>
      <c r="L4" s="15"/>
      <c r="M4" s="15"/>
    </row>
    <row r="5" spans="1:13" ht="17.25" customHeight="1">
      <c r="A5" s="243" t="s">
        <v>7</v>
      </c>
      <c r="B5" s="243"/>
      <c r="C5" s="243"/>
      <c r="F5" s="249"/>
      <c r="G5" s="249"/>
      <c r="H5" s="249"/>
      <c r="I5" s="249"/>
      <c r="J5" s="249"/>
      <c r="K5" s="249"/>
      <c r="L5" s="249"/>
      <c r="M5" s="249"/>
    </row>
    <row r="6" spans="1:13" ht="17.25" customHeight="1">
      <c r="A6" s="243" t="s">
        <v>16</v>
      </c>
      <c r="B6" s="243"/>
      <c r="C6" s="243"/>
    </row>
    <row r="7" spans="1:13" ht="17.25" customHeight="1">
      <c r="A7" s="243" t="s">
        <v>14</v>
      </c>
      <c r="B7" s="243"/>
      <c r="C7" s="243"/>
    </row>
    <row r="8" spans="1:13" ht="22.5" customHeight="1"/>
    <row r="9" spans="1:13" ht="37.5" customHeight="1">
      <c r="A9" s="245" t="s">
        <v>6</v>
      </c>
      <c r="B9" s="252" t="s">
        <v>8</v>
      </c>
      <c r="C9" s="253"/>
    </row>
    <row r="10" spans="1:13" ht="37.5" customHeight="1">
      <c r="A10" s="246"/>
      <c r="B10" s="255" t="s">
        <v>9</v>
      </c>
      <c r="C10" s="256"/>
    </row>
    <row r="11" spans="1:13">
      <c r="A11" s="7">
        <v>1</v>
      </c>
      <c r="B11" s="250">
        <v>2</v>
      </c>
      <c r="C11" s="251"/>
    </row>
    <row r="12" spans="1:13" ht="49.5" customHeight="1">
      <c r="A12" s="20" t="s">
        <v>26</v>
      </c>
      <c r="B12" s="244" t="s">
        <v>10</v>
      </c>
      <c r="C12" s="244"/>
    </row>
    <row r="13" spans="1:13" ht="49.5" customHeight="1">
      <c r="A13" s="20" t="s">
        <v>27</v>
      </c>
      <c r="B13" s="244" t="s">
        <v>13</v>
      </c>
      <c r="C13" s="244"/>
    </row>
    <row r="14" spans="1:13" ht="49.5" customHeight="1">
      <c r="A14" s="20" t="s">
        <v>28</v>
      </c>
      <c r="B14" s="244" t="s">
        <v>11</v>
      </c>
      <c r="C14" s="244"/>
    </row>
    <row r="15" spans="1:13" ht="49.5" customHeight="1">
      <c r="A15" s="20" t="s">
        <v>29</v>
      </c>
      <c r="B15" s="244" t="s">
        <v>19</v>
      </c>
      <c r="C15" s="244"/>
    </row>
    <row r="16" spans="1:13" ht="49.5" customHeight="1">
      <c r="A16" s="20" t="s">
        <v>30</v>
      </c>
      <c r="B16" s="244" t="s">
        <v>18</v>
      </c>
      <c r="C16" s="244"/>
    </row>
    <row r="17" spans="1:11" ht="49.5" customHeight="1">
      <c r="A17" s="20" t="s">
        <v>31</v>
      </c>
      <c r="B17" s="254" t="s">
        <v>39</v>
      </c>
      <c r="C17" s="254"/>
    </row>
    <row r="18" spans="1:11" ht="55.5" customHeight="1">
      <c r="A18" s="20" t="s">
        <v>32</v>
      </c>
      <c r="B18" s="254" t="s">
        <v>38</v>
      </c>
      <c r="C18" s="254"/>
    </row>
    <row r="19" spans="1:11" ht="57" customHeight="1">
      <c r="A19" s="20" t="s">
        <v>33</v>
      </c>
      <c r="B19" s="244" t="s">
        <v>12</v>
      </c>
      <c r="C19" s="244"/>
    </row>
    <row r="20" spans="1:11" ht="41.25" customHeight="1">
      <c r="A20" s="20" t="s">
        <v>34</v>
      </c>
      <c r="B20" s="254" t="s">
        <v>20</v>
      </c>
      <c r="C20" s="254"/>
    </row>
    <row r="21" spans="1:11" ht="41.25" customHeight="1">
      <c r="A21" s="20" t="s">
        <v>35</v>
      </c>
      <c r="B21" s="254" t="s">
        <v>21</v>
      </c>
      <c r="C21" s="254"/>
    </row>
    <row r="22" spans="1:11" ht="41.25" customHeight="1">
      <c r="A22" s="20" t="s">
        <v>36</v>
      </c>
      <c r="B22" s="254" t="s">
        <v>22</v>
      </c>
      <c r="C22" s="254"/>
    </row>
    <row r="23" spans="1:11" ht="14.25" customHeight="1">
      <c r="A23" s="19"/>
      <c r="B23" s="11"/>
      <c r="C23" s="11"/>
    </row>
    <row r="24" spans="1:11" ht="14.25" customHeight="1">
      <c r="A24" s="19"/>
      <c r="B24" s="11"/>
      <c r="C24" s="11"/>
    </row>
    <row r="25" spans="1:11" ht="14.25" customHeight="1">
      <c r="A25" s="19"/>
      <c r="B25" s="11"/>
      <c r="C25" s="11"/>
    </row>
    <row r="26" spans="1:11" ht="14.25" customHeight="1"/>
    <row r="27" spans="1:11" ht="22.5" customHeight="1">
      <c r="A27" s="8" t="s">
        <v>23</v>
      </c>
      <c r="B27" s="10"/>
      <c r="C27" s="9" t="s">
        <v>24</v>
      </c>
      <c r="D27" s="10"/>
      <c r="E27" s="12"/>
      <c r="F27" s="10"/>
      <c r="G27" s="13"/>
      <c r="H27" s="13"/>
      <c r="I27" s="13"/>
      <c r="J27" s="14"/>
      <c r="K27" s="13"/>
    </row>
    <row r="28" spans="1:11" ht="20.25" customHeight="1">
      <c r="A28" s="18" t="s">
        <v>25</v>
      </c>
      <c r="B28"/>
      <c r="C28" s="5"/>
      <c r="D28" s="3"/>
      <c r="F28" s="4"/>
      <c r="H28" s="6"/>
    </row>
  </sheetData>
  <mergeCells count="21">
    <mergeCell ref="B22:C22"/>
    <mergeCell ref="B10:C10"/>
    <mergeCell ref="B16:C16"/>
    <mergeCell ref="B20:C20"/>
    <mergeCell ref="B19:C19"/>
    <mergeCell ref="B13:C13"/>
    <mergeCell ref="B21:C21"/>
    <mergeCell ref="B14:C14"/>
    <mergeCell ref="B18:C18"/>
    <mergeCell ref="B17:C17"/>
    <mergeCell ref="B15:C15"/>
    <mergeCell ref="A7:C7"/>
    <mergeCell ref="B12:C12"/>
    <mergeCell ref="A6:C6"/>
    <mergeCell ref="A9:A10"/>
    <mergeCell ref="F2:H2"/>
    <mergeCell ref="F3:H3"/>
    <mergeCell ref="F5:M5"/>
    <mergeCell ref="B11:C11"/>
    <mergeCell ref="A5:C5"/>
    <mergeCell ref="B9:C9"/>
  </mergeCells>
  <pageMargins left="0.70866141732283472" right="0.51181102362204722" top="0.94488188976377963" bottom="0.55118110236220474" header="0.31496062992125984" footer="0.31496062992125984"/>
  <pageSetup paperSize="9"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view="pageBreakPreview" zoomScale="40" zoomScaleSheetLayoutView="40" workbookViewId="0">
      <selection activeCell="H10" sqref="G10:H10"/>
    </sheetView>
  </sheetViews>
  <sheetFormatPr defaultRowHeight="18.75"/>
  <cols>
    <col min="1" max="1" width="9.140625" style="1"/>
    <col min="2" max="2" width="29.42578125" style="1" customWidth="1"/>
    <col min="3" max="3" width="78" style="1" customWidth="1"/>
    <col min="4" max="4" width="52.140625" style="1" customWidth="1"/>
    <col min="5" max="5" width="7.7109375" style="1" customWidth="1"/>
    <col min="6" max="6" width="1.7109375" style="1" customWidth="1"/>
    <col min="7" max="8" width="9.140625" style="1"/>
    <col min="9" max="9" width="1.7109375" style="1" customWidth="1"/>
    <col min="10" max="257" width="9.140625" style="1"/>
    <col min="258" max="258" width="32" style="1" customWidth="1"/>
    <col min="259" max="259" width="38.85546875" style="1" customWidth="1"/>
    <col min="260" max="260" width="52.140625" style="1" customWidth="1"/>
    <col min="261" max="513" width="9.140625" style="1"/>
    <col min="514" max="514" width="32" style="1" customWidth="1"/>
    <col min="515" max="515" width="38.85546875" style="1" customWidth="1"/>
    <col min="516" max="516" width="52.140625" style="1" customWidth="1"/>
    <col min="517" max="769" width="9.140625" style="1"/>
    <col min="770" max="770" width="32" style="1" customWidth="1"/>
    <col min="771" max="771" width="38.85546875" style="1" customWidth="1"/>
    <col min="772" max="772" width="52.140625" style="1" customWidth="1"/>
    <col min="773" max="1025" width="9.140625" style="1"/>
    <col min="1026" max="1026" width="32" style="1" customWidth="1"/>
    <col min="1027" max="1027" width="38.85546875" style="1" customWidth="1"/>
    <col min="1028" max="1028" width="52.140625" style="1" customWidth="1"/>
    <col min="1029" max="1281" width="9.140625" style="1"/>
    <col min="1282" max="1282" width="32" style="1" customWidth="1"/>
    <col min="1283" max="1283" width="38.85546875" style="1" customWidth="1"/>
    <col min="1284" max="1284" width="52.140625" style="1" customWidth="1"/>
    <col min="1285" max="1537" width="9.140625" style="1"/>
    <col min="1538" max="1538" width="32" style="1" customWidth="1"/>
    <col min="1539" max="1539" width="38.85546875" style="1" customWidth="1"/>
    <col min="1540" max="1540" width="52.140625" style="1" customWidth="1"/>
    <col min="1541" max="1793" width="9.140625" style="1"/>
    <col min="1794" max="1794" width="32" style="1" customWidth="1"/>
    <col min="1795" max="1795" width="38.85546875" style="1" customWidth="1"/>
    <col min="1796" max="1796" width="52.140625" style="1" customWidth="1"/>
    <col min="1797" max="2049" width="9.140625" style="1"/>
    <col min="2050" max="2050" width="32" style="1" customWidth="1"/>
    <col min="2051" max="2051" width="38.85546875" style="1" customWidth="1"/>
    <col min="2052" max="2052" width="52.140625" style="1" customWidth="1"/>
    <col min="2053" max="2305" width="9.140625" style="1"/>
    <col min="2306" max="2306" width="32" style="1" customWidth="1"/>
    <col min="2307" max="2307" width="38.85546875" style="1" customWidth="1"/>
    <col min="2308" max="2308" width="52.140625" style="1" customWidth="1"/>
    <col min="2309" max="2561" width="9.140625" style="1"/>
    <col min="2562" max="2562" width="32" style="1" customWidth="1"/>
    <col min="2563" max="2563" width="38.85546875" style="1" customWidth="1"/>
    <col min="2564" max="2564" width="52.140625" style="1" customWidth="1"/>
    <col min="2565" max="2817" width="9.140625" style="1"/>
    <col min="2818" max="2818" width="32" style="1" customWidth="1"/>
    <col min="2819" max="2819" width="38.85546875" style="1" customWidth="1"/>
    <col min="2820" max="2820" width="52.140625" style="1" customWidth="1"/>
    <col min="2821" max="3073" width="9.140625" style="1"/>
    <col min="3074" max="3074" width="32" style="1" customWidth="1"/>
    <col min="3075" max="3075" width="38.85546875" style="1" customWidth="1"/>
    <col min="3076" max="3076" width="52.140625" style="1" customWidth="1"/>
    <col min="3077" max="3329" width="9.140625" style="1"/>
    <col min="3330" max="3330" width="32" style="1" customWidth="1"/>
    <col min="3331" max="3331" width="38.85546875" style="1" customWidth="1"/>
    <col min="3332" max="3332" width="52.140625" style="1" customWidth="1"/>
    <col min="3333" max="3585" width="9.140625" style="1"/>
    <col min="3586" max="3586" width="32" style="1" customWidth="1"/>
    <col min="3587" max="3587" width="38.85546875" style="1" customWidth="1"/>
    <col min="3588" max="3588" width="52.140625" style="1" customWidth="1"/>
    <col min="3589" max="3841" width="9.140625" style="1"/>
    <col min="3842" max="3842" width="32" style="1" customWidth="1"/>
    <col min="3843" max="3843" width="38.85546875" style="1" customWidth="1"/>
    <col min="3844" max="3844" width="52.140625" style="1" customWidth="1"/>
    <col min="3845" max="4097" width="9.140625" style="1"/>
    <col min="4098" max="4098" width="32" style="1" customWidth="1"/>
    <col min="4099" max="4099" width="38.85546875" style="1" customWidth="1"/>
    <col min="4100" max="4100" width="52.140625" style="1" customWidth="1"/>
    <col min="4101" max="4353" width="9.140625" style="1"/>
    <col min="4354" max="4354" width="32" style="1" customWidth="1"/>
    <col min="4355" max="4355" width="38.85546875" style="1" customWidth="1"/>
    <col min="4356" max="4356" width="52.140625" style="1" customWidth="1"/>
    <col min="4357" max="4609" width="9.140625" style="1"/>
    <col min="4610" max="4610" width="32" style="1" customWidth="1"/>
    <col min="4611" max="4611" width="38.85546875" style="1" customWidth="1"/>
    <col min="4612" max="4612" width="52.140625" style="1" customWidth="1"/>
    <col min="4613" max="4865" width="9.140625" style="1"/>
    <col min="4866" max="4866" width="32" style="1" customWidth="1"/>
    <col min="4867" max="4867" width="38.85546875" style="1" customWidth="1"/>
    <col min="4868" max="4868" width="52.140625" style="1" customWidth="1"/>
    <col min="4869" max="5121" width="9.140625" style="1"/>
    <col min="5122" max="5122" width="32" style="1" customWidth="1"/>
    <col min="5123" max="5123" width="38.85546875" style="1" customWidth="1"/>
    <col min="5124" max="5124" width="52.140625" style="1" customWidth="1"/>
    <col min="5125" max="5377" width="9.140625" style="1"/>
    <col min="5378" max="5378" width="32" style="1" customWidth="1"/>
    <col min="5379" max="5379" width="38.85546875" style="1" customWidth="1"/>
    <col min="5380" max="5380" width="52.140625" style="1" customWidth="1"/>
    <col min="5381" max="5633" width="9.140625" style="1"/>
    <col min="5634" max="5634" width="32" style="1" customWidth="1"/>
    <col min="5635" max="5635" width="38.85546875" style="1" customWidth="1"/>
    <col min="5636" max="5636" width="52.140625" style="1" customWidth="1"/>
    <col min="5637" max="5889" width="9.140625" style="1"/>
    <col min="5890" max="5890" width="32" style="1" customWidth="1"/>
    <col min="5891" max="5891" width="38.85546875" style="1" customWidth="1"/>
    <col min="5892" max="5892" width="52.140625" style="1" customWidth="1"/>
    <col min="5893" max="6145" width="9.140625" style="1"/>
    <col min="6146" max="6146" width="32" style="1" customWidth="1"/>
    <col min="6147" max="6147" width="38.85546875" style="1" customWidth="1"/>
    <col min="6148" max="6148" width="52.140625" style="1" customWidth="1"/>
    <col min="6149" max="6401" width="9.140625" style="1"/>
    <col min="6402" max="6402" width="32" style="1" customWidth="1"/>
    <col min="6403" max="6403" width="38.85546875" style="1" customWidth="1"/>
    <col min="6404" max="6404" width="52.140625" style="1" customWidth="1"/>
    <col min="6405" max="6657" width="9.140625" style="1"/>
    <col min="6658" max="6658" width="32" style="1" customWidth="1"/>
    <col min="6659" max="6659" width="38.85546875" style="1" customWidth="1"/>
    <col min="6660" max="6660" width="52.140625" style="1" customWidth="1"/>
    <col min="6661" max="6913" width="9.140625" style="1"/>
    <col min="6914" max="6914" width="32" style="1" customWidth="1"/>
    <col min="6915" max="6915" width="38.85546875" style="1" customWidth="1"/>
    <col min="6916" max="6916" width="52.140625" style="1" customWidth="1"/>
    <col min="6917" max="7169" width="9.140625" style="1"/>
    <col min="7170" max="7170" width="32" style="1" customWidth="1"/>
    <col min="7171" max="7171" width="38.85546875" style="1" customWidth="1"/>
    <col min="7172" max="7172" width="52.140625" style="1" customWidth="1"/>
    <col min="7173" max="7425" width="9.140625" style="1"/>
    <col min="7426" max="7426" width="32" style="1" customWidth="1"/>
    <col min="7427" max="7427" width="38.85546875" style="1" customWidth="1"/>
    <col min="7428" max="7428" width="52.140625" style="1" customWidth="1"/>
    <col min="7429" max="7681" width="9.140625" style="1"/>
    <col min="7682" max="7682" width="32" style="1" customWidth="1"/>
    <col min="7683" max="7683" width="38.85546875" style="1" customWidth="1"/>
    <col min="7684" max="7684" width="52.140625" style="1" customWidth="1"/>
    <col min="7685" max="7937" width="9.140625" style="1"/>
    <col min="7938" max="7938" width="32" style="1" customWidth="1"/>
    <col min="7939" max="7939" width="38.85546875" style="1" customWidth="1"/>
    <col min="7940" max="7940" width="52.140625" style="1" customWidth="1"/>
    <col min="7941" max="8193" width="9.140625" style="1"/>
    <col min="8194" max="8194" width="32" style="1" customWidth="1"/>
    <col min="8195" max="8195" width="38.85546875" style="1" customWidth="1"/>
    <col min="8196" max="8196" width="52.140625" style="1" customWidth="1"/>
    <col min="8197" max="8449" width="9.140625" style="1"/>
    <col min="8450" max="8450" width="32" style="1" customWidth="1"/>
    <col min="8451" max="8451" width="38.85546875" style="1" customWidth="1"/>
    <col min="8452" max="8452" width="52.140625" style="1" customWidth="1"/>
    <col min="8453" max="8705" width="9.140625" style="1"/>
    <col min="8706" max="8706" width="32" style="1" customWidth="1"/>
    <col min="8707" max="8707" width="38.85546875" style="1" customWidth="1"/>
    <col min="8708" max="8708" width="52.140625" style="1" customWidth="1"/>
    <col min="8709" max="8961" width="9.140625" style="1"/>
    <col min="8962" max="8962" width="32" style="1" customWidth="1"/>
    <col min="8963" max="8963" width="38.85546875" style="1" customWidth="1"/>
    <col min="8964" max="8964" width="52.140625" style="1" customWidth="1"/>
    <col min="8965" max="9217" width="9.140625" style="1"/>
    <col min="9218" max="9218" width="32" style="1" customWidth="1"/>
    <col min="9219" max="9219" width="38.85546875" style="1" customWidth="1"/>
    <col min="9220" max="9220" width="52.140625" style="1" customWidth="1"/>
    <col min="9221" max="9473" width="9.140625" style="1"/>
    <col min="9474" max="9474" width="32" style="1" customWidth="1"/>
    <col min="9475" max="9475" width="38.85546875" style="1" customWidth="1"/>
    <col min="9476" max="9476" width="52.140625" style="1" customWidth="1"/>
    <col min="9477" max="9729" width="9.140625" style="1"/>
    <col min="9730" max="9730" width="32" style="1" customWidth="1"/>
    <col min="9731" max="9731" width="38.85546875" style="1" customWidth="1"/>
    <col min="9732" max="9732" width="52.140625" style="1" customWidth="1"/>
    <col min="9733" max="9985" width="9.140625" style="1"/>
    <col min="9986" max="9986" width="32" style="1" customWidth="1"/>
    <col min="9987" max="9987" width="38.85546875" style="1" customWidth="1"/>
    <col min="9988" max="9988" width="52.140625" style="1" customWidth="1"/>
    <col min="9989" max="10241" width="9.140625" style="1"/>
    <col min="10242" max="10242" width="32" style="1" customWidth="1"/>
    <col min="10243" max="10243" width="38.85546875" style="1" customWidth="1"/>
    <col min="10244" max="10244" width="52.140625" style="1" customWidth="1"/>
    <col min="10245" max="10497" width="9.140625" style="1"/>
    <col min="10498" max="10498" width="32" style="1" customWidth="1"/>
    <col min="10499" max="10499" width="38.85546875" style="1" customWidth="1"/>
    <col min="10500" max="10500" width="52.140625" style="1" customWidth="1"/>
    <col min="10501" max="10753" width="9.140625" style="1"/>
    <col min="10754" max="10754" width="32" style="1" customWidth="1"/>
    <col min="10755" max="10755" width="38.85546875" style="1" customWidth="1"/>
    <col min="10756" max="10756" width="52.140625" style="1" customWidth="1"/>
    <col min="10757" max="11009" width="9.140625" style="1"/>
    <col min="11010" max="11010" width="32" style="1" customWidth="1"/>
    <col min="11011" max="11011" width="38.85546875" style="1" customWidth="1"/>
    <col min="11012" max="11012" width="52.140625" style="1" customWidth="1"/>
    <col min="11013" max="11265" width="9.140625" style="1"/>
    <col min="11266" max="11266" width="32" style="1" customWidth="1"/>
    <col min="11267" max="11267" width="38.85546875" style="1" customWidth="1"/>
    <col min="11268" max="11268" width="52.140625" style="1" customWidth="1"/>
    <col min="11269" max="11521" width="9.140625" style="1"/>
    <col min="11522" max="11522" width="32" style="1" customWidth="1"/>
    <col min="11523" max="11523" width="38.85546875" style="1" customWidth="1"/>
    <col min="11524" max="11524" width="52.140625" style="1" customWidth="1"/>
    <col min="11525" max="11777" width="9.140625" style="1"/>
    <col min="11778" max="11778" width="32" style="1" customWidth="1"/>
    <col min="11779" max="11779" width="38.85546875" style="1" customWidth="1"/>
    <col min="11780" max="11780" width="52.140625" style="1" customWidth="1"/>
    <col min="11781" max="12033" width="9.140625" style="1"/>
    <col min="12034" max="12034" width="32" style="1" customWidth="1"/>
    <col min="12035" max="12035" width="38.85546875" style="1" customWidth="1"/>
    <col min="12036" max="12036" width="52.140625" style="1" customWidth="1"/>
    <col min="12037" max="12289" width="9.140625" style="1"/>
    <col min="12290" max="12290" width="32" style="1" customWidth="1"/>
    <col min="12291" max="12291" width="38.85546875" style="1" customWidth="1"/>
    <col min="12292" max="12292" width="52.140625" style="1" customWidth="1"/>
    <col min="12293" max="12545" width="9.140625" style="1"/>
    <col min="12546" max="12546" width="32" style="1" customWidth="1"/>
    <col min="12547" max="12547" width="38.85546875" style="1" customWidth="1"/>
    <col min="12548" max="12548" width="52.140625" style="1" customWidth="1"/>
    <col min="12549" max="12801" width="9.140625" style="1"/>
    <col min="12802" max="12802" width="32" style="1" customWidth="1"/>
    <col min="12803" max="12803" width="38.85546875" style="1" customWidth="1"/>
    <col min="12804" max="12804" width="52.140625" style="1" customWidth="1"/>
    <col min="12805" max="13057" width="9.140625" style="1"/>
    <col min="13058" max="13058" width="32" style="1" customWidth="1"/>
    <col min="13059" max="13059" width="38.85546875" style="1" customWidth="1"/>
    <col min="13060" max="13060" width="52.140625" style="1" customWidth="1"/>
    <col min="13061" max="13313" width="9.140625" style="1"/>
    <col min="13314" max="13314" width="32" style="1" customWidth="1"/>
    <col min="13315" max="13315" width="38.85546875" style="1" customWidth="1"/>
    <col min="13316" max="13316" width="52.140625" style="1" customWidth="1"/>
    <col min="13317" max="13569" width="9.140625" style="1"/>
    <col min="13570" max="13570" width="32" style="1" customWidth="1"/>
    <col min="13571" max="13571" width="38.85546875" style="1" customWidth="1"/>
    <col min="13572" max="13572" width="52.140625" style="1" customWidth="1"/>
    <col min="13573" max="13825" width="9.140625" style="1"/>
    <col min="13826" max="13826" width="32" style="1" customWidth="1"/>
    <col min="13827" max="13827" width="38.85546875" style="1" customWidth="1"/>
    <col min="13828" max="13828" width="52.140625" style="1" customWidth="1"/>
    <col min="13829" max="14081" width="9.140625" style="1"/>
    <col min="14082" max="14082" width="32" style="1" customWidth="1"/>
    <col min="14083" max="14083" width="38.85546875" style="1" customWidth="1"/>
    <col min="14084" max="14084" width="52.140625" style="1" customWidth="1"/>
    <col min="14085" max="14337" width="9.140625" style="1"/>
    <col min="14338" max="14338" width="32" style="1" customWidth="1"/>
    <col min="14339" max="14339" width="38.85546875" style="1" customWidth="1"/>
    <col min="14340" max="14340" width="52.140625" style="1" customWidth="1"/>
    <col min="14341" max="14593" width="9.140625" style="1"/>
    <col min="14594" max="14594" width="32" style="1" customWidth="1"/>
    <col min="14595" max="14595" width="38.85546875" style="1" customWidth="1"/>
    <col min="14596" max="14596" width="52.140625" style="1" customWidth="1"/>
    <col min="14597" max="14849" width="9.140625" style="1"/>
    <col min="14850" max="14850" width="32" style="1" customWidth="1"/>
    <col min="14851" max="14851" width="38.85546875" style="1" customWidth="1"/>
    <col min="14852" max="14852" width="52.140625" style="1" customWidth="1"/>
    <col min="14853" max="15105" width="9.140625" style="1"/>
    <col min="15106" max="15106" width="32" style="1" customWidth="1"/>
    <col min="15107" max="15107" width="38.85546875" style="1" customWidth="1"/>
    <col min="15108" max="15108" width="52.140625" style="1" customWidth="1"/>
    <col min="15109" max="15361" width="9.140625" style="1"/>
    <col min="15362" max="15362" width="32" style="1" customWidth="1"/>
    <col min="15363" max="15363" width="38.85546875" style="1" customWidth="1"/>
    <col min="15364" max="15364" width="52.140625" style="1" customWidth="1"/>
    <col min="15365" max="15617" width="9.140625" style="1"/>
    <col min="15618" max="15618" width="32" style="1" customWidth="1"/>
    <col min="15619" max="15619" width="38.85546875" style="1" customWidth="1"/>
    <col min="15620" max="15620" width="52.140625" style="1" customWidth="1"/>
    <col min="15621" max="15873" width="9.140625" style="1"/>
    <col min="15874" max="15874" width="32" style="1" customWidth="1"/>
    <col min="15875" max="15875" width="38.85546875" style="1" customWidth="1"/>
    <col min="15876" max="15876" width="52.140625" style="1" customWidth="1"/>
    <col min="15877" max="16129" width="9.140625" style="1"/>
    <col min="16130" max="16130" width="32" style="1" customWidth="1"/>
    <col min="16131" max="16131" width="38.85546875" style="1" customWidth="1"/>
    <col min="16132" max="16132" width="52.140625" style="1" customWidth="1"/>
    <col min="16133" max="16384" width="9.140625" style="1"/>
  </cols>
  <sheetData>
    <row r="1" spans="2:9" ht="44.25" customHeight="1">
      <c r="D1" s="105" t="s">
        <v>175</v>
      </c>
    </row>
    <row r="2" spans="2:9" ht="121.5" customHeight="1">
      <c r="D2" s="257" t="s">
        <v>181</v>
      </c>
      <c r="E2" s="257"/>
      <c r="F2" s="257"/>
      <c r="G2" s="257"/>
      <c r="H2" s="257"/>
      <c r="I2" s="257"/>
    </row>
    <row r="3" spans="2:9" ht="44.25" customHeight="1">
      <c r="D3" s="475" t="s">
        <v>417</v>
      </c>
      <c r="E3" s="475"/>
      <c r="F3" s="475"/>
      <c r="G3" s="475"/>
      <c r="H3" s="475"/>
    </row>
    <row r="4" spans="2:9" ht="25.5">
      <c r="B4" s="260" t="s">
        <v>7</v>
      </c>
      <c r="C4" s="260"/>
      <c r="D4" s="260"/>
    </row>
    <row r="5" spans="2:9" ht="49.5" customHeight="1">
      <c r="B5" s="261" t="s">
        <v>176</v>
      </c>
      <c r="C5" s="261"/>
      <c r="D5" s="261"/>
    </row>
    <row r="6" spans="2:9" ht="17.25" customHeight="1"/>
    <row r="7" spans="2:9" ht="66" customHeight="1">
      <c r="B7" s="262" t="s">
        <v>6</v>
      </c>
      <c r="C7" s="263" t="s">
        <v>8</v>
      </c>
      <c r="D7" s="264"/>
    </row>
    <row r="8" spans="2:9" ht="87" customHeight="1">
      <c r="B8" s="262"/>
      <c r="C8" s="265" t="s">
        <v>9</v>
      </c>
      <c r="D8" s="266"/>
    </row>
    <row r="9" spans="2:9" ht="39.75" customHeight="1">
      <c r="B9" s="7">
        <v>1</v>
      </c>
      <c r="C9" s="267">
        <v>2</v>
      </c>
      <c r="D9" s="267"/>
    </row>
    <row r="10" spans="2:9" ht="55.5" customHeight="1">
      <c r="B10" s="106" t="s">
        <v>26</v>
      </c>
      <c r="C10" s="259" t="s">
        <v>152</v>
      </c>
      <c r="D10" s="259"/>
    </row>
    <row r="11" spans="2:9" ht="45" hidden="1" customHeight="1">
      <c r="B11" s="106" t="s">
        <v>147</v>
      </c>
      <c r="C11" s="258" t="s">
        <v>153</v>
      </c>
      <c r="D11" s="258"/>
    </row>
    <row r="12" spans="2:9" ht="49.5" customHeight="1">
      <c r="B12" s="106" t="s">
        <v>27</v>
      </c>
      <c r="C12" s="259" t="s">
        <v>154</v>
      </c>
      <c r="D12" s="259"/>
    </row>
    <row r="13" spans="2:9" ht="51.75" customHeight="1">
      <c r="B13" s="104" t="s">
        <v>28</v>
      </c>
      <c r="C13" s="259" t="s">
        <v>155</v>
      </c>
      <c r="D13" s="259"/>
    </row>
    <row r="14" spans="2:9" ht="41.25" hidden="1" customHeight="1">
      <c r="B14" s="104" t="s">
        <v>90</v>
      </c>
      <c r="C14" s="258" t="s">
        <v>156</v>
      </c>
      <c r="D14" s="258"/>
    </row>
    <row r="15" spans="2:9" ht="47.25" customHeight="1">
      <c r="B15" s="104" t="s">
        <v>29</v>
      </c>
      <c r="C15" s="259" t="s">
        <v>157</v>
      </c>
      <c r="D15" s="259"/>
    </row>
    <row r="16" spans="2:9" ht="60.75" customHeight="1">
      <c r="B16" s="104" t="s">
        <v>30</v>
      </c>
      <c r="C16" s="269" t="s">
        <v>205</v>
      </c>
      <c r="D16" s="270"/>
    </row>
    <row r="17" spans="2:9" ht="42" hidden="1" customHeight="1">
      <c r="B17" s="104" t="s">
        <v>91</v>
      </c>
      <c r="C17" s="258" t="s">
        <v>158</v>
      </c>
      <c r="D17" s="258"/>
    </row>
    <row r="18" spans="2:9" ht="42.75" hidden="1" customHeight="1">
      <c r="B18" s="104" t="s">
        <v>31</v>
      </c>
      <c r="C18" s="258" t="s">
        <v>159</v>
      </c>
      <c r="D18" s="258"/>
    </row>
    <row r="19" spans="2:9" ht="78" customHeight="1">
      <c r="B19" s="104" t="s">
        <v>33</v>
      </c>
      <c r="C19" s="259" t="s">
        <v>160</v>
      </c>
      <c r="D19" s="259"/>
    </row>
    <row r="20" spans="2:9" ht="48.75" hidden="1" customHeight="1">
      <c r="B20" s="239" t="s">
        <v>89</v>
      </c>
      <c r="C20" s="258" t="s">
        <v>161</v>
      </c>
      <c r="D20" s="258"/>
    </row>
    <row r="21" spans="2:9" ht="96" customHeight="1">
      <c r="B21" s="104" t="s">
        <v>50</v>
      </c>
      <c r="C21" s="259" t="s">
        <v>162</v>
      </c>
      <c r="D21" s="259"/>
    </row>
    <row r="22" spans="2:9" ht="63.75" hidden="1" customHeight="1">
      <c r="B22" s="103" t="s">
        <v>34</v>
      </c>
      <c r="C22" s="268" t="s">
        <v>163</v>
      </c>
      <c r="D22" s="268"/>
    </row>
    <row r="23" spans="2:9" ht="44.25" hidden="1" customHeight="1">
      <c r="B23" s="62" t="s">
        <v>145</v>
      </c>
      <c r="C23" s="268" t="s">
        <v>164</v>
      </c>
      <c r="D23" s="268"/>
    </row>
    <row r="24" spans="2:9" ht="9.75" customHeight="1"/>
    <row r="25" spans="2:9" ht="24" customHeight="1">
      <c r="B25" s="58" t="s">
        <v>167</v>
      </c>
      <c r="C25" s="59"/>
      <c r="D25" s="60" t="s">
        <v>416</v>
      </c>
      <c r="E25" s="3"/>
      <c r="G25" s="4"/>
      <c r="I25" s="6"/>
    </row>
    <row r="26" spans="2:9" ht="21" customHeight="1">
      <c r="C26"/>
      <c r="D26" s="21"/>
      <c r="E26" s="3"/>
      <c r="G26" s="4"/>
      <c r="I26" s="6"/>
    </row>
    <row r="27" spans="2:9" ht="20.25" customHeight="1">
      <c r="B27" s="61" t="s">
        <v>25</v>
      </c>
      <c r="C27" s="55"/>
      <c r="D27" s="5"/>
      <c r="E27" s="3"/>
      <c r="G27" s="4"/>
      <c r="I27" s="6"/>
    </row>
    <row r="28" spans="2:9" ht="20.25" customHeight="1">
      <c r="B28" s="61"/>
      <c r="C28" s="55"/>
      <c r="D28" s="5"/>
      <c r="E28" s="3"/>
      <c r="G28" s="4"/>
      <c r="I28" s="6"/>
    </row>
    <row r="29" spans="2:9" ht="20.25">
      <c r="B29" s="54"/>
      <c r="C29" s="54"/>
    </row>
  </sheetData>
  <mergeCells count="22">
    <mergeCell ref="D3:H3"/>
    <mergeCell ref="C23:D23"/>
    <mergeCell ref="C21:D21"/>
    <mergeCell ref="C22:D22"/>
    <mergeCell ref="C16:D16"/>
    <mergeCell ref="C15:D15"/>
    <mergeCell ref="D2:I2"/>
    <mergeCell ref="C17:D17"/>
    <mergeCell ref="C18:D18"/>
    <mergeCell ref="C19:D19"/>
    <mergeCell ref="C20:D20"/>
    <mergeCell ref="B4:D4"/>
    <mergeCell ref="B5:D5"/>
    <mergeCell ref="B7:B8"/>
    <mergeCell ref="C7:D7"/>
    <mergeCell ref="C8:D8"/>
    <mergeCell ref="C9:D9"/>
    <mergeCell ref="C10:D10"/>
    <mergeCell ref="C12:D12"/>
    <mergeCell ref="C13:D13"/>
    <mergeCell ref="C14:D14"/>
    <mergeCell ref="C11:D11"/>
  </mergeCells>
  <pageMargins left="1.1811023622047245" right="0.42913385826771655" top="0.78740157480314965" bottom="0.78740157480314965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3"/>
  <sheetViews>
    <sheetView view="pageBreakPreview" zoomScale="30" zoomScaleNormal="30" zoomScaleSheetLayoutView="30" workbookViewId="0">
      <pane ySplit="9" topLeftCell="A299" activePane="bottomLeft" state="frozen"/>
      <selection pane="bottomLeft" activeCell="I315" sqref="I315"/>
    </sheetView>
  </sheetViews>
  <sheetFormatPr defaultColWidth="9.140625" defaultRowHeight="75" customHeight="1"/>
  <cols>
    <col min="1" max="1" width="8.42578125" style="72" customWidth="1"/>
    <col min="2" max="2" width="38.85546875" style="8" customWidth="1"/>
    <col min="3" max="3" width="51.28515625" style="27" customWidth="1"/>
    <col min="4" max="4" width="18.28515625" style="73" customWidth="1"/>
    <col min="5" max="5" width="69.42578125" style="74" customWidth="1"/>
    <col min="6" max="6" width="22.7109375" style="75" customWidth="1"/>
    <col min="7" max="7" width="43" style="77" customWidth="1"/>
    <col min="8" max="8" width="32.28515625" style="108" customWidth="1"/>
    <col min="9" max="9" width="28" style="108" customWidth="1"/>
    <col min="10" max="10" width="29.28515625" style="108" customWidth="1"/>
    <col min="11" max="11" width="30.7109375" style="108" customWidth="1"/>
    <col min="12" max="12" width="75.85546875" style="81" customWidth="1"/>
    <col min="13" max="13" width="30.140625" style="8" customWidth="1"/>
    <col min="14" max="16384" width="9.140625" style="8"/>
  </cols>
  <sheetData>
    <row r="1" spans="1:12" ht="33" customHeight="1">
      <c r="G1" s="76"/>
      <c r="H1" s="107"/>
      <c r="I1" s="107"/>
      <c r="J1" s="107"/>
      <c r="K1" s="107"/>
      <c r="L1" s="80" t="s">
        <v>179</v>
      </c>
    </row>
    <row r="2" spans="1:12" ht="141" customHeight="1">
      <c r="L2" s="112" t="s">
        <v>178</v>
      </c>
    </row>
    <row r="3" spans="1:12" s="87" customFormat="1" ht="28.5" customHeight="1">
      <c r="A3" s="86"/>
      <c r="C3" s="88"/>
      <c r="D3" s="89"/>
      <c r="E3" s="90"/>
      <c r="F3" s="91"/>
      <c r="G3" s="92"/>
      <c r="H3" s="109"/>
      <c r="I3" s="109"/>
      <c r="J3" s="109"/>
      <c r="K3" s="109"/>
      <c r="L3" s="80" t="s">
        <v>418</v>
      </c>
    </row>
    <row r="4" spans="1:12" ht="12" customHeight="1">
      <c r="A4" s="79"/>
    </row>
    <row r="5" spans="1:12" ht="75" customHeight="1">
      <c r="A5" s="338" t="s">
        <v>182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spans="1:12" ht="2.25" customHeight="1">
      <c r="H6" s="108" t="s">
        <v>17</v>
      </c>
      <c r="I6" s="136" t="e">
        <f>#REF!+#REF!+#REF!+#REF!</f>
        <v>#REF!</v>
      </c>
    </row>
    <row r="7" spans="1:12" ht="75" customHeight="1">
      <c r="A7" s="339" t="s">
        <v>1</v>
      </c>
      <c r="B7" s="340" t="s">
        <v>2</v>
      </c>
      <c r="C7" s="340" t="s">
        <v>3</v>
      </c>
      <c r="D7" s="339" t="s">
        <v>45</v>
      </c>
      <c r="E7" s="341" t="s">
        <v>44</v>
      </c>
      <c r="F7" s="344" t="s">
        <v>41</v>
      </c>
      <c r="G7" s="340" t="s">
        <v>4</v>
      </c>
      <c r="H7" s="345" t="s">
        <v>15</v>
      </c>
      <c r="I7" s="346"/>
      <c r="J7" s="346"/>
      <c r="K7" s="347"/>
      <c r="L7" s="340" t="s">
        <v>5</v>
      </c>
    </row>
    <row r="8" spans="1:12" ht="75" customHeight="1">
      <c r="A8" s="339"/>
      <c r="B8" s="340"/>
      <c r="C8" s="340"/>
      <c r="D8" s="339"/>
      <c r="E8" s="342"/>
      <c r="F8" s="344"/>
      <c r="G8" s="340"/>
      <c r="H8" s="339" t="s">
        <v>62</v>
      </c>
      <c r="I8" s="348" t="s">
        <v>185</v>
      </c>
      <c r="J8" s="348"/>
      <c r="K8" s="348"/>
      <c r="L8" s="340"/>
    </row>
    <row r="9" spans="1:12" s="82" customFormat="1" ht="102.75" customHeight="1">
      <c r="A9" s="339"/>
      <c r="B9" s="340"/>
      <c r="C9" s="340"/>
      <c r="D9" s="339"/>
      <c r="E9" s="343"/>
      <c r="F9" s="344"/>
      <c r="G9" s="340"/>
      <c r="H9" s="339"/>
      <c r="I9" s="210" t="s">
        <v>187</v>
      </c>
      <c r="J9" s="210" t="s">
        <v>188</v>
      </c>
      <c r="K9" s="210" t="s">
        <v>189</v>
      </c>
      <c r="L9" s="340"/>
    </row>
    <row r="10" spans="1:12" s="82" customFormat="1" ht="26.25" customHeight="1">
      <c r="A10" s="113">
        <v>1</v>
      </c>
      <c r="B10" s="113">
        <v>2</v>
      </c>
      <c r="C10" s="210">
        <v>3</v>
      </c>
      <c r="D10" s="211">
        <v>4</v>
      </c>
      <c r="E10" s="210">
        <v>5</v>
      </c>
      <c r="F10" s="211">
        <v>6</v>
      </c>
      <c r="G10" s="211">
        <v>7</v>
      </c>
      <c r="H10" s="210">
        <v>8</v>
      </c>
      <c r="I10" s="210">
        <v>9</v>
      </c>
      <c r="J10" s="210">
        <v>10</v>
      </c>
      <c r="K10" s="210">
        <v>11</v>
      </c>
      <c r="L10" s="114">
        <v>12</v>
      </c>
    </row>
    <row r="11" spans="1:12" s="82" customFormat="1" ht="61.5" customHeight="1">
      <c r="A11" s="332" t="s">
        <v>118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4"/>
    </row>
    <row r="12" spans="1:12" s="10" customFormat="1" ht="75" hidden="1" customHeight="1">
      <c r="A12" s="317" t="s">
        <v>97</v>
      </c>
      <c r="B12" s="295" t="s">
        <v>92</v>
      </c>
      <c r="C12" s="331" t="s">
        <v>98</v>
      </c>
      <c r="D12" s="279" t="s">
        <v>130</v>
      </c>
      <c r="E12" s="280"/>
      <c r="F12" s="280"/>
      <c r="G12" s="281"/>
      <c r="H12" s="68">
        <f>H13+H14</f>
        <v>0</v>
      </c>
      <c r="I12" s="68">
        <f>I13+I14</f>
        <v>0</v>
      </c>
      <c r="J12" s="68">
        <f>J13+J14</f>
        <v>0</v>
      </c>
      <c r="K12" s="68">
        <f>K13+K14</f>
        <v>0</v>
      </c>
      <c r="L12" s="271" t="s">
        <v>277</v>
      </c>
    </row>
    <row r="13" spans="1:12" ht="75" hidden="1" customHeight="1">
      <c r="A13" s="317"/>
      <c r="B13" s="295"/>
      <c r="C13" s="331"/>
      <c r="D13" s="22" t="s">
        <v>33</v>
      </c>
      <c r="E13" s="195" t="s">
        <v>58</v>
      </c>
      <c r="F13" s="282" t="s">
        <v>149</v>
      </c>
      <c r="G13" s="282" t="s">
        <v>168</v>
      </c>
      <c r="H13" s="68">
        <f>I13+J13+K13</f>
        <v>0</v>
      </c>
      <c r="I13" s="69"/>
      <c r="J13" s="69"/>
      <c r="K13" s="69"/>
      <c r="L13" s="272"/>
    </row>
    <row r="14" spans="1:12" ht="75" hidden="1" customHeight="1">
      <c r="A14" s="317"/>
      <c r="B14" s="295"/>
      <c r="C14" s="331"/>
      <c r="D14" s="22" t="s">
        <v>33</v>
      </c>
      <c r="E14" s="195" t="s">
        <v>59</v>
      </c>
      <c r="F14" s="282"/>
      <c r="G14" s="282"/>
      <c r="H14" s="68">
        <f>I14+J14+K14</f>
        <v>0</v>
      </c>
      <c r="I14" s="69"/>
      <c r="J14" s="69"/>
      <c r="K14" s="69"/>
      <c r="L14" s="272"/>
    </row>
    <row r="15" spans="1:12" ht="75" customHeight="1">
      <c r="A15" s="317"/>
      <c r="B15" s="295"/>
      <c r="C15" s="331" t="s">
        <v>199</v>
      </c>
      <c r="D15" s="279" t="s">
        <v>343</v>
      </c>
      <c r="E15" s="280"/>
      <c r="F15" s="280"/>
      <c r="G15" s="281"/>
      <c r="H15" s="68">
        <f>H16+H17</f>
        <v>16889.699999999997</v>
      </c>
      <c r="I15" s="68">
        <f>I16+I17</f>
        <v>5307.1</v>
      </c>
      <c r="J15" s="68">
        <f>J16+J17</f>
        <v>5630.8</v>
      </c>
      <c r="K15" s="68">
        <f>K16+K17</f>
        <v>5951.7999999999993</v>
      </c>
      <c r="L15" s="272"/>
    </row>
    <row r="16" spans="1:12" ht="61.5" customHeight="1">
      <c r="A16" s="317"/>
      <c r="B16" s="295"/>
      <c r="C16" s="331"/>
      <c r="D16" s="22" t="s">
        <v>33</v>
      </c>
      <c r="E16" s="195" t="s">
        <v>58</v>
      </c>
      <c r="F16" s="282" t="s">
        <v>149</v>
      </c>
      <c r="G16" s="282" t="s">
        <v>194</v>
      </c>
      <c r="H16" s="68">
        <f>I16+J16+K16</f>
        <v>8772.0999999999985</v>
      </c>
      <c r="I16" s="69">
        <f>1567.4+1189</f>
        <v>2756.4</v>
      </c>
      <c r="J16" s="69">
        <v>2924.5</v>
      </c>
      <c r="K16" s="69">
        <v>3091.2</v>
      </c>
      <c r="L16" s="272"/>
    </row>
    <row r="17" spans="1:12" ht="61.5" customHeight="1">
      <c r="A17" s="317"/>
      <c r="B17" s="295"/>
      <c r="C17" s="331"/>
      <c r="D17" s="22" t="s">
        <v>33</v>
      </c>
      <c r="E17" s="195" t="s">
        <v>59</v>
      </c>
      <c r="F17" s="282"/>
      <c r="G17" s="282"/>
      <c r="H17" s="68">
        <f>I17+J17+K17</f>
        <v>8117.6</v>
      </c>
      <c r="I17" s="69">
        <f>1484.3+1066.4</f>
        <v>2550.6999999999998</v>
      </c>
      <c r="J17" s="69">
        <v>2706.3</v>
      </c>
      <c r="K17" s="69">
        <v>2860.6</v>
      </c>
      <c r="L17" s="273"/>
    </row>
    <row r="18" spans="1:12" ht="75" customHeight="1">
      <c r="A18" s="317"/>
      <c r="B18" s="295"/>
      <c r="C18" s="331" t="s">
        <v>228</v>
      </c>
      <c r="D18" s="279" t="s">
        <v>344</v>
      </c>
      <c r="E18" s="280"/>
      <c r="F18" s="280"/>
      <c r="G18" s="281"/>
      <c r="H18" s="71">
        <f>H19+H20</f>
        <v>3922.4</v>
      </c>
      <c r="I18" s="71">
        <f>I19+I20</f>
        <v>1241.8</v>
      </c>
      <c r="J18" s="71">
        <f>J19+J20</f>
        <v>1307.5999999999999</v>
      </c>
      <c r="K18" s="71">
        <f>K19+K20</f>
        <v>1373</v>
      </c>
      <c r="L18" s="285" t="s">
        <v>43</v>
      </c>
    </row>
    <row r="19" spans="1:12" ht="75" customHeight="1">
      <c r="A19" s="317"/>
      <c r="B19" s="295"/>
      <c r="C19" s="331"/>
      <c r="D19" s="22" t="s">
        <v>30</v>
      </c>
      <c r="E19" s="195" t="s">
        <v>58</v>
      </c>
      <c r="F19" s="282" t="s">
        <v>149</v>
      </c>
      <c r="G19" s="282" t="s">
        <v>194</v>
      </c>
      <c r="H19" s="68">
        <f>I19+J19+K19</f>
        <v>1929.9</v>
      </c>
      <c r="I19" s="69">
        <v>611</v>
      </c>
      <c r="J19" s="69">
        <v>643.4</v>
      </c>
      <c r="K19" s="69">
        <v>675.5</v>
      </c>
      <c r="L19" s="285"/>
    </row>
    <row r="20" spans="1:12" ht="75" customHeight="1">
      <c r="A20" s="317"/>
      <c r="B20" s="295"/>
      <c r="C20" s="331"/>
      <c r="D20" s="22" t="s">
        <v>30</v>
      </c>
      <c r="E20" s="93" t="s">
        <v>59</v>
      </c>
      <c r="F20" s="282"/>
      <c r="G20" s="282"/>
      <c r="H20" s="68">
        <f>I20+J20+K20</f>
        <v>1992.5</v>
      </c>
      <c r="I20" s="69">
        <v>630.79999999999995</v>
      </c>
      <c r="J20" s="69">
        <v>664.2</v>
      </c>
      <c r="K20" s="69">
        <v>697.5</v>
      </c>
      <c r="L20" s="271"/>
    </row>
    <row r="21" spans="1:12" ht="87.75" customHeight="1">
      <c r="A21" s="317"/>
      <c r="B21" s="295"/>
      <c r="C21" s="271" t="s">
        <v>256</v>
      </c>
      <c r="D21" s="279" t="s">
        <v>345</v>
      </c>
      <c r="E21" s="280"/>
      <c r="F21" s="280"/>
      <c r="G21" s="281"/>
      <c r="H21" s="68">
        <f>H22+H23</f>
        <v>2211.1</v>
      </c>
      <c r="I21" s="68">
        <f>I22+I23</f>
        <v>700</v>
      </c>
      <c r="J21" s="68">
        <f>J22+J23</f>
        <v>737.1</v>
      </c>
      <c r="K21" s="115">
        <f>K22+K23</f>
        <v>774</v>
      </c>
      <c r="L21" s="335" t="s">
        <v>326</v>
      </c>
    </row>
    <row r="22" spans="1:12" ht="75" hidden="1" customHeight="1">
      <c r="A22" s="317"/>
      <c r="B22" s="295"/>
      <c r="C22" s="272"/>
      <c r="D22" s="22" t="s">
        <v>30</v>
      </c>
      <c r="E22" s="195" t="s">
        <v>58</v>
      </c>
      <c r="F22" s="282" t="s">
        <v>149</v>
      </c>
      <c r="G22" s="282" t="s">
        <v>194</v>
      </c>
      <c r="H22" s="68">
        <f>I22+J22+K22</f>
        <v>0</v>
      </c>
      <c r="I22" s="69"/>
      <c r="J22" s="69"/>
      <c r="K22" s="116"/>
      <c r="L22" s="336"/>
    </row>
    <row r="23" spans="1:12" ht="101.25" customHeight="1">
      <c r="A23" s="317"/>
      <c r="B23" s="295"/>
      <c r="C23" s="273"/>
      <c r="D23" s="22" t="s">
        <v>30</v>
      </c>
      <c r="E23" s="93" t="s">
        <v>59</v>
      </c>
      <c r="F23" s="282"/>
      <c r="G23" s="282"/>
      <c r="H23" s="68">
        <f>I23+J23+K23</f>
        <v>2211.1</v>
      </c>
      <c r="I23" s="69">
        <v>700</v>
      </c>
      <c r="J23" s="69">
        <v>737.1</v>
      </c>
      <c r="K23" s="116">
        <v>774</v>
      </c>
      <c r="L23" s="336"/>
    </row>
    <row r="24" spans="1:12" ht="75" customHeight="1">
      <c r="A24" s="317"/>
      <c r="B24" s="295"/>
      <c r="C24" s="271" t="s">
        <v>408</v>
      </c>
      <c r="D24" s="279" t="s">
        <v>346</v>
      </c>
      <c r="E24" s="280"/>
      <c r="F24" s="280"/>
      <c r="G24" s="281"/>
      <c r="H24" s="68">
        <f>H25+H26+H27</f>
        <v>688.9</v>
      </c>
      <c r="I24" s="68">
        <f>I25+I26+I27</f>
        <v>218.1</v>
      </c>
      <c r="J24" s="68">
        <f>J25+J26+J27</f>
        <v>229.70000000000002</v>
      </c>
      <c r="K24" s="68">
        <f>K25+K26+K27</f>
        <v>241.10000000000002</v>
      </c>
      <c r="L24" s="336"/>
    </row>
    <row r="25" spans="1:12" ht="75" hidden="1" customHeight="1">
      <c r="A25" s="317"/>
      <c r="B25" s="295"/>
      <c r="C25" s="272"/>
      <c r="D25" s="22" t="s">
        <v>30</v>
      </c>
      <c r="E25" s="195" t="s">
        <v>58</v>
      </c>
      <c r="F25" s="282" t="s">
        <v>149</v>
      </c>
      <c r="G25" s="282" t="s">
        <v>168</v>
      </c>
      <c r="H25" s="68">
        <f>I25+J25+K25</f>
        <v>0</v>
      </c>
      <c r="I25" s="69"/>
      <c r="J25" s="69"/>
      <c r="K25" s="69"/>
      <c r="L25" s="336"/>
    </row>
    <row r="26" spans="1:12" ht="112.5" customHeight="1">
      <c r="A26" s="317"/>
      <c r="B26" s="295"/>
      <c r="C26" s="272"/>
      <c r="D26" s="22" t="s">
        <v>30</v>
      </c>
      <c r="E26" s="93" t="s">
        <v>59</v>
      </c>
      <c r="F26" s="282"/>
      <c r="G26" s="282"/>
      <c r="H26" s="68">
        <f>I26+J26+K26</f>
        <v>683.6</v>
      </c>
      <c r="I26" s="69">
        <v>216.4</v>
      </c>
      <c r="J26" s="69">
        <v>227.9</v>
      </c>
      <c r="K26" s="69">
        <v>239.3</v>
      </c>
      <c r="L26" s="336"/>
    </row>
    <row r="27" spans="1:12" ht="112.5" customHeight="1">
      <c r="A27" s="317"/>
      <c r="B27" s="295"/>
      <c r="C27" s="273"/>
      <c r="D27" s="22" t="s">
        <v>30</v>
      </c>
      <c r="E27" s="93" t="s">
        <v>169</v>
      </c>
      <c r="F27" s="282"/>
      <c r="G27" s="282"/>
      <c r="H27" s="68">
        <f>I27+J27+K27</f>
        <v>5.3</v>
      </c>
      <c r="I27" s="69">
        <v>1.7</v>
      </c>
      <c r="J27" s="69">
        <v>1.8</v>
      </c>
      <c r="K27" s="69">
        <v>1.8</v>
      </c>
      <c r="L27" s="336"/>
    </row>
    <row r="28" spans="1:12" ht="112.5" customHeight="1">
      <c r="A28" s="317"/>
      <c r="B28" s="295"/>
      <c r="C28" s="271" t="s">
        <v>409</v>
      </c>
      <c r="D28" s="279" t="s">
        <v>347</v>
      </c>
      <c r="E28" s="280"/>
      <c r="F28" s="280"/>
      <c r="G28" s="281"/>
      <c r="H28" s="68">
        <f>H29+H30</f>
        <v>137.4</v>
      </c>
      <c r="I28" s="68">
        <f>I29+I30</f>
        <v>42.5</v>
      </c>
      <c r="J28" s="68">
        <f>J29+J30</f>
        <v>44.7</v>
      </c>
      <c r="K28" s="68">
        <f>K29+K30</f>
        <v>50.2</v>
      </c>
      <c r="L28" s="336"/>
    </row>
    <row r="29" spans="1:12" ht="75" customHeight="1">
      <c r="A29" s="317"/>
      <c r="B29" s="295"/>
      <c r="C29" s="272"/>
      <c r="D29" s="22" t="s">
        <v>30</v>
      </c>
      <c r="E29" s="195" t="s">
        <v>58</v>
      </c>
      <c r="F29" s="282" t="s">
        <v>149</v>
      </c>
      <c r="G29" s="282" t="s">
        <v>194</v>
      </c>
      <c r="H29" s="68">
        <f>I29+J29+K29</f>
        <v>61.7</v>
      </c>
      <c r="I29" s="69">
        <v>12.6</v>
      </c>
      <c r="J29" s="69">
        <v>22.4</v>
      </c>
      <c r="K29" s="69">
        <v>26.7</v>
      </c>
      <c r="L29" s="336"/>
    </row>
    <row r="30" spans="1:12" ht="94.5" customHeight="1">
      <c r="A30" s="317"/>
      <c r="B30" s="295"/>
      <c r="C30" s="273"/>
      <c r="D30" s="22" t="s">
        <v>30</v>
      </c>
      <c r="E30" s="93" t="s">
        <v>59</v>
      </c>
      <c r="F30" s="282"/>
      <c r="G30" s="282"/>
      <c r="H30" s="68">
        <f>I30+J30+K30</f>
        <v>75.7</v>
      </c>
      <c r="I30" s="69">
        <v>29.9</v>
      </c>
      <c r="J30" s="69">
        <v>22.3</v>
      </c>
      <c r="K30" s="69">
        <v>23.5</v>
      </c>
      <c r="L30" s="336"/>
    </row>
    <row r="31" spans="1:12" s="82" customFormat="1" ht="75" customHeight="1">
      <c r="A31" s="330"/>
      <c r="B31" s="330"/>
      <c r="C31" s="330"/>
      <c r="D31" s="330"/>
      <c r="E31" s="332" t="s">
        <v>119</v>
      </c>
      <c r="F31" s="333"/>
      <c r="G31" s="334"/>
      <c r="H31" s="71">
        <f>H32+H33+H34</f>
        <v>23849.5</v>
      </c>
      <c r="I31" s="71">
        <f>I32+I33+I34</f>
        <v>7509.5</v>
      </c>
      <c r="J31" s="71">
        <f>J32+J33+J34</f>
        <v>7949.9000000000005</v>
      </c>
      <c r="K31" s="71">
        <f>K32+K33+K34</f>
        <v>8390.0999999999985</v>
      </c>
      <c r="L31" s="336"/>
    </row>
    <row r="32" spans="1:12" s="82" customFormat="1" ht="75" customHeight="1">
      <c r="A32" s="330"/>
      <c r="B32" s="330"/>
      <c r="C32" s="330"/>
      <c r="D32" s="330"/>
      <c r="E32" s="195" t="s">
        <v>58</v>
      </c>
      <c r="F32" s="282" t="s">
        <v>149</v>
      </c>
      <c r="G32" s="330" t="s">
        <v>194</v>
      </c>
      <c r="H32" s="71">
        <f>H13+H16+H19+H25+H29+H22</f>
        <v>10763.699999999999</v>
      </c>
      <c r="I32" s="71">
        <f t="shared" ref="I32:J33" si="0">I13+I16+I19+I25+I29+I22</f>
        <v>3380</v>
      </c>
      <c r="J32" s="71">
        <f t="shared" si="0"/>
        <v>3590.3</v>
      </c>
      <c r="K32" s="71">
        <f>K13+K16+K19+K25+K29+K22</f>
        <v>3793.3999999999996</v>
      </c>
      <c r="L32" s="336"/>
    </row>
    <row r="33" spans="1:12" s="82" customFormat="1" ht="75" customHeight="1">
      <c r="A33" s="330"/>
      <c r="B33" s="330"/>
      <c r="C33" s="330"/>
      <c r="D33" s="330"/>
      <c r="E33" s="209" t="s">
        <v>59</v>
      </c>
      <c r="F33" s="282"/>
      <c r="G33" s="330"/>
      <c r="H33" s="71">
        <f>H14+H17+H20+H26+H30+H23</f>
        <v>13080.500000000002</v>
      </c>
      <c r="I33" s="71">
        <f t="shared" si="0"/>
        <v>4127.8</v>
      </c>
      <c r="J33" s="71">
        <f t="shared" si="0"/>
        <v>4357.8</v>
      </c>
      <c r="K33" s="71">
        <f>K14+K17+K20+K26+K30+K23</f>
        <v>4594.8999999999996</v>
      </c>
      <c r="L33" s="336"/>
    </row>
    <row r="34" spans="1:12" s="82" customFormat="1" ht="75" customHeight="1">
      <c r="A34" s="330"/>
      <c r="B34" s="330"/>
      <c r="C34" s="330"/>
      <c r="D34" s="330"/>
      <c r="E34" s="93" t="s">
        <v>169</v>
      </c>
      <c r="F34" s="282"/>
      <c r="G34" s="330"/>
      <c r="H34" s="71">
        <f>H27</f>
        <v>5.3</v>
      </c>
      <c r="I34" s="71">
        <f>I27</f>
        <v>1.7</v>
      </c>
      <c r="J34" s="71">
        <f>J27</f>
        <v>1.8</v>
      </c>
      <c r="K34" s="71">
        <f>K27</f>
        <v>1.8</v>
      </c>
      <c r="L34" s="337"/>
    </row>
    <row r="35" spans="1:12" s="82" customFormat="1" ht="75" hidden="1" customHeight="1">
      <c r="A35" s="274" t="s">
        <v>101</v>
      </c>
      <c r="B35" s="295" t="s">
        <v>93</v>
      </c>
      <c r="C35" s="271" t="s">
        <v>99</v>
      </c>
      <c r="D35" s="279" t="s">
        <v>131</v>
      </c>
      <c r="E35" s="280"/>
      <c r="F35" s="280"/>
      <c r="G35" s="281"/>
      <c r="H35" s="71">
        <f>H36+H37+H38+H39+H40</f>
        <v>0</v>
      </c>
      <c r="I35" s="71">
        <f>I36+I37+I38+I39+I40</f>
        <v>0</v>
      </c>
      <c r="J35" s="71">
        <f>J36+J37+J38+J39+J40</f>
        <v>0</v>
      </c>
      <c r="K35" s="71">
        <f>K36+K37+K38+K39+K40</f>
        <v>0</v>
      </c>
      <c r="L35" s="285" t="s">
        <v>132</v>
      </c>
    </row>
    <row r="36" spans="1:12" s="82" customFormat="1" ht="75" hidden="1" customHeight="1">
      <c r="A36" s="274"/>
      <c r="B36" s="295"/>
      <c r="C36" s="272"/>
      <c r="D36" s="22" t="s">
        <v>26</v>
      </c>
      <c r="E36" s="195" t="s">
        <v>60</v>
      </c>
      <c r="F36" s="308" t="s">
        <v>149</v>
      </c>
      <c r="G36" s="288" t="s">
        <v>168</v>
      </c>
      <c r="H36" s="69">
        <f>I36+J36+K36</f>
        <v>0</v>
      </c>
      <c r="I36" s="69"/>
      <c r="J36" s="69"/>
      <c r="K36" s="69"/>
      <c r="L36" s="285"/>
    </row>
    <row r="37" spans="1:12" s="82" customFormat="1" ht="75" hidden="1" customHeight="1">
      <c r="A37" s="274"/>
      <c r="B37" s="295"/>
      <c r="C37" s="272"/>
      <c r="D37" s="22" t="s">
        <v>26</v>
      </c>
      <c r="E37" s="195" t="s">
        <v>54</v>
      </c>
      <c r="F37" s="309"/>
      <c r="G37" s="289"/>
      <c r="H37" s="69">
        <f>I37+J37+K37</f>
        <v>0</v>
      </c>
      <c r="I37" s="69"/>
      <c r="J37" s="69"/>
      <c r="K37" s="69"/>
      <c r="L37" s="285"/>
    </row>
    <row r="38" spans="1:12" s="82" customFormat="1" ht="75" hidden="1" customHeight="1">
      <c r="A38" s="274"/>
      <c r="B38" s="295"/>
      <c r="C38" s="272"/>
      <c r="D38" s="22" t="s">
        <v>26</v>
      </c>
      <c r="E38" s="195" t="s">
        <v>55</v>
      </c>
      <c r="F38" s="309"/>
      <c r="G38" s="289"/>
      <c r="H38" s="69">
        <f>I38+J38+K38</f>
        <v>0</v>
      </c>
      <c r="I38" s="69"/>
      <c r="J38" s="69"/>
      <c r="K38" s="69"/>
      <c r="L38" s="285"/>
    </row>
    <row r="39" spans="1:12" s="82" customFormat="1" ht="75" hidden="1" customHeight="1">
      <c r="A39" s="274"/>
      <c r="B39" s="295"/>
      <c r="C39" s="272"/>
      <c r="D39" s="22" t="s">
        <v>26</v>
      </c>
      <c r="E39" s="195" t="s">
        <v>53</v>
      </c>
      <c r="F39" s="309"/>
      <c r="G39" s="289"/>
      <c r="H39" s="69">
        <f>I39+J39+K39</f>
        <v>0</v>
      </c>
      <c r="I39" s="69"/>
      <c r="J39" s="69"/>
      <c r="K39" s="69"/>
      <c r="L39" s="285"/>
    </row>
    <row r="40" spans="1:12" s="82" customFormat="1" ht="75" hidden="1" customHeight="1">
      <c r="A40" s="274"/>
      <c r="B40" s="295"/>
      <c r="C40" s="273"/>
      <c r="D40" s="22" t="s">
        <v>26</v>
      </c>
      <c r="E40" s="216" t="s">
        <v>169</v>
      </c>
      <c r="F40" s="319"/>
      <c r="G40" s="290"/>
      <c r="H40" s="69">
        <f>I40+J40+K40</f>
        <v>0</v>
      </c>
      <c r="I40" s="69"/>
      <c r="J40" s="69"/>
      <c r="K40" s="69"/>
      <c r="L40" s="195"/>
    </row>
    <row r="41" spans="1:12" s="83" customFormat="1" ht="75" customHeight="1">
      <c r="A41" s="274"/>
      <c r="B41" s="295"/>
      <c r="C41" s="271" t="s">
        <v>177</v>
      </c>
      <c r="D41" s="279" t="s">
        <v>348</v>
      </c>
      <c r="E41" s="280"/>
      <c r="F41" s="280"/>
      <c r="G41" s="281"/>
      <c r="H41" s="68">
        <f>SUM(H42:H46)</f>
        <v>134834.1</v>
      </c>
      <c r="I41" s="68">
        <f>SUM(I42:I46)</f>
        <v>42367.700000000004</v>
      </c>
      <c r="J41" s="68">
        <f>SUM(J42:J46)</f>
        <v>44952.100000000006</v>
      </c>
      <c r="K41" s="68">
        <f>SUM(K42:K46)</f>
        <v>47514.3</v>
      </c>
      <c r="L41" s="271" t="s">
        <v>277</v>
      </c>
    </row>
    <row r="42" spans="1:12" ht="75" customHeight="1">
      <c r="A42" s="274"/>
      <c r="B42" s="295"/>
      <c r="C42" s="272"/>
      <c r="D42" s="22" t="s">
        <v>26</v>
      </c>
      <c r="E42" s="195" t="s">
        <v>60</v>
      </c>
      <c r="F42" s="349" t="s">
        <v>149</v>
      </c>
      <c r="G42" s="282" t="s">
        <v>194</v>
      </c>
      <c r="H42" s="68">
        <f t="shared" ref="H42:H50" si="1">I42+J42+K42</f>
        <v>25805.4</v>
      </c>
      <c r="I42" s="69">
        <f>5179.3+2929.3</f>
        <v>8108.6</v>
      </c>
      <c r="J42" s="69">
        <v>8603.2000000000007</v>
      </c>
      <c r="K42" s="69">
        <v>9093.6</v>
      </c>
      <c r="L42" s="272"/>
    </row>
    <row r="43" spans="1:12" ht="75" customHeight="1">
      <c r="A43" s="274"/>
      <c r="B43" s="295"/>
      <c r="C43" s="272"/>
      <c r="D43" s="22" t="s">
        <v>26</v>
      </c>
      <c r="E43" s="195" t="s">
        <v>54</v>
      </c>
      <c r="F43" s="350"/>
      <c r="G43" s="282"/>
      <c r="H43" s="68">
        <f t="shared" si="1"/>
        <v>24841.1</v>
      </c>
      <c r="I43" s="69">
        <f>4856.3+2949.3</f>
        <v>7805.6</v>
      </c>
      <c r="J43" s="69">
        <v>8281.7000000000007</v>
      </c>
      <c r="K43" s="69">
        <v>8753.7999999999993</v>
      </c>
      <c r="L43" s="272"/>
    </row>
    <row r="44" spans="1:12" s="82" customFormat="1" ht="75" customHeight="1">
      <c r="A44" s="274"/>
      <c r="B44" s="295"/>
      <c r="C44" s="272"/>
      <c r="D44" s="22" t="s">
        <v>26</v>
      </c>
      <c r="E44" s="195" t="s">
        <v>55</v>
      </c>
      <c r="F44" s="350"/>
      <c r="G44" s="282"/>
      <c r="H44" s="68">
        <f t="shared" si="1"/>
        <v>41176.400000000001</v>
      </c>
      <c r="I44" s="69">
        <f>8183.9+4754.6</f>
        <v>12938.5</v>
      </c>
      <c r="J44" s="69">
        <v>13727.7</v>
      </c>
      <c r="K44" s="69">
        <v>14510.2</v>
      </c>
      <c r="L44" s="272"/>
    </row>
    <row r="45" spans="1:12" s="82" customFormat="1" ht="75" customHeight="1">
      <c r="A45" s="274"/>
      <c r="B45" s="295"/>
      <c r="C45" s="272"/>
      <c r="D45" s="22" t="s">
        <v>26</v>
      </c>
      <c r="E45" s="195" t="s">
        <v>53</v>
      </c>
      <c r="F45" s="350"/>
      <c r="G45" s="282"/>
      <c r="H45" s="68">
        <f t="shared" si="1"/>
        <v>28613.999999999996</v>
      </c>
      <c r="I45" s="69">
        <f>5622.4+3368.7</f>
        <v>8991.0999999999985</v>
      </c>
      <c r="J45" s="69">
        <v>9539.6</v>
      </c>
      <c r="K45" s="69">
        <v>10083.299999999999</v>
      </c>
      <c r="L45" s="272"/>
    </row>
    <row r="46" spans="1:12" s="82" customFormat="1" ht="75" customHeight="1">
      <c r="A46" s="274"/>
      <c r="B46" s="295"/>
      <c r="C46" s="273"/>
      <c r="D46" s="22" t="s">
        <v>26</v>
      </c>
      <c r="E46" s="216" t="s">
        <v>169</v>
      </c>
      <c r="F46" s="351"/>
      <c r="G46" s="282"/>
      <c r="H46" s="68">
        <f t="shared" si="1"/>
        <v>14397.199999999999</v>
      </c>
      <c r="I46" s="69">
        <f>3046+1477.9</f>
        <v>4523.8999999999996</v>
      </c>
      <c r="J46" s="69">
        <v>4799.8999999999996</v>
      </c>
      <c r="K46" s="69">
        <v>5073.3999999999996</v>
      </c>
      <c r="L46" s="273"/>
    </row>
    <row r="47" spans="1:12" ht="107.25" customHeight="1">
      <c r="A47" s="274"/>
      <c r="B47" s="295"/>
      <c r="C47" s="195" t="s">
        <v>200</v>
      </c>
      <c r="D47" s="138" t="s">
        <v>26</v>
      </c>
      <c r="E47" s="195" t="s">
        <v>60</v>
      </c>
      <c r="F47" s="193" t="s">
        <v>149</v>
      </c>
      <c r="G47" s="193" t="s">
        <v>194</v>
      </c>
      <c r="H47" s="68">
        <f t="shared" si="1"/>
        <v>1006.5</v>
      </c>
      <c r="I47" s="69">
        <v>318.7</v>
      </c>
      <c r="J47" s="69">
        <v>335.5</v>
      </c>
      <c r="K47" s="69">
        <v>352.3</v>
      </c>
      <c r="L47" s="208" t="s">
        <v>46</v>
      </c>
    </row>
    <row r="48" spans="1:12" s="82" customFormat="1" ht="197.25" customHeight="1">
      <c r="A48" s="274"/>
      <c r="B48" s="295"/>
      <c r="C48" s="139" t="s">
        <v>329</v>
      </c>
      <c r="D48" s="22" t="s">
        <v>26</v>
      </c>
      <c r="E48" s="195" t="s">
        <v>55</v>
      </c>
      <c r="F48" s="193" t="s">
        <v>149</v>
      </c>
      <c r="G48" s="193" t="s">
        <v>194</v>
      </c>
      <c r="H48" s="68">
        <f t="shared" si="1"/>
        <v>201.7</v>
      </c>
      <c r="I48" s="69">
        <v>201.7</v>
      </c>
      <c r="J48" s="69">
        <v>0</v>
      </c>
      <c r="K48" s="69">
        <v>0</v>
      </c>
      <c r="L48" s="140" t="s">
        <v>201</v>
      </c>
    </row>
    <row r="49" spans="1:12" ht="300" customHeight="1">
      <c r="A49" s="274"/>
      <c r="B49" s="295"/>
      <c r="C49" s="208" t="s">
        <v>330</v>
      </c>
      <c r="D49" s="138" t="s">
        <v>30</v>
      </c>
      <c r="E49" s="195" t="s">
        <v>54</v>
      </c>
      <c r="F49" s="193" t="s">
        <v>149</v>
      </c>
      <c r="G49" s="193" t="s">
        <v>195</v>
      </c>
      <c r="H49" s="68">
        <f t="shared" si="1"/>
        <v>6709</v>
      </c>
      <c r="I49" s="141">
        <v>2124</v>
      </c>
      <c r="J49" s="69">
        <v>2236.6</v>
      </c>
      <c r="K49" s="141">
        <v>2348.4</v>
      </c>
      <c r="L49" s="208" t="s">
        <v>135</v>
      </c>
    </row>
    <row r="50" spans="1:12" ht="231.75" customHeight="1">
      <c r="A50" s="274"/>
      <c r="B50" s="295"/>
      <c r="C50" s="142" t="s">
        <v>331</v>
      </c>
      <c r="D50" s="138" t="s">
        <v>26</v>
      </c>
      <c r="E50" s="195" t="s">
        <v>53</v>
      </c>
      <c r="F50" s="193" t="s">
        <v>149</v>
      </c>
      <c r="G50" s="193" t="s">
        <v>196</v>
      </c>
      <c r="H50" s="68">
        <f t="shared" si="1"/>
        <v>5133.2</v>
      </c>
      <c r="I50" s="69">
        <f>1420.6+507.8</f>
        <v>1928.3999999999999</v>
      </c>
      <c r="J50" s="69">
        <v>1550.7</v>
      </c>
      <c r="K50" s="69">
        <v>1654.1</v>
      </c>
      <c r="L50" s="142" t="s">
        <v>202</v>
      </c>
    </row>
    <row r="51" spans="1:12" ht="47.25" customHeight="1">
      <c r="A51" s="274"/>
      <c r="B51" s="295"/>
      <c r="C51" s="276" t="s">
        <v>332</v>
      </c>
      <c r="D51" s="318" t="s">
        <v>350</v>
      </c>
      <c r="E51" s="318"/>
      <c r="F51" s="318"/>
      <c r="G51" s="318"/>
      <c r="H51" s="68">
        <f>H52+H53+H54</f>
        <v>10220.900000000001</v>
      </c>
      <c r="I51" s="68">
        <f>I52+I53+I54</f>
        <v>4158</v>
      </c>
      <c r="J51" s="68">
        <f>J52+J53+J54</f>
        <v>2950.4</v>
      </c>
      <c r="K51" s="68">
        <f>K52+K53+K54</f>
        <v>3112.5</v>
      </c>
      <c r="L51" s="276" t="s">
        <v>270</v>
      </c>
    </row>
    <row r="52" spans="1:12" ht="60" customHeight="1">
      <c r="A52" s="274"/>
      <c r="B52" s="295"/>
      <c r="C52" s="277"/>
      <c r="D52" s="22" t="s">
        <v>26</v>
      </c>
      <c r="E52" s="215" t="s">
        <v>53</v>
      </c>
      <c r="F52" s="288" t="s">
        <v>149</v>
      </c>
      <c r="G52" s="288" t="s">
        <v>196</v>
      </c>
      <c r="H52" s="68">
        <f>I52+J52+K52</f>
        <v>12.2</v>
      </c>
      <c r="I52" s="69">
        <v>12.2</v>
      </c>
      <c r="J52" s="69">
        <v>0</v>
      </c>
      <c r="K52" s="69">
        <v>0</v>
      </c>
      <c r="L52" s="277"/>
    </row>
    <row r="53" spans="1:12" ht="43.5" customHeight="1">
      <c r="A53" s="274"/>
      <c r="B53" s="295"/>
      <c r="C53" s="277"/>
      <c r="D53" s="22" t="s">
        <v>26</v>
      </c>
      <c r="E53" s="215" t="s">
        <v>54</v>
      </c>
      <c r="F53" s="289"/>
      <c r="G53" s="289"/>
      <c r="H53" s="68">
        <f>I53+J53+K53</f>
        <v>9908.7000000000007</v>
      </c>
      <c r="I53" s="69">
        <f>2528.7+1517.1</f>
        <v>4045.7999999999997</v>
      </c>
      <c r="J53" s="69">
        <v>2850.4</v>
      </c>
      <c r="K53" s="69">
        <v>3012.5</v>
      </c>
      <c r="L53" s="277"/>
    </row>
    <row r="54" spans="1:12" ht="57" customHeight="1">
      <c r="A54" s="274"/>
      <c r="B54" s="295"/>
      <c r="C54" s="278"/>
      <c r="D54" s="22" t="s">
        <v>30</v>
      </c>
      <c r="E54" s="215" t="s">
        <v>60</v>
      </c>
      <c r="F54" s="290"/>
      <c r="G54" s="290"/>
      <c r="H54" s="68">
        <f>I54+J54+K54</f>
        <v>300</v>
      </c>
      <c r="I54" s="69">
        <v>100</v>
      </c>
      <c r="J54" s="69">
        <v>100</v>
      </c>
      <c r="K54" s="69">
        <v>100</v>
      </c>
      <c r="L54" s="278"/>
    </row>
    <row r="55" spans="1:12" ht="106.5" customHeight="1">
      <c r="A55" s="274"/>
      <c r="B55" s="295"/>
      <c r="C55" s="143" t="s">
        <v>333</v>
      </c>
      <c r="D55" s="279" t="s">
        <v>349</v>
      </c>
      <c r="E55" s="280"/>
      <c r="F55" s="280"/>
      <c r="G55" s="281"/>
      <c r="H55" s="68">
        <f>H56+H57</f>
        <v>1200</v>
      </c>
      <c r="I55" s="68">
        <f>I56+I57</f>
        <v>1200</v>
      </c>
      <c r="J55" s="68">
        <f>J56+J57</f>
        <v>0</v>
      </c>
      <c r="K55" s="68">
        <f>K56+K57</f>
        <v>0</v>
      </c>
      <c r="L55" s="213" t="s">
        <v>276</v>
      </c>
    </row>
    <row r="56" spans="1:12" ht="117" customHeight="1">
      <c r="A56" s="274"/>
      <c r="B56" s="295"/>
      <c r="C56" s="192" t="s">
        <v>334</v>
      </c>
      <c r="D56" s="138" t="s">
        <v>26</v>
      </c>
      <c r="E56" s="195" t="s">
        <v>60</v>
      </c>
      <c r="F56" s="288" t="s">
        <v>149</v>
      </c>
      <c r="G56" s="193" t="s">
        <v>196</v>
      </c>
      <c r="H56" s="68">
        <f>I56+J56+K56</f>
        <v>1000</v>
      </c>
      <c r="I56" s="69">
        <v>1000</v>
      </c>
      <c r="J56" s="69">
        <v>0</v>
      </c>
      <c r="K56" s="69">
        <v>0</v>
      </c>
      <c r="L56" s="213" t="s">
        <v>327</v>
      </c>
    </row>
    <row r="57" spans="1:12" ht="175.5" customHeight="1">
      <c r="A57" s="274"/>
      <c r="B57" s="295"/>
      <c r="C57" s="142" t="s">
        <v>336</v>
      </c>
      <c r="D57" s="138" t="s">
        <v>26</v>
      </c>
      <c r="E57" s="195" t="s">
        <v>55</v>
      </c>
      <c r="F57" s="290"/>
      <c r="G57" s="193" t="s">
        <v>196</v>
      </c>
      <c r="H57" s="68">
        <f>I57+J57+K57</f>
        <v>200</v>
      </c>
      <c r="I57" s="69">
        <v>200</v>
      </c>
      <c r="J57" s="69">
        <v>0</v>
      </c>
      <c r="K57" s="69">
        <v>0</v>
      </c>
      <c r="L57" s="213" t="s">
        <v>170</v>
      </c>
    </row>
    <row r="58" spans="1:12" ht="163.5" customHeight="1">
      <c r="A58" s="274"/>
      <c r="B58" s="295"/>
      <c r="C58" s="142" t="s">
        <v>335</v>
      </c>
      <c r="D58" s="275" t="s">
        <v>351</v>
      </c>
      <c r="E58" s="275"/>
      <c r="F58" s="275"/>
      <c r="G58" s="275"/>
      <c r="H58" s="144">
        <f>SUM(H59:H61)</f>
        <v>5031.8</v>
      </c>
      <c r="I58" s="144">
        <f>SUM(I59:I61)</f>
        <v>1593</v>
      </c>
      <c r="J58" s="144">
        <f t="shared" ref="J58:K58" si="2">SUM(J59:J61)</f>
        <v>1677.5</v>
      </c>
      <c r="K58" s="144">
        <f t="shared" si="2"/>
        <v>1761.3</v>
      </c>
      <c r="L58" s="213"/>
    </row>
    <row r="59" spans="1:12" ht="118.5" customHeight="1">
      <c r="A59" s="274"/>
      <c r="B59" s="295"/>
      <c r="C59" s="143" t="s">
        <v>337</v>
      </c>
      <c r="D59" s="138" t="s">
        <v>26</v>
      </c>
      <c r="E59" s="215" t="s">
        <v>53</v>
      </c>
      <c r="F59" s="288" t="s">
        <v>149</v>
      </c>
      <c r="G59" s="193" t="s">
        <v>196</v>
      </c>
      <c r="H59" s="144">
        <f>I59+J59+K59</f>
        <v>339.4</v>
      </c>
      <c r="I59" s="145">
        <v>110</v>
      </c>
      <c r="J59" s="145">
        <v>112</v>
      </c>
      <c r="K59" s="145">
        <v>117.4</v>
      </c>
      <c r="L59" s="143" t="s">
        <v>192</v>
      </c>
    </row>
    <row r="60" spans="1:12" ht="118.5" customHeight="1">
      <c r="A60" s="274"/>
      <c r="B60" s="295"/>
      <c r="C60" s="143" t="s">
        <v>338</v>
      </c>
      <c r="D60" s="138" t="s">
        <v>26</v>
      </c>
      <c r="E60" s="215" t="s">
        <v>53</v>
      </c>
      <c r="F60" s="289"/>
      <c r="G60" s="193" t="s">
        <v>196</v>
      </c>
      <c r="H60" s="144">
        <f t="shared" ref="H60:H61" si="3">I60+J60+K60</f>
        <v>1673.4</v>
      </c>
      <c r="I60" s="145">
        <v>527.20000000000005</v>
      </c>
      <c r="J60" s="145">
        <v>559.1</v>
      </c>
      <c r="K60" s="145">
        <v>587.1</v>
      </c>
      <c r="L60" s="143" t="s">
        <v>193</v>
      </c>
    </row>
    <row r="61" spans="1:12" ht="154.5" customHeight="1">
      <c r="A61" s="274"/>
      <c r="B61" s="295"/>
      <c r="C61" s="143" t="s">
        <v>339</v>
      </c>
      <c r="D61" s="138" t="s">
        <v>26</v>
      </c>
      <c r="E61" s="215" t="s">
        <v>53</v>
      </c>
      <c r="F61" s="290"/>
      <c r="G61" s="193" t="s">
        <v>196</v>
      </c>
      <c r="H61" s="144">
        <f t="shared" si="3"/>
        <v>3019</v>
      </c>
      <c r="I61" s="145">
        <v>955.8</v>
      </c>
      <c r="J61" s="145">
        <v>1006.4</v>
      </c>
      <c r="K61" s="145">
        <v>1056.8</v>
      </c>
      <c r="L61" s="143" t="s">
        <v>271</v>
      </c>
    </row>
    <row r="62" spans="1:12" ht="42" customHeight="1">
      <c r="A62" s="302"/>
      <c r="B62" s="303"/>
      <c r="C62" s="303"/>
      <c r="D62" s="304"/>
      <c r="E62" s="291" t="s">
        <v>121</v>
      </c>
      <c r="F62" s="292"/>
      <c r="G62" s="131"/>
      <c r="H62" s="144">
        <f>H63</f>
        <v>164337.20000000001</v>
      </c>
      <c r="I62" s="144">
        <f>I63</f>
        <v>53891.5</v>
      </c>
      <c r="J62" s="144">
        <f>J63</f>
        <v>53702.8</v>
      </c>
      <c r="K62" s="144">
        <f>K63</f>
        <v>56742.900000000009</v>
      </c>
      <c r="L62" s="352"/>
    </row>
    <row r="63" spans="1:12" ht="52.5" customHeight="1">
      <c r="A63" s="305"/>
      <c r="B63" s="306"/>
      <c r="C63" s="306"/>
      <c r="D63" s="307"/>
      <c r="E63" s="293"/>
      <c r="F63" s="294"/>
      <c r="G63" s="193" t="s">
        <v>196</v>
      </c>
      <c r="H63" s="68">
        <f>H35+H41+H47+H49+H50+H51+H55+H48+H58</f>
        <v>164337.20000000001</v>
      </c>
      <c r="I63" s="68">
        <f t="shared" ref="I63:K63" si="4">I35+I41+I47+I49+I50+I51+I55+I48+I58</f>
        <v>53891.5</v>
      </c>
      <c r="J63" s="68">
        <f>J35+J41+J47+J49+J50+J51+J55+J48+J58</f>
        <v>53702.8</v>
      </c>
      <c r="K63" s="68">
        <f t="shared" si="4"/>
        <v>56742.900000000009</v>
      </c>
      <c r="L63" s="353"/>
    </row>
    <row r="64" spans="1:12" ht="42" customHeight="1">
      <c r="A64" s="305"/>
      <c r="B64" s="306"/>
      <c r="C64" s="306"/>
      <c r="D64" s="307"/>
      <c r="E64" s="279" t="s">
        <v>122</v>
      </c>
      <c r="F64" s="281"/>
      <c r="G64" s="193"/>
      <c r="H64" s="68"/>
      <c r="I64" s="145"/>
      <c r="J64" s="69"/>
      <c r="K64" s="69"/>
      <c r="L64" s="353"/>
    </row>
    <row r="65" spans="1:12" ht="57.75" customHeight="1">
      <c r="A65" s="305"/>
      <c r="B65" s="306"/>
      <c r="C65" s="306"/>
      <c r="D65" s="307"/>
      <c r="E65" s="296" t="s">
        <v>60</v>
      </c>
      <c r="F65" s="297"/>
      <c r="G65" s="207" t="s">
        <v>70</v>
      </c>
      <c r="H65" s="68">
        <f>H66</f>
        <v>28111.9</v>
      </c>
      <c r="I65" s="68">
        <f>I66</f>
        <v>9527.3000000000011</v>
      </c>
      <c r="J65" s="68">
        <f>J66</f>
        <v>9038.7000000000007</v>
      </c>
      <c r="K65" s="68">
        <f>K66</f>
        <v>9545.9</v>
      </c>
      <c r="L65" s="353"/>
    </row>
    <row r="66" spans="1:12" ht="52.5" customHeight="1">
      <c r="A66" s="305"/>
      <c r="B66" s="306"/>
      <c r="C66" s="306"/>
      <c r="D66" s="307"/>
      <c r="E66" s="298"/>
      <c r="F66" s="299"/>
      <c r="G66" s="193" t="s">
        <v>196</v>
      </c>
      <c r="H66" s="68">
        <f>H36+H42+H47+H54+H56</f>
        <v>28111.9</v>
      </c>
      <c r="I66" s="68">
        <f>I36+I42+I47+I54+I56</f>
        <v>9527.3000000000011</v>
      </c>
      <c r="J66" s="68">
        <f>J36+J42+J47+J54+J56</f>
        <v>9038.7000000000007</v>
      </c>
      <c r="K66" s="68">
        <f>K36+K42+K47+K54+K56</f>
        <v>9545.9</v>
      </c>
      <c r="L66" s="353"/>
    </row>
    <row r="67" spans="1:12" ht="51.75" customHeight="1">
      <c r="A67" s="305"/>
      <c r="B67" s="306"/>
      <c r="C67" s="306"/>
      <c r="D67" s="307"/>
      <c r="E67" s="296" t="s">
        <v>54</v>
      </c>
      <c r="F67" s="297"/>
      <c r="G67" s="207" t="s">
        <v>70</v>
      </c>
      <c r="H67" s="68">
        <f>H68</f>
        <v>41458.800000000003</v>
      </c>
      <c r="I67" s="68">
        <f>I68</f>
        <v>13975.4</v>
      </c>
      <c r="J67" s="68">
        <f>J68</f>
        <v>13368.7</v>
      </c>
      <c r="K67" s="68">
        <f>K68</f>
        <v>14114.699999999999</v>
      </c>
      <c r="L67" s="353"/>
    </row>
    <row r="68" spans="1:12" ht="60.75" customHeight="1">
      <c r="A68" s="305"/>
      <c r="B68" s="306"/>
      <c r="C68" s="306"/>
      <c r="D68" s="307"/>
      <c r="E68" s="298"/>
      <c r="F68" s="299"/>
      <c r="G68" s="193" t="s">
        <v>196</v>
      </c>
      <c r="H68" s="68">
        <f>H37+H43+H49+H53</f>
        <v>41458.800000000003</v>
      </c>
      <c r="I68" s="68">
        <f>I37+I43+I49+I53</f>
        <v>13975.4</v>
      </c>
      <c r="J68" s="68">
        <f>J37+J43+J49+J53</f>
        <v>13368.7</v>
      </c>
      <c r="K68" s="68">
        <f>K37+K43+K49+K53</f>
        <v>14114.699999999999</v>
      </c>
      <c r="L68" s="353"/>
    </row>
    <row r="69" spans="1:12" ht="55.5" customHeight="1">
      <c r="A69" s="305"/>
      <c r="B69" s="306"/>
      <c r="C69" s="306"/>
      <c r="D69" s="307"/>
      <c r="E69" s="296" t="s">
        <v>55</v>
      </c>
      <c r="F69" s="297"/>
      <c r="G69" s="207" t="s">
        <v>70</v>
      </c>
      <c r="H69" s="68">
        <f>H70</f>
        <v>41578.1</v>
      </c>
      <c r="I69" s="68">
        <f>I70</f>
        <v>13340.2</v>
      </c>
      <c r="J69" s="68">
        <f>J70</f>
        <v>13727.7</v>
      </c>
      <c r="K69" s="68">
        <f>K70</f>
        <v>14510.2</v>
      </c>
      <c r="L69" s="353"/>
    </row>
    <row r="70" spans="1:12" ht="57.75" customHeight="1">
      <c r="A70" s="305"/>
      <c r="B70" s="306"/>
      <c r="C70" s="306"/>
      <c r="D70" s="307"/>
      <c r="E70" s="298"/>
      <c r="F70" s="299"/>
      <c r="G70" s="193" t="s">
        <v>196</v>
      </c>
      <c r="H70" s="68">
        <f>H38+H44+H48+H57</f>
        <v>41578.1</v>
      </c>
      <c r="I70" s="68">
        <f>I38+I44+I48+I57</f>
        <v>13340.2</v>
      </c>
      <c r="J70" s="68">
        <f>J38+J44+J48+J57</f>
        <v>13727.7</v>
      </c>
      <c r="K70" s="68">
        <f>K38+K44+K48+K57</f>
        <v>14510.2</v>
      </c>
      <c r="L70" s="353"/>
    </row>
    <row r="71" spans="1:12" ht="53.25" customHeight="1">
      <c r="A71" s="305"/>
      <c r="B71" s="306"/>
      <c r="C71" s="306"/>
      <c r="D71" s="307"/>
      <c r="E71" s="296" t="s">
        <v>53</v>
      </c>
      <c r="F71" s="297"/>
      <c r="G71" s="207" t="s">
        <v>70</v>
      </c>
      <c r="H71" s="68">
        <f>H72</f>
        <v>38791.199999999997</v>
      </c>
      <c r="I71" s="68">
        <f>I72</f>
        <v>12524.699999999999</v>
      </c>
      <c r="J71" s="68">
        <f>J72</f>
        <v>12767.800000000001</v>
      </c>
      <c r="K71" s="68">
        <f>K72</f>
        <v>13498.699999999999</v>
      </c>
      <c r="L71" s="353"/>
    </row>
    <row r="72" spans="1:12" ht="75" customHeight="1">
      <c r="A72" s="305"/>
      <c r="B72" s="306"/>
      <c r="C72" s="306"/>
      <c r="D72" s="307"/>
      <c r="E72" s="300"/>
      <c r="F72" s="301"/>
      <c r="G72" s="193" t="s">
        <v>196</v>
      </c>
      <c r="H72" s="68">
        <f>H39+H45+H50+H52+H59+H60+H61</f>
        <v>38791.199999999997</v>
      </c>
      <c r="I72" s="68">
        <f t="shared" ref="I72:K72" si="5">I39+I45+I50+I52+I59+I60+I61</f>
        <v>12524.699999999999</v>
      </c>
      <c r="J72" s="68">
        <f t="shared" si="5"/>
        <v>12767.800000000001</v>
      </c>
      <c r="K72" s="68">
        <f t="shared" si="5"/>
        <v>13498.699999999999</v>
      </c>
      <c r="L72" s="353"/>
    </row>
    <row r="73" spans="1:12" ht="52.5" customHeight="1">
      <c r="A73" s="200"/>
      <c r="B73" s="201"/>
      <c r="C73" s="201"/>
      <c r="D73" s="201"/>
      <c r="E73" s="296" t="s">
        <v>169</v>
      </c>
      <c r="F73" s="297"/>
      <c r="G73" s="207" t="s">
        <v>70</v>
      </c>
      <c r="H73" s="68">
        <f>H74</f>
        <v>14402.499999999998</v>
      </c>
      <c r="I73" s="68">
        <f>I74</f>
        <v>4525.5999999999995</v>
      </c>
      <c r="J73" s="68">
        <f>J74</f>
        <v>4801.7</v>
      </c>
      <c r="K73" s="68">
        <f>K74</f>
        <v>5075.2</v>
      </c>
      <c r="L73" s="212"/>
    </row>
    <row r="74" spans="1:12" ht="59.25" customHeight="1">
      <c r="A74" s="194"/>
      <c r="B74" s="283"/>
      <c r="C74" s="283"/>
      <c r="D74" s="283"/>
      <c r="E74" s="300"/>
      <c r="F74" s="301"/>
      <c r="G74" s="193" t="s">
        <v>196</v>
      </c>
      <c r="H74" s="68">
        <f>H46+H40+H27</f>
        <v>14402.499999999998</v>
      </c>
      <c r="I74" s="68">
        <f>I46+I40+I27</f>
        <v>4525.5999999999995</v>
      </c>
      <c r="J74" s="68">
        <f t="shared" ref="J74:K74" si="6">J46+J40+J27</f>
        <v>4801.7</v>
      </c>
      <c r="K74" s="68">
        <f t="shared" si="6"/>
        <v>5075.2</v>
      </c>
      <c r="L74" s="146"/>
    </row>
    <row r="75" spans="1:12" s="82" customFormat="1" ht="322.5" hidden="1" customHeight="1">
      <c r="A75" s="147" t="s">
        <v>102</v>
      </c>
      <c r="B75" s="287" t="s">
        <v>146</v>
      </c>
      <c r="C75" s="148" t="s">
        <v>103</v>
      </c>
      <c r="D75" s="149" t="s">
        <v>27</v>
      </c>
      <c r="E75" s="190" t="s">
        <v>57</v>
      </c>
      <c r="F75" s="308" t="s">
        <v>149</v>
      </c>
      <c r="G75" s="193" t="s">
        <v>171</v>
      </c>
      <c r="H75" s="68">
        <f>I75+J75+K75</f>
        <v>0</v>
      </c>
      <c r="I75" s="69"/>
      <c r="J75" s="69"/>
      <c r="K75" s="69"/>
      <c r="L75" s="150" t="s">
        <v>198</v>
      </c>
    </row>
    <row r="76" spans="1:12" s="82" customFormat="1" ht="93.75" customHeight="1">
      <c r="A76" s="151" t="s">
        <v>102</v>
      </c>
      <c r="B76" s="287"/>
      <c r="C76" s="195" t="s">
        <v>340</v>
      </c>
      <c r="D76" s="152" t="s">
        <v>27</v>
      </c>
      <c r="E76" s="140" t="s">
        <v>57</v>
      </c>
      <c r="F76" s="309"/>
      <c r="G76" s="193" t="s">
        <v>194</v>
      </c>
      <c r="H76" s="68">
        <f>I76+J76+K76</f>
        <v>16098</v>
      </c>
      <c r="I76" s="69">
        <f>3473.5+1584.8</f>
        <v>5058.3</v>
      </c>
      <c r="J76" s="69">
        <v>5366.9</v>
      </c>
      <c r="K76" s="69">
        <v>5672.8</v>
      </c>
      <c r="L76" s="271" t="s">
        <v>277</v>
      </c>
    </row>
    <row r="77" spans="1:12" s="82" customFormat="1" ht="221.25" customHeight="1">
      <c r="A77" s="153"/>
      <c r="B77" s="324"/>
      <c r="C77" s="195" t="s">
        <v>341</v>
      </c>
      <c r="D77" s="152" t="s">
        <v>27</v>
      </c>
      <c r="E77" s="140" t="s">
        <v>57</v>
      </c>
      <c r="F77" s="309"/>
      <c r="G77" s="193" t="s">
        <v>194</v>
      </c>
      <c r="H77" s="68">
        <f>I77+J77+K77</f>
        <v>67.3</v>
      </c>
      <c r="I77" s="69">
        <v>67.3</v>
      </c>
      <c r="J77" s="69">
        <v>0</v>
      </c>
      <c r="K77" s="69">
        <v>0</v>
      </c>
      <c r="L77" s="272"/>
    </row>
    <row r="78" spans="1:12" s="82" customFormat="1" ht="54" customHeight="1">
      <c r="A78" s="274"/>
      <c r="B78" s="274"/>
      <c r="C78" s="274"/>
      <c r="D78" s="274"/>
      <c r="E78" s="286" t="s">
        <v>352</v>
      </c>
      <c r="F78" s="450"/>
      <c r="G78" s="193"/>
      <c r="H78" s="68">
        <f>H79</f>
        <v>16165.3</v>
      </c>
      <c r="I78" s="68">
        <f>I79</f>
        <v>5125.6000000000004</v>
      </c>
      <c r="J78" s="68">
        <f>J79</f>
        <v>5366.9</v>
      </c>
      <c r="K78" s="68">
        <f>K79</f>
        <v>5672.8</v>
      </c>
      <c r="L78" s="272"/>
    </row>
    <row r="79" spans="1:12" s="82" customFormat="1" ht="51" customHeight="1">
      <c r="A79" s="274"/>
      <c r="B79" s="274"/>
      <c r="C79" s="274"/>
      <c r="D79" s="274"/>
      <c r="E79" s="287"/>
      <c r="F79" s="450"/>
      <c r="G79" s="193" t="s">
        <v>194</v>
      </c>
      <c r="H79" s="68">
        <f>H75+H76+H77</f>
        <v>16165.3</v>
      </c>
      <c r="I79" s="68">
        <f>I75+I76+I77</f>
        <v>5125.6000000000004</v>
      </c>
      <c r="J79" s="68">
        <f>J75+J76+J77</f>
        <v>5366.9</v>
      </c>
      <c r="K79" s="68">
        <f>K75+K76+K77</f>
        <v>5672.8</v>
      </c>
      <c r="L79" s="272"/>
    </row>
    <row r="80" spans="1:12" s="82" customFormat="1" ht="177" customHeight="1">
      <c r="A80" s="154" t="s">
        <v>104</v>
      </c>
      <c r="B80" s="286" t="s">
        <v>120</v>
      </c>
      <c r="C80" s="140" t="s">
        <v>342</v>
      </c>
      <c r="D80" s="155" t="s">
        <v>28</v>
      </c>
      <c r="E80" s="190" t="s">
        <v>56</v>
      </c>
      <c r="F80" s="284" t="s">
        <v>149</v>
      </c>
      <c r="G80" s="193" t="s">
        <v>194</v>
      </c>
      <c r="H80" s="68">
        <f>I80+J80+K80</f>
        <v>28153.4</v>
      </c>
      <c r="I80" s="69">
        <f>7138.1+4925</f>
        <v>12063.1</v>
      </c>
      <c r="J80" s="69">
        <v>7786.2</v>
      </c>
      <c r="K80" s="69">
        <v>8304.1</v>
      </c>
      <c r="L80" s="272"/>
    </row>
    <row r="81" spans="1:12" s="82" customFormat="1" ht="101.25" customHeight="1">
      <c r="A81" s="153"/>
      <c r="B81" s="324"/>
      <c r="C81" s="195" t="s">
        <v>105</v>
      </c>
      <c r="D81" s="152" t="s">
        <v>28</v>
      </c>
      <c r="E81" s="140" t="s">
        <v>56</v>
      </c>
      <c r="F81" s="284"/>
      <c r="G81" s="193" t="s">
        <v>194</v>
      </c>
      <c r="H81" s="68">
        <f>I81+J81+K81</f>
        <v>2850.2</v>
      </c>
      <c r="I81" s="69">
        <f>612.4+283.2</f>
        <v>895.59999999999991</v>
      </c>
      <c r="J81" s="69">
        <v>950.2</v>
      </c>
      <c r="K81" s="69">
        <v>1004.4</v>
      </c>
      <c r="L81" s="273"/>
    </row>
    <row r="82" spans="1:12" s="82" customFormat="1" ht="75" customHeight="1">
      <c r="A82" s="317"/>
      <c r="B82" s="317"/>
      <c r="C82" s="317"/>
      <c r="D82" s="317"/>
      <c r="E82" s="286" t="s">
        <v>353</v>
      </c>
      <c r="F82" s="284"/>
      <c r="G82" s="193"/>
      <c r="H82" s="68">
        <f>H83</f>
        <v>31003.600000000002</v>
      </c>
      <c r="I82" s="68">
        <f>I83</f>
        <v>12958.7</v>
      </c>
      <c r="J82" s="68">
        <f>J83</f>
        <v>8736.4</v>
      </c>
      <c r="K82" s="68">
        <f>K83</f>
        <v>9308.5</v>
      </c>
      <c r="L82" s="378"/>
    </row>
    <row r="83" spans="1:12" s="82" customFormat="1" ht="75" customHeight="1">
      <c r="A83" s="317"/>
      <c r="B83" s="317"/>
      <c r="C83" s="317"/>
      <c r="D83" s="317"/>
      <c r="E83" s="287"/>
      <c r="F83" s="284"/>
      <c r="G83" s="193" t="s">
        <v>194</v>
      </c>
      <c r="H83" s="68">
        <f>H81+H80</f>
        <v>31003.600000000002</v>
      </c>
      <c r="I83" s="68">
        <f>I81+I80</f>
        <v>12958.7</v>
      </c>
      <c r="J83" s="68">
        <f>J81+J80</f>
        <v>8736.4</v>
      </c>
      <c r="K83" s="68">
        <f>K81+K80</f>
        <v>9308.5</v>
      </c>
      <c r="L83" s="379"/>
    </row>
    <row r="84" spans="1:12" ht="75" customHeight="1">
      <c r="A84" s="332" t="s">
        <v>48</v>
      </c>
      <c r="B84" s="333"/>
      <c r="C84" s="333"/>
      <c r="D84" s="333"/>
      <c r="E84" s="333"/>
      <c r="F84" s="333"/>
      <c r="G84" s="334"/>
      <c r="H84" s="71">
        <f>H85</f>
        <v>235355.6</v>
      </c>
      <c r="I84" s="71">
        <f>I85</f>
        <v>79485.3</v>
      </c>
      <c r="J84" s="71">
        <f>J85</f>
        <v>75756</v>
      </c>
      <c r="K84" s="71">
        <f>K85</f>
        <v>80114.3</v>
      </c>
      <c r="L84" s="452"/>
    </row>
    <row r="85" spans="1:12" s="82" customFormat="1" ht="75" customHeight="1">
      <c r="A85" s="354" t="s">
        <v>211</v>
      </c>
      <c r="B85" s="354"/>
      <c r="C85" s="354"/>
      <c r="D85" s="354"/>
      <c r="E85" s="354"/>
      <c r="F85" s="355"/>
      <c r="G85" s="156" t="s">
        <v>194</v>
      </c>
      <c r="H85" s="71">
        <f>H31+H63+H79+H83</f>
        <v>235355.6</v>
      </c>
      <c r="I85" s="157">
        <f>I31+I63+I79+I83</f>
        <v>79485.3</v>
      </c>
      <c r="J85" s="71">
        <f>J31+J63+J79+J83</f>
        <v>75756</v>
      </c>
      <c r="K85" s="71">
        <f>K31+K63+K79+K83</f>
        <v>80114.3</v>
      </c>
      <c r="L85" s="453"/>
    </row>
    <row r="86" spans="1:12" s="82" customFormat="1" ht="75" customHeight="1">
      <c r="A86" s="310" t="s">
        <v>210</v>
      </c>
      <c r="B86" s="311"/>
      <c r="C86" s="311"/>
      <c r="D86" s="311"/>
      <c r="E86" s="285" t="s">
        <v>60</v>
      </c>
      <c r="F86" s="356"/>
      <c r="G86" s="207" t="s">
        <v>69</v>
      </c>
      <c r="H86" s="71">
        <f>SUM(H87:H87)</f>
        <v>28111.9</v>
      </c>
      <c r="I86" s="71">
        <f>SUM(I87:I87)</f>
        <v>9527.3000000000011</v>
      </c>
      <c r="J86" s="71">
        <f>SUM(J87:J87)</f>
        <v>9038.7000000000007</v>
      </c>
      <c r="K86" s="71">
        <f>SUM(K87:K87)</f>
        <v>9545.9</v>
      </c>
      <c r="L86" s="453"/>
    </row>
    <row r="87" spans="1:12" ht="75" customHeight="1">
      <c r="A87" s="312"/>
      <c r="B87" s="313"/>
      <c r="C87" s="313"/>
      <c r="D87" s="313"/>
      <c r="E87" s="285"/>
      <c r="F87" s="357"/>
      <c r="G87" s="193" t="s">
        <v>194</v>
      </c>
      <c r="H87" s="158">
        <f>H66</f>
        <v>28111.9</v>
      </c>
      <c r="I87" s="158">
        <f>I66</f>
        <v>9527.3000000000011</v>
      </c>
      <c r="J87" s="158">
        <f>J66</f>
        <v>9038.7000000000007</v>
      </c>
      <c r="K87" s="158">
        <f>K66</f>
        <v>9545.9</v>
      </c>
      <c r="L87" s="453"/>
    </row>
    <row r="88" spans="1:12" ht="75" customHeight="1">
      <c r="A88" s="312"/>
      <c r="B88" s="313"/>
      <c r="C88" s="313"/>
      <c r="D88" s="313"/>
      <c r="E88" s="271" t="s">
        <v>54</v>
      </c>
      <c r="F88" s="357"/>
      <c r="G88" s="207" t="s">
        <v>69</v>
      </c>
      <c r="H88" s="71">
        <f>SUM(H89:H89)</f>
        <v>41458.800000000003</v>
      </c>
      <c r="I88" s="71">
        <f>SUM(I89:I89)</f>
        <v>13975.4</v>
      </c>
      <c r="J88" s="71">
        <f>SUM(J89:J89)</f>
        <v>13368.7</v>
      </c>
      <c r="K88" s="71">
        <f>SUM(K89:K89)</f>
        <v>14114.699999999999</v>
      </c>
      <c r="L88" s="453"/>
    </row>
    <row r="89" spans="1:12" ht="75" customHeight="1">
      <c r="A89" s="312"/>
      <c r="B89" s="313"/>
      <c r="C89" s="313"/>
      <c r="D89" s="313"/>
      <c r="E89" s="272"/>
      <c r="F89" s="357"/>
      <c r="G89" s="193" t="s">
        <v>194</v>
      </c>
      <c r="H89" s="158">
        <f>H68</f>
        <v>41458.800000000003</v>
      </c>
      <c r="I89" s="158">
        <f>I68</f>
        <v>13975.4</v>
      </c>
      <c r="J89" s="158">
        <f>J68</f>
        <v>13368.7</v>
      </c>
      <c r="K89" s="158">
        <f>K68</f>
        <v>14114.699999999999</v>
      </c>
      <c r="L89" s="453"/>
    </row>
    <row r="90" spans="1:12" ht="75" customHeight="1">
      <c r="A90" s="312"/>
      <c r="B90" s="313"/>
      <c r="C90" s="313"/>
      <c r="D90" s="313"/>
      <c r="E90" s="271" t="s">
        <v>55</v>
      </c>
      <c r="F90" s="357"/>
      <c r="G90" s="207" t="s">
        <v>69</v>
      </c>
      <c r="H90" s="71">
        <f>SUM(H91:H91)</f>
        <v>41578.1</v>
      </c>
      <c r="I90" s="71">
        <f>SUM(I91:I91)</f>
        <v>13340.2</v>
      </c>
      <c r="J90" s="71">
        <f>SUM(J91:J91)</f>
        <v>13727.7</v>
      </c>
      <c r="K90" s="71">
        <f>SUM(K91:K91)</f>
        <v>14510.2</v>
      </c>
      <c r="L90" s="453"/>
    </row>
    <row r="91" spans="1:12" ht="75" customHeight="1">
      <c r="A91" s="312"/>
      <c r="B91" s="313"/>
      <c r="C91" s="313"/>
      <c r="D91" s="313"/>
      <c r="E91" s="272"/>
      <c r="F91" s="357"/>
      <c r="G91" s="193" t="s">
        <v>194</v>
      </c>
      <c r="H91" s="158">
        <f>H70</f>
        <v>41578.1</v>
      </c>
      <c r="I91" s="158">
        <f>I70</f>
        <v>13340.2</v>
      </c>
      <c r="J91" s="158">
        <f>J70</f>
        <v>13727.7</v>
      </c>
      <c r="K91" s="158">
        <f>K70</f>
        <v>14510.2</v>
      </c>
      <c r="L91" s="453"/>
    </row>
    <row r="92" spans="1:12" ht="75" customHeight="1">
      <c r="A92" s="312"/>
      <c r="B92" s="313"/>
      <c r="C92" s="313"/>
      <c r="D92" s="313"/>
      <c r="E92" s="271" t="s">
        <v>53</v>
      </c>
      <c r="F92" s="357"/>
      <c r="G92" s="207" t="s">
        <v>69</v>
      </c>
      <c r="H92" s="71">
        <f>SUM(H93:H93)</f>
        <v>38791.199999999997</v>
      </c>
      <c r="I92" s="71">
        <f>SUM(I93:I93)</f>
        <v>12524.699999999999</v>
      </c>
      <c r="J92" s="71">
        <f>SUM(J93:J93)</f>
        <v>12767.800000000001</v>
      </c>
      <c r="K92" s="71">
        <f>SUM(K93:K93)</f>
        <v>13498.699999999999</v>
      </c>
      <c r="L92" s="453"/>
    </row>
    <row r="93" spans="1:12" ht="75" customHeight="1">
      <c r="A93" s="312"/>
      <c r="B93" s="313"/>
      <c r="C93" s="313"/>
      <c r="D93" s="313"/>
      <c r="E93" s="272"/>
      <c r="F93" s="357"/>
      <c r="G93" s="193" t="s">
        <v>194</v>
      </c>
      <c r="H93" s="158">
        <f>H72</f>
        <v>38791.199999999997</v>
      </c>
      <c r="I93" s="158">
        <f>I72</f>
        <v>12524.699999999999</v>
      </c>
      <c r="J93" s="158">
        <f>J72</f>
        <v>12767.800000000001</v>
      </c>
      <c r="K93" s="158">
        <f>K72</f>
        <v>13498.699999999999</v>
      </c>
      <c r="L93" s="453"/>
    </row>
    <row r="94" spans="1:12" ht="75" customHeight="1">
      <c r="A94" s="312"/>
      <c r="B94" s="313"/>
      <c r="C94" s="313"/>
      <c r="D94" s="313"/>
      <c r="E94" s="271" t="s">
        <v>57</v>
      </c>
      <c r="F94" s="357"/>
      <c r="G94" s="207" t="s">
        <v>69</v>
      </c>
      <c r="H94" s="71">
        <f>SUM(H95:H95)</f>
        <v>16165.3</v>
      </c>
      <c r="I94" s="71">
        <f>SUM(I95:I95)</f>
        <v>5125.6000000000004</v>
      </c>
      <c r="J94" s="71">
        <f>SUM(J95:J95)</f>
        <v>5366.9</v>
      </c>
      <c r="K94" s="71">
        <f>SUM(K95:K95)</f>
        <v>5672.8</v>
      </c>
      <c r="L94" s="453"/>
    </row>
    <row r="95" spans="1:12" ht="75" customHeight="1">
      <c r="A95" s="312"/>
      <c r="B95" s="313"/>
      <c r="C95" s="313"/>
      <c r="D95" s="313"/>
      <c r="E95" s="272"/>
      <c r="F95" s="357"/>
      <c r="G95" s="193" t="s">
        <v>194</v>
      </c>
      <c r="H95" s="158">
        <f>H79</f>
        <v>16165.3</v>
      </c>
      <c r="I95" s="158">
        <f>I79</f>
        <v>5125.6000000000004</v>
      </c>
      <c r="J95" s="158">
        <f>J79</f>
        <v>5366.9</v>
      </c>
      <c r="K95" s="158">
        <f>K79</f>
        <v>5672.8</v>
      </c>
      <c r="L95" s="453"/>
    </row>
    <row r="96" spans="1:12" ht="75" customHeight="1">
      <c r="A96" s="312"/>
      <c r="B96" s="313"/>
      <c r="C96" s="313"/>
      <c r="D96" s="313"/>
      <c r="E96" s="271" t="s">
        <v>56</v>
      </c>
      <c r="F96" s="357"/>
      <c r="G96" s="207" t="s">
        <v>69</v>
      </c>
      <c r="H96" s="71">
        <f>SUM(H97:H97)</f>
        <v>31003.600000000002</v>
      </c>
      <c r="I96" s="71">
        <f>SUM(I97:I97)</f>
        <v>12958.7</v>
      </c>
      <c r="J96" s="71">
        <f>SUM(J97:J97)</f>
        <v>8736.4</v>
      </c>
      <c r="K96" s="71">
        <f>SUM(K97:K97)</f>
        <v>9308.5</v>
      </c>
      <c r="L96" s="453"/>
    </row>
    <row r="97" spans="1:12" ht="75" customHeight="1">
      <c r="A97" s="312"/>
      <c r="B97" s="313"/>
      <c r="C97" s="313"/>
      <c r="D97" s="313"/>
      <c r="E97" s="272"/>
      <c r="F97" s="357"/>
      <c r="G97" s="193" t="s">
        <v>194</v>
      </c>
      <c r="H97" s="158">
        <f>H83</f>
        <v>31003.600000000002</v>
      </c>
      <c r="I97" s="158">
        <f>I83</f>
        <v>12958.7</v>
      </c>
      <c r="J97" s="158">
        <f>J83</f>
        <v>8736.4</v>
      </c>
      <c r="K97" s="158">
        <f>K83</f>
        <v>9308.5</v>
      </c>
      <c r="L97" s="453"/>
    </row>
    <row r="98" spans="1:12" ht="75" customHeight="1">
      <c r="A98" s="312"/>
      <c r="B98" s="313"/>
      <c r="C98" s="313"/>
      <c r="D98" s="313"/>
      <c r="E98" s="285" t="s">
        <v>58</v>
      </c>
      <c r="F98" s="357"/>
      <c r="G98" s="207" t="s">
        <v>69</v>
      </c>
      <c r="H98" s="71">
        <f>H99</f>
        <v>10763.699999999999</v>
      </c>
      <c r="I98" s="71">
        <f>I99</f>
        <v>3380</v>
      </c>
      <c r="J98" s="71">
        <f>J99</f>
        <v>3590.3</v>
      </c>
      <c r="K98" s="71">
        <f>K99</f>
        <v>3793.3999999999996</v>
      </c>
      <c r="L98" s="453"/>
    </row>
    <row r="99" spans="1:12" ht="75" customHeight="1">
      <c r="A99" s="312"/>
      <c r="B99" s="313"/>
      <c r="C99" s="313"/>
      <c r="D99" s="313"/>
      <c r="E99" s="285"/>
      <c r="F99" s="357"/>
      <c r="G99" s="193" t="s">
        <v>194</v>
      </c>
      <c r="H99" s="158">
        <f>H32</f>
        <v>10763.699999999999</v>
      </c>
      <c r="I99" s="158">
        <f>I32</f>
        <v>3380</v>
      </c>
      <c r="J99" s="158">
        <f>J32</f>
        <v>3590.3</v>
      </c>
      <c r="K99" s="158">
        <f>K32</f>
        <v>3793.3999999999996</v>
      </c>
      <c r="L99" s="453"/>
    </row>
    <row r="100" spans="1:12" ht="75" customHeight="1">
      <c r="A100" s="312"/>
      <c r="B100" s="313"/>
      <c r="C100" s="313"/>
      <c r="D100" s="313"/>
      <c r="E100" s="271" t="s">
        <v>59</v>
      </c>
      <c r="F100" s="357"/>
      <c r="G100" s="207" t="s">
        <v>69</v>
      </c>
      <c r="H100" s="71">
        <f>H101</f>
        <v>13080.500000000002</v>
      </c>
      <c r="I100" s="71">
        <f>I101</f>
        <v>4127.8</v>
      </c>
      <c r="J100" s="71">
        <f>J101</f>
        <v>4357.8</v>
      </c>
      <c r="K100" s="71">
        <f>K101</f>
        <v>4594.8999999999996</v>
      </c>
      <c r="L100" s="453"/>
    </row>
    <row r="101" spans="1:12" ht="63.75" customHeight="1">
      <c r="A101" s="312"/>
      <c r="B101" s="313"/>
      <c r="C101" s="313"/>
      <c r="D101" s="313"/>
      <c r="E101" s="273"/>
      <c r="F101" s="357"/>
      <c r="G101" s="193" t="s">
        <v>194</v>
      </c>
      <c r="H101" s="158">
        <f>H33</f>
        <v>13080.500000000002</v>
      </c>
      <c r="I101" s="158">
        <f>I33</f>
        <v>4127.8</v>
      </c>
      <c r="J101" s="158">
        <f>J33</f>
        <v>4357.8</v>
      </c>
      <c r="K101" s="158">
        <f>K33</f>
        <v>4594.8999999999996</v>
      </c>
      <c r="L101" s="453"/>
    </row>
    <row r="102" spans="1:12" ht="66" customHeight="1">
      <c r="A102" s="312"/>
      <c r="B102" s="313"/>
      <c r="C102" s="313"/>
      <c r="D102" s="313"/>
      <c r="E102" s="271" t="s">
        <v>169</v>
      </c>
      <c r="F102" s="357"/>
      <c r="G102" s="207" t="s">
        <v>69</v>
      </c>
      <c r="H102" s="71">
        <f>H103</f>
        <v>14402.499999999998</v>
      </c>
      <c r="I102" s="71">
        <f>I103</f>
        <v>4525.5999999999995</v>
      </c>
      <c r="J102" s="71">
        <f>J103</f>
        <v>4801.7</v>
      </c>
      <c r="K102" s="71">
        <f>K103</f>
        <v>5075.2</v>
      </c>
      <c r="L102" s="227"/>
    </row>
    <row r="103" spans="1:12" ht="47.25" customHeight="1">
      <c r="A103" s="314"/>
      <c r="B103" s="315"/>
      <c r="C103" s="315"/>
      <c r="D103" s="315"/>
      <c r="E103" s="273"/>
      <c r="F103" s="358"/>
      <c r="G103" s="193" t="s">
        <v>194</v>
      </c>
      <c r="H103" s="158">
        <f>H74</f>
        <v>14402.499999999998</v>
      </c>
      <c r="I103" s="158">
        <f>I74</f>
        <v>4525.5999999999995</v>
      </c>
      <c r="J103" s="158">
        <f>J74</f>
        <v>4801.7</v>
      </c>
      <c r="K103" s="158">
        <f>K74</f>
        <v>5075.2</v>
      </c>
      <c r="L103" s="159"/>
    </row>
    <row r="104" spans="1:12" ht="48" customHeight="1">
      <c r="A104" s="332" t="s">
        <v>94</v>
      </c>
      <c r="B104" s="333"/>
      <c r="C104" s="333"/>
      <c r="D104" s="333"/>
      <c r="E104" s="333"/>
      <c r="F104" s="333"/>
      <c r="G104" s="333"/>
      <c r="H104" s="333"/>
      <c r="I104" s="333"/>
      <c r="J104" s="333"/>
      <c r="K104" s="333"/>
      <c r="L104" s="334"/>
    </row>
    <row r="105" spans="1:12" ht="56.25" customHeight="1">
      <c r="A105" s="362" t="s">
        <v>100</v>
      </c>
      <c r="B105" s="295" t="s">
        <v>95</v>
      </c>
      <c r="C105" s="271" t="s">
        <v>258</v>
      </c>
      <c r="D105" s="332" t="s">
        <v>354</v>
      </c>
      <c r="E105" s="333"/>
      <c r="F105" s="333"/>
      <c r="G105" s="334"/>
      <c r="H105" s="71">
        <f>SUM(H106:H108)</f>
        <v>41336.700000000004</v>
      </c>
      <c r="I105" s="71">
        <f>SUM(I106:I108)</f>
        <v>13142.2</v>
      </c>
      <c r="J105" s="71">
        <f>SUM(J106:J108)</f>
        <v>13754.9</v>
      </c>
      <c r="K105" s="71">
        <f>SUM(K106:K108)</f>
        <v>14439.6</v>
      </c>
      <c r="L105" s="276" t="s">
        <v>184</v>
      </c>
    </row>
    <row r="106" spans="1:12" ht="76.5" customHeight="1">
      <c r="A106" s="363"/>
      <c r="B106" s="295"/>
      <c r="C106" s="272"/>
      <c r="D106" s="22" t="s">
        <v>30</v>
      </c>
      <c r="E106" s="160" t="s">
        <v>58</v>
      </c>
      <c r="F106" s="359" t="s">
        <v>149</v>
      </c>
      <c r="G106" s="359" t="s">
        <v>194</v>
      </c>
      <c r="H106" s="68">
        <f>I106+J106+K106</f>
        <v>18656.900000000001</v>
      </c>
      <c r="I106" s="69">
        <v>5947</v>
      </c>
      <c r="J106" s="69">
        <v>6202.4</v>
      </c>
      <c r="K106" s="69">
        <v>6507.5</v>
      </c>
      <c r="L106" s="277"/>
    </row>
    <row r="107" spans="1:12" ht="69.75" customHeight="1">
      <c r="A107" s="363"/>
      <c r="B107" s="295"/>
      <c r="C107" s="272"/>
      <c r="D107" s="22" t="s">
        <v>30</v>
      </c>
      <c r="E107" s="160" t="s">
        <v>59</v>
      </c>
      <c r="F107" s="360"/>
      <c r="G107" s="360"/>
      <c r="H107" s="68">
        <f>I107+J107+K107</f>
        <v>22349.800000000003</v>
      </c>
      <c r="I107" s="69">
        <v>7115.2</v>
      </c>
      <c r="J107" s="69">
        <v>7432.5</v>
      </c>
      <c r="K107" s="69">
        <v>7802.1</v>
      </c>
      <c r="L107" s="277"/>
    </row>
    <row r="108" spans="1:12" ht="64.5" customHeight="1">
      <c r="A108" s="363"/>
      <c r="B108" s="295"/>
      <c r="C108" s="273"/>
      <c r="D108" s="22" t="s">
        <v>30</v>
      </c>
      <c r="E108" s="160" t="s">
        <v>169</v>
      </c>
      <c r="F108" s="361"/>
      <c r="G108" s="361"/>
      <c r="H108" s="68">
        <f>I108+J108+K108</f>
        <v>330</v>
      </c>
      <c r="I108" s="69">
        <v>80</v>
      </c>
      <c r="J108" s="69">
        <v>120</v>
      </c>
      <c r="K108" s="69">
        <v>130</v>
      </c>
      <c r="L108" s="278"/>
    </row>
    <row r="109" spans="1:12" s="82" customFormat="1" ht="75" customHeight="1">
      <c r="A109" s="363"/>
      <c r="B109" s="295"/>
      <c r="C109" s="296" t="s">
        <v>260</v>
      </c>
      <c r="D109" s="451" t="s">
        <v>355</v>
      </c>
      <c r="E109" s="451"/>
      <c r="F109" s="451"/>
      <c r="G109" s="451"/>
      <c r="H109" s="68">
        <f>H110+H111+H112</f>
        <v>4738</v>
      </c>
      <c r="I109" s="68">
        <f>I110+I111+I112</f>
        <v>1500</v>
      </c>
      <c r="J109" s="68">
        <f>J110+J111+J112</f>
        <v>1579.5</v>
      </c>
      <c r="K109" s="68">
        <f>K110+K111+K112</f>
        <v>1658.5</v>
      </c>
      <c r="L109" s="271" t="s">
        <v>42</v>
      </c>
    </row>
    <row r="110" spans="1:12" ht="75" customHeight="1">
      <c r="A110" s="363"/>
      <c r="B110" s="295"/>
      <c r="C110" s="298"/>
      <c r="D110" s="22" t="s">
        <v>30</v>
      </c>
      <c r="E110" s="195" t="s">
        <v>58</v>
      </c>
      <c r="F110" s="288" t="s">
        <v>149</v>
      </c>
      <c r="G110" s="288" t="s">
        <v>194</v>
      </c>
      <c r="H110" s="68">
        <f>I110+J110+K110</f>
        <v>2640.5</v>
      </c>
      <c r="I110" s="69">
        <v>835</v>
      </c>
      <c r="J110" s="69">
        <v>879.3</v>
      </c>
      <c r="K110" s="69">
        <v>926.2</v>
      </c>
      <c r="L110" s="272"/>
    </row>
    <row r="111" spans="1:12" ht="87.75" customHeight="1">
      <c r="A111" s="363"/>
      <c r="B111" s="295"/>
      <c r="C111" s="298"/>
      <c r="D111" s="22" t="s">
        <v>30</v>
      </c>
      <c r="E111" s="93" t="s">
        <v>59</v>
      </c>
      <c r="F111" s="289"/>
      <c r="G111" s="289"/>
      <c r="H111" s="68">
        <f>I111+J111+K111</f>
        <v>1971.2</v>
      </c>
      <c r="I111" s="69">
        <v>625</v>
      </c>
      <c r="J111" s="69">
        <v>658.2</v>
      </c>
      <c r="K111" s="69">
        <v>688</v>
      </c>
      <c r="L111" s="272"/>
    </row>
    <row r="112" spans="1:12" ht="87.75" customHeight="1">
      <c r="A112" s="363"/>
      <c r="B112" s="295"/>
      <c r="C112" s="300"/>
      <c r="D112" s="22" t="s">
        <v>30</v>
      </c>
      <c r="E112" s="195" t="s">
        <v>169</v>
      </c>
      <c r="F112" s="290"/>
      <c r="G112" s="290"/>
      <c r="H112" s="68">
        <f>I112+J112+K112</f>
        <v>126.3</v>
      </c>
      <c r="I112" s="69">
        <v>40</v>
      </c>
      <c r="J112" s="69">
        <v>42</v>
      </c>
      <c r="K112" s="69">
        <v>44.3</v>
      </c>
      <c r="L112" s="273"/>
    </row>
    <row r="113" spans="1:12" ht="75" customHeight="1">
      <c r="A113" s="363"/>
      <c r="B113" s="295"/>
      <c r="C113" s="364" t="s">
        <v>191</v>
      </c>
      <c r="D113" s="451" t="s">
        <v>356</v>
      </c>
      <c r="E113" s="451"/>
      <c r="F113" s="451"/>
      <c r="G113" s="451"/>
      <c r="H113" s="68">
        <f>H114+H115</f>
        <v>8386.2000000000007</v>
      </c>
      <c r="I113" s="68">
        <f>I114+I115</f>
        <v>2655</v>
      </c>
      <c r="J113" s="68">
        <f>J114+J115</f>
        <v>2795.7</v>
      </c>
      <c r="K113" s="68">
        <f>K114+K115</f>
        <v>2935.5</v>
      </c>
      <c r="L113" s="364" t="s">
        <v>186</v>
      </c>
    </row>
    <row r="114" spans="1:12" ht="52.5" customHeight="1">
      <c r="A114" s="363"/>
      <c r="B114" s="295"/>
      <c r="C114" s="364"/>
      <c r="D114" s="316" t="s">
        <v>30</v>
      </c>
      <c r="E114" s="195" t="s">
        <v>54</v>
      </c>
      <c r="F114" s="284" t="s">
        <v>149</v>
      </c>
      <c r="G114" s="282" t="s">
        <v>194</v>
      </c>
      <c r="H114" s="68">
        <f>I114+J114+K114</f>
        <v>2448.5</v>
      </c>
      <c r="I114" s="69">
        <v>775</v>
      </c>
      <c r="J114" s="69">
        <v>816.3</v>
      </c>
      <c r="K114" s="69">
        <v>857.2</v>
      </c>
      <c r="L114" s="364"/>
    </row>
    <row r="115" spans="1:12" ht="75" customHeight="1">
      <c r="A115" s="363"/>
      <c r="B115" s="295"/>
      <c r="C115" s="364"/>
      <c r="D115" s="316"/>
      <c r="E115" s="195" t="s">
        <v>56</v>
      </c>
      <c r="F115" s="284"/>
      <c r="G115" s="282"/>
      <c r="H115" s="68">
        <f>I115+J115+K115</f>
        <v>5937.7000000000007</v>
      </c>
      <c r="I115" s="69">
        <v>1880</v>
      </c>
      <c r="J115" s="69">
        <v>1979.4</v>
      </c>
      <c r="K115" s="69">
        <v>2078.3000000000002</v>
      </c>
      <c r="L115" s="364"/>
    </row>
    <row r="116" spans="1:12" ht="155.25" customHeight="1">
      <c r="A116" s="363"/>
      <c r="B116" s="295"/>
      <c r="C116" s="195" t="s">
        <v>203</v>
      </c>
      <c r="D116" s="161" t="s">
        <v>26</v>
      </c>
      <c r="E116" s="195" t="s">
        <v>55</v>
      </c>
      <c r="F116" s="202" t="s">
        <v>149</v>
      </c>
      <c r="G116" s="198" t="s">
        <v>194</v>
      </c>
      <c r="H116" s="68">
        <f>I116+J116+K116</f>
        <v>947.59999999999991</v>
      </c>
      <c r="I116" s="69">
        <v>300</v>
      </c>
      <c r="J116" s="69">
        <v>315.89999999999998</v>
      </c>
      <c r="K116" s="69">
        <v>331.7</v>
      </c>
      <c r="L116" s="142" t="s">
        <v>204</v>
      </c>
    </row>
    <row r="117" spans="1:12" ht="75" customHeight="1">
      <c r="A117" s="398" t="s">
        <v>49</v>
      </c>
      <c r="B117" s="399"/>
      <c r="C117" s="399"/>
      <c r="D117" s="399"/>
      <c r="E117" s="399"/>
      <c r="F117" s="400"/>
      <c r="G117" s="207"/>
      <c r="H117" s="68">
        <f>H105+H109+H113+H116</f>
        <v>55408.500000000007</v>
      </c>
      <c r="I117" s="68">
        <f>I105+I109+I113+I116</f>
        <v>17597.2</v>
      </c>
      <c r="J117" s="68">
        <f>J105+J109+J113+J116</f>
        <v>18446</v>
      </c>
      <c r="K117" s="68">
        <f>K105+K109+K113+K116</f>
        <v>19365.3</v>
      </c>
      <c r="L117" s="378"/>
    </row>
    <row r="118" spans="1:12" s="82" customFormat="1" ht="75" customHeight="1">
      <c r="A118" s="354" t="s">
        <v>211</v>
      </c>
      <c r="B118" s="354"/>
      <c r="C118" s="74"/>
      <c r="D118" s="162"/>
      <c r="E118" s="163"/>
      <c r="F118" s="164"/>
      <c r="G118" s="211" t="s">
        <v>194</v>
      </c>
      <c r="H118" s="71">
        <f>H106+H107+H110+H111+H114+H115+H116+H112+H108</f>
        <v>55408.500000000007</v>
      </c>
      <c r="I118" s="71">
        <f>I106+I107+I110+I111+I114+I115+I116+I112+I108</f>
        <v>17597.2</v>
      </c>
      <c r="J118" s="71">
        <f>J106+J107+J110+J111+J114+J115+J116+J112+J108</f>
        <v>18446</v>
      </c>
      <c r="K118" s="71">
        <f>K106+K107+K110+K111+K114+K115+K116+K112+K108</f>
        <v>19365.3</v>
      </c>
      <c r="L118" s="379"/>
    </row>
    <row r="119" spans="1:12" ht="75" customHeight="1">
      <c r="A119" s="318" t="s">
        <v>210</v>
      </c>
      <c r="B119" s="318"/>
      <c r="C119" s="318"/>
      <c r="D119" s="318"/>
      <c r="E119" s="285" t="s">
        <v>54</v>
      </c>
      <c r="F119" s="285"/>
      <c r="G119" s="367" t="s">
        <v>194</v>
      </c>
      <c r="H119" s="71">
        <f>H114</f>
        <v>2448.5</v>
      </c>
      <c r="I119" s="71">
        <f>I114</f>
        <v>775</v>
      </c>
      <c r="J119" s="71">
        <f>J114</f>
        <v>816.3</v>
      </c>
      <c r="K119" s="71">
        <f>K114</f>
        <v>857.2</v>
      </c>
      <c r="L119" s="379"/>
    </row>
    <row r="120" spans="1:12" ht="75" customHeight="1">
      <c r="A120" s="318"/>
      <c r="B120" s="318"/>
      <c r="C120" s="318"/>
      <c r="D120" s="318"/>
      <c r="E120" s="285" t="s">
        <v>55</v>
      </c>
      <c r="F120" s="285"/>
      <c r="G120" s="368"/>
      <c r="H120" s="71">
        <f>H116</f>
        <v>947.59999999999991</v>
      </c>
      <c r="I120" s="71">
        <f>I116</f>
        <v>300</v>
      </c>
      <c r="J120" s="71">
        <f>J116</f>
        <v>315.89999999999998</v>
      </c>
      <c r="K120" s="71">
        <f>K116</f>
        <v>331.7</v>
      </c>
      <c r="L120" s="379"/>
    </row>
    <row r="121" spans="1:12" ht="75" customHeight="1">
      <c r="A121" s="318"/>
      <c r="B121" s="318"/>
      <c r="C121" s="318"/>
      <c r="D121" s="318"/>
      <c r="E121" s="370" t="s">
        <v>56</v>
      </c>
      <c r="F121" s="371"/>
      <c r="G121" s="368"/>
      <c r="H121" s="71">
        <f>H115</f>
        <v>5937.7000000000007</v>
      </c>
      <c r="I121" s="71">
        <f>I115</f>
        <v>1880</v>
      </c>
      <c r="J121" s="71">
        <f>J115</f>
        <v>1979.4</v>
      </c>
      <c r="K121" s="71">
        <f>K115</f>
        <v>2078.3000000000002</v>
      </c>
      <c r="L121" s="379"/>
    </row>
    <row r="122" spans="1:12" ht="75" customHeight="1">
      <c r="A122" s="318"/>
      <c r="B122" s="318"/>
      <c r="C122" s="318"/>
      <c r="D122" s="318"/>
      <c r="E122" s="285" t="s">
        <v>58</v>
      </c>
      <c r="F122" s="285"/>
      <c r="G122" s="368"/>
      <c r="H122" s="71">
        <f t="shared" ref="H122:K123" si="7">H106+H110</f>
        <v>21297.4</v>
      </c>
      <c r="I122" s="71">
        <f t="shared" si="7"/>
        <v>6782</v>
      </c>
      <c r="J122" s="71">
        <f t="shared" si="7"/>
        <v>7081.7</v>
      </c>
      <c r="K122" s="71">
        <f t="shared" si="7"/>
        <v>7433.7</v>
      </c>
      <c r="L122" s="379"/>
    </row>
    <row r="123" spans="1:12" ht="75" customHeight="1">
      <c r="A123" s="318"/>
      <c r="B123" s="318"/>
      <c r="C123" s="318"/>
      <c r="D123" s="318"/>
      <c r="E123" s="285" t="s">
        <v>59</v>
      </c>
      <c r="F123" s="285"/>
      <c r="G123" s="368"/>
      <c r="H123" s="71">
        <f t="shared" si="7"/>
        <v>24321.000000000004</v>
      </c>
      <c r="I123" s="71">
        <f t="shared" si="7"/>
        <v>7740.2</v>
      </c>
      <c r="J123" s="71">
        <f t="shared" si="7"/>
        <v>8090.7</v>
      </c>
      <c r="K123" s="71">
        <f t="shared" si="7"/>
        <v>8490.1</v>
      </c>
      <c r="L123" s="379"/>
    </row>
    <row r="124" spans="1:12" ht="75" customHeight="1">
      <c r="A124" s="318"/>
      <c r="B124" s="318"/>
      <c r="C124" s="318"/>
      <c r="D124" s="318"/>
      <c r="E124" s="370" t="s">
        <v>169</v>
      </c>
      <c r="F124" s="371"/>
      <c r="G124" s="369"/>
      <c r="H124" s="71">
        <f>H112+H108</f>
        <v>456.3</v>
      </c>
      <c r="I124" s="71">
        <f>I112+I108</f>
        <v>120</v>
      </c>
      <c r="J124" s="71">
        <f>J112+J108</f>
        <v>162</v>
      </c>
      <c r="K124" s="71">
        <f>K112+K108</f>
        <v>174.3</v>
      </c>
      <c r="L124" s="379"/>
    </row>
    <row r="125" spans="1:12" ht="75" customHeight="1">
      <c r="A125" s="375" t="s">
        <v>143</v>
      </c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7"/>
    </row>
    <row r="126" spans="1:12" ht="309" customHeight="1">
      <c r="A126" s="154" t="s">
        <v>106</v>
      </c>
      <c r="B126" s="165" t="s">
        <v>96</v>
      </c>
      <c r="C126" s="166" t="s">
        <v>190</v>
      </c>
      <c r="D126" s="138" t="s">
        <v>29</v>
      </c>
      <c r="E126" s="199" t="s">
        <v>151</v>
      </c>
      <c r="F126" s="167"/>
      <c r="G126" s="193" t="s">
        <v>168</v>
      </c>
      <c r="H126" s="144">
        <f>I126+J126+K126</f>
        <v>11255.199999999999</v>
      </c>
      <c r="I126" s="69">
        <f>1509.8+1937.7+71</f>
        <v>3518.5</v>
      </c>
      <c r="J126" s="69">
        <f>1467.2+2108.5+167.6</f>
        <v>3743.2999999999997</v>
      </c>
      <c r="K126" s="69">
        <f>1566.4+2249.8+177.2</f>
        <v>3993.4</v>
      </c>
      <c r="L126" s="140" t="s">
        <v>272</v>
      </c>
    </row>
    <row r="127" spans="1:12" ht="60" customHeight="1">
      <c r="A127" s="398" t="s">
        <v>51</v>
      </c>
      <c r="B127" s="399"/>
      <c r="C127" s="399"/>
      <c r="D127" s="399"/>
      <c r="E127" s="399"/>
      <c r="F127" s="400"/>
      <c r="G127" s="168"/>
      <c r="H127" s="68">
        <f>H126</f>
        <v>11255.199999999999</v>
      </c>
      <c r="I127" s="68">
        <f>I126</f>
        <v>3518.5</v>
      </c>
      <c r="J127" s="68">
        <f>J126</f>
        <v>3743.2999999999997</v>
      </c>
      <c r="K127" s="68">
        <f>K126</f>
        <v>3993.4</v>
      </c>
      <c r="L127" s="205"/>
    </row>
    <row r="128" spans="1:12" ht="75" customHeight="1">
      <c r="A128" s="332" t="s">
        <v>107</v>
      </c>
      <c r="B128" s="333"/>
      <c r="C128" s="333"/>
      <c r="D128" s="333"/>
      <c r="E128" s="333"/>
      <c r="F128" s="333"/>
      <c r="G128" s="333"/>
      <c r="H128" s="333"/>
      <c r="I128" s="333"/>
      <c r="J128" s="333"/>
      <c r="K128" s="333"/>
      <c r="L128" s="334"/>
    </row>
    <row r="129" spans="1:12" ht="69" customHeight="1">
      <c r="A129" s="392" t="s">
        <v>108</v>
      </c>
      <c r="B129" s="395" t="s">
        <v>109</v>
      </c>
      <c r="C129" s="325" t="s">
        <v>325</v>
      </c>
      <c r="D129" s="332" t="s">
        <v>136</v>
      </c>
      <c r="E129" s="333"/>
      <c r="F129" s="333"/>
      <c r="G129" s="334"/>
      <c r="H129" s="71">
        <f>H130+H132+H133+H134+H135+H136+H137+H138+H139+H131</f>
        <v>240090</v>
      </c>
      <c r="I129" s="71">
        <f>I130+I132+I133+I134+I135+I136+I137+I138+I139+I131</f>
        <v>80030</v>
      </c>
      <c r="J129" s="71">
        <f>J130+J132+J133+J134+J135+J136+J137+J138+J139+J131</f>
        <v>80030</v>
      </c>
      <c r="K129" s="71">
        <f>K130+K132+K133+K134+K135+K136+K137+K138+K139+K131</f>
        <v>80030</v>
      </c>
      <c r="L129" s="328" t="s">
        <v>273</v>
      </c>
    </row>
    <row r="130" spans="1:12" ht="75" customHeight="1">
      <c r="A130" s="393"/>
      <c r="B130" s="396"/>
      <c r="C130" s="326"/>
      <c r="D130" s="203" t="s">
        <v>30</v>
      </c>
      <c r="E130" s="195" t="s">
        <v>151</v>
      </c>
      <c r="F130" s="284" t="s">
        <v>150</v>
      </c>
      <c r="G130" s="288" t="s">
        <v>197</v>
      </c>
      <c r="H130" s="144">
        <f>I130+J130+K130</f>
        <v>240090</v>
      </c>
      <c r="I130" s="69">
        <v>80030</v>
      </c>
      <c r="J130" s="69">
        <v>80030</v>
      </c>
      <c r="K130" s="69">
        <v>80030</v>
      </c>
      <c r="L130" s="329"/>
    </row>
    <row r="131" spans="1:12" ht="75" hidden="1" customHeight="1">
      <c r="A131" s="393"/>
      <c r="B131" s="396"/>
      <c r="C131" s="326"/>
      <c r="D131" s="138" t="s">
        <v>29</v>
      </c>
      <c r="E131" s="195" t="s">
        <v>151</v>
      </c>
      <c r="F131" s="284"/>
      <c r="G131" s="289"/>
      <c r="H131" s="144">
        <f>I131+J131+K131</f>
        <v>0</v>
      </c>
      <c r="I131" s="69"/>
      <c r="J131" s="69"/>
      <c r="K131" s="69"/>
      <c r="L131" s="329"/>
    </row>
    <row r="132" spans="1:12" ht="75" hidden="1" customHeight="1">
      <c r="A132" s="393"/>
      <c r="B132" s="396"/>
      <c r="C132" s="326"/>
      <c r="D132" s="203" t="s">
        <v>26</v>
      </c>
      <c r="E132" s="195" t="s">
        <v>60</v>
      </c>
      <c r="F132" s="284"/>
      <c r="G132" s="289"/>
      <c r="H132" s="68">
        <f t="shared" ref="H132:H150" si="8">I132+J132+K132</f>
        <v>0</v>
      </c>
      <c r="I132" s="69"/>
      <c r="J132" s="69"/>
      <c r="K132" s="69"/>
      <c r="L132" s="329"/>
    </row>
    <row r="133" spans="1:12" ht="75" hidden="1" customHeight="1">
      <c r="A133" s="393"/>
      <c r="B133" s="396"/>
      <c r="C133" s="326"/>
      <c r="D133" s="169" t="s">
        <v>26</v>
      </c>
      <c r="E133" s="195" t="s">
        <v>54</v>
      </c>
      <c r="F133" s="284"/>
      <c r="G133" s="289"/>
      <c r="H133" s="68">
        <f t="shared" si="8"/>
        <v>0</v>
      </c>
      <c r="I133" s="69"/>
      <c r="J133" s="69"/>
      <c r="K133" s="69"/>
      <c r="L133" s="329"/>
    </row>
    <row r="134" spans="1:12" ht="75" hidden="1" customHeight="1">
      <c r="A134" s="393"/>
      <c r="B134" s="396"/>
      <c r="C134" s="326"/>
      <c r="D134" s="169" t="s">
        <v>26</v>
      </c>
      <c r="E134" s="195" t="s">
        <v>55</v>
      </c>
      <c r="F134" s="284"/>
      <c r="G134" s="289"/>
      <c r="H134" s="68">
        <f t="shared" si="8"/>
        <v>0</v>
      </c>
      <c r="I134" s="69"/>
      <c r="J134" s="69"/>
      <c r="K134" s="69"/>
      <c r="L134" s="329"/>
    </row>
    <row r="135" spans="1:12" ht="75" hidden="1" customHeight="1">
      <c r="A135" s="393"/>
      <c r="B135" s="396"/>
      <c r="C135" s="326"/>
      <c r="D135" s="169" t="s">
        <v>26</v>
      </c>
      <c r="E135" s="195" t="s">
        <v>53</v>
      </c>
      <c r="F135" s="284"/>
      <c r="G135" s="289"/>
      <c r="H135" s="68">
        <f t="shared" si="8"/>
        <v>0</v>
      </c>
      <c r="I135" s="69"/>
      <c r="J135" s="69"/>
      <c r="K135" s="69"/>
      <c r="L135" s="329"/>
    </row>
    <row r="136" spans="1:12" ht="75" hidden="1" customHeight="1">
      <c r="A136" s="393"/>
      <c r="B136" s="396"/>
      <c r="C136" s="326"/>
      <c r="D136" s="22" t="s">
        <v>26</v>
      </c>
      <c r="E136" s="216" t="s">
        <v>169</v>
      </c>
      <c r="F136" s="284"/>
      <c r="G136" s="289"/>
      <c r="H136" s="68">
        <f t="shared" si="8"/>
        <v>0</v>
      </c>
      <c r="I136" s="69"/>
      <c r="J136" s="69"/>
      <c r="K136" s="69"/>
      <c r="L136" s="329"/>
    </row>
    <row r="137" spans="1:12" ht="59.25" hidden="1" customHeight="1">
      <c r="A137" s="393"/>
      <c r="B137" s="396"/>
      <c r="C137" s="326"/>
      <c r="D137" s="169" t="s">
        <v>27</v>
      </c>
      <c r="E137" s="190" t="s">
        <v>57</v>
      </c>
      <c r="F137" s="284"/>
      <c r="G137" s="289"/>
      <c r="H137" s="68">
        <f t="shared" si="8"/>
        <v>0</v>
      </c>
      <c r="I137" s="69"/>
      <c r="J137" s="69"/>
      <c r="K137" s="69"/>
      <c r="L137" s="329"/>
    </row>
    <row r="138" spans="1:12" ht="75" hidden="1" customHeight="1">
      <c r="A138" s="393"/>
      <c r="B138" s="396"/>
      <c r="C138" s="326"/>
      <c r="D138" s="203" t="s">
        <v>28</v>
      </c>
      <c r="E138" s="190" t="s">
        <v>56</v>
      </c>
      <c r="F138" s="284"/>
      <c r="G138" s="289"/>
      <c r="H138" s="68">
        <f t="shared" si="8"/>
        <v>0</v>
      </c>
      <c r="I138" s="145"/>
      <c r="J138" s="69"/>
      <c r="K138" s="69"/>
      <c r="L138" s="329"/>
    </row>
    <row r="139" spans="1:12" ht="82.5" hidden="1" customHeight="1">
      <c r="A139" s="393"/>
      <c r="B139" s="396"/>
      <c r="C139" s="206"/>
      <c r="D139" s="138" t="s">
        <v>33</v>
      </c>
      <c r="E139" s="195" t="s">
        <v>58</v>
      </c>
      <c r="F139" s="284"/>
      <c r="G139" s="290"/>
      <c r="H139" s="68">
        <f>I139+J139+K139</f>
        <v>0</v>
      </c>
      <c r="I139" s="145"/>
      <c r="J139" s="69"/>
      <c r="K139" s="69"/>
      <c r="L139" s="329"/>
    </row>
    <row r="140" spans="1:12" ht="75" customHeight="1">
      <c r="A140" s="393"/>
      <c r="B140" s="396"/>
      <c r="C140" s="325" t="s">
        <v>110</v>
      </c>
      <c r="D140" s="332" t="s">
        <v>137</v>
      </c>
      <c r="E140" s="333"/>
      <c r="F140" s="333"/>
      <c r="G140" s="334"/>
      <c r="H140" s="68">
        <f>H142+H143+H144+H145+H146+H147+H148+H149+H150+H141</f>
        <v>84900</v>
      </c>
      <c r="I140" s="68">
        <f>I142+I143+I144+I145+I146+I147+I148+I149+I150+I141</f>
        <v>28300</v>
      </c>
      <c r="J140" s="68">
        <f>J142+J143+J144+J145+J146+J147+J148+J149+J150+J141</f>
        <v>28300</v>
      </c>
      <c r="K140" s="68">
        <f>K142+K143+K144+K145+K146+K147+K148+K149+K150+K141</f>
        <v>28300</v>
      </c>
      <c r="L140" s="329"/>
    </row>
    <row r="141" spans="1:12" ht="75" customHeight="1">
      <c r="A141" s="393"/>
      <c r="B141" s="396"/>
      <c r="C141" s="326"/>
      <c r="D141" s="138" t="s">
        <v>29</v>
      </c>
      <c r="E141" s="195" t="s">
        <v>151</v>
      </c>
      <c r="F141" s="308" t="s">
        <v>150</v>
      </c>
      <c r="G141" s="288" t="s">
        <v>197</v>
      </c>
      <c r="H141" s="68">
        <f>I141+J141+K141</f>
        <v>900</v>
      </c>
      <c r="I141" s="69">
        <v>300</v>
      </c>
      <c r="J141" s="69">
        <v>300</v>
      </c>
      <c r="K141" s="69">
        <v>300</v>
      </c>
      <c r="L141" s="329"/>
    </row>
    <row r="142" spans="1:12" ht="75" customHeight="1">
      <c r="A142" s="393"/>
      <c r="B142" s="396"/>
      <c r="C142" s="326"/>
      <c r="D142" s="169" t="s">
        <v>26</v>
      </c>
      <c r="E142" s="195" t="s">
        <v>60</v>
      </c>
      <c r="F142" s="309"/>
      <c r="G142" s="289"/>
      <c r="H142" s="68">
        <f t="shared" si="8"/>
        <v>19480</v>
      </c>
      <c r="I142" s="69">
        <v>6580</v>
      </c>
      <c r="J142" s="69">
        <v>5600</v>
      </c>
      <c r="K142" s="69">
        <v>7300</v>
      </c>
      <c r="L142" s="329"/>
    </row>
    <row r="143" spans="1:12" ht="75" customHeight="1">
      <c r="A143" s="393"/>
      <c r="B143" s="396"/>
      <c r="C143" s="326"/>
      <c r="D143" s="169" t="s">
        <v>26</v>
      </c>
      <c r="E143" s="195" t="s">
        <v>54</v>
      </c>
      <c r="F143" s="309"/>
      <c r="G143" s="289"/>
      <c r="H143" s="68">
        <f t="shared" si="8"/>
        <v>9600</v>
      </c>
      <c r="I143" s="69">
        <v>2600</v>
      </c>
      <c r="J143" s="69">
        <v>5000</v>
      </c>
      <c r="K143" s="69">
        <v>2000</v>
      </c>
      <c r="L143" s="329"/>
    </row>
    <row r="144" spans="1:12" ht="75" customHeight="1">
      <c r="A144" s="393"/>
      <c r="B144" s="396"/>
      <c r="C144" s="326"/>
      <c r="D144" s="169" t="s">
        <v>26</v>
      </c>
      <c r="E144" s="195" t="s">
        <v>55</v>
      </c>
      <c r="F144" s="309"/>
      <c r="G144" s="289"/>
      <c r="H144" s="68">
        <f t="shared" si="8"/>
        <v>11910</v>
      </c>
      <c r="I144" s="69">
        <v>5310</v>
      </c>
      <c r="J144" s="69">
        <v>4000</v>
      </c>
      <c r="K144" s="69">
        <v>2600</v>
      </c>
      <c r="L144" s="329"/>
    </row>
    <row r="145" spans="1:12" ht="75" customHeight="1">
      <c r="A145" s="393"/>
      <c r="B145" s="396"/>
      <c r="C145" s="326"/>
      <c r="D145" s="169" t="s">
        <v>26</v>
      </c>
      <c r="E145" s="195" t="s">
        <v>53</v>
      </c>
      <c r="F145" s="309"/>
      <c r="G145" s="289"/>
      <c r="H145" s="68">
        <f t="shared" si="8"/>
        <v>17840</v>
      </c>
      <c r="I145" s="69">
        <v>7840</v>
      </c>
      <c r="J145" s="69">
        <v>6000</v>
      </c>
      <c r="K145" s="69">
        <v>4000</v>
      </c>
      <c r="L145" s="329"/>
    </row>
    <row r="146" spans="1:12" ht="75" customHeight="1">
      <c r="A146" s="393"/>
      <c r="B146" s="396"/>
      <c r="C146" s="326"/>
      <c r="D146" s="169" t="s">
        <v>26</v>
      </c>
      <c r="E146" s="216" t="s">
        <v>169</v>
      </c>
      <c r="F146" s="309"/>
      <c r="G146" s="289"/>
      <c r="H146" s="68">
        <f t="shared" si="8"/>
        <v>8130</v>
      </c>
      <c r="I146" s="145">
        <v>1300</v>
      </c>
      <c r="J146" s="69">
        <v>3830</v>
      </c>
      <c r="K146" s="69">
        <v>3000</v>
      </c>
      <c r="L146" s="329"/>
    </row>
    <row r="147" spans="1:12" ht="87.75" customHeight="1">
      <c r="A147" s="393"/>
      <c r="B147" s="396"/>
      <c r="C147" s="326"/>
      <c r="D147" s="169" t="s">
        <v>27</v>
      </c>
      <c r="E147" s="190" t="s">
        <v>57</v>
      </c>
      <c r="F147" s="309"/>
      <c r="G147" s="289"/>
      <c r="H147" s="68">
        <f t="shared" si="8"/>
        <v>11460</v>
      </c>
      <c r="I147" s="69">
        <v>1860</v>
      </c>
      <c r="J147" s="69">
        <v>3000</v>
      </c>
      <c r="K147" s="69">
        <v>6600</v>
      </c>
      <c r="L147" s="329"/>
    </row>
    <row r="148" spans="1:12" ht="75" customHeight="1">
      <c r="A148" s="393"/>
      <c r="B148" s="396"/>
      <c r="C148" s="326"/>
      <c r="D148" s="169" t="s">
        <v>28</v>
      </c>
      <c r="E148" s="190" t="s">
        <v>56</v>
      </c>
      <c r="F148" s="309"/>
      <c r="G148" s="289"/>
      <c r="H148" s="68">
        <f t="shared" si="8"/>
        <v>3180</v>
      </c>
      <c r="I148" s="145">
        <v>110</v>
      </c>
      <c r="J148" s="69">
        <v>570</v>
      </c>
      <c r="K148" s="69">
        <v>2500</v>
      </c>
      <c r="L148" s="329"/>
    </row>
    <row r="149" spans="1:12" ht="75" customHeight="1">
      <c r="A149" s="393"/>
      <c r="B149" s="396"/>
      <c r="C149" s="326"/>
      <c r="D149" s="169" t="s">
        <v>33</v>
      </c>
      <c r="E149" s="195" t="s">
        <v>58</v>
      </c>
      <c r="F149" s="309"/>
      <c r="G149" s="289"/>
      <c r="H149" s="68">
        <f t="shared" si="8"/>
        <v>2200</v>
      </c>
      <c r="I149" s="145">
        <v>2200</v>
      </c>
      <c r="J149" s="69">
        <v>0</v>
      </c>
      <c r="K149" s="69">
        <v>0</v>
      </c>
      <c r="L149" s="329"/>
    </row>
    <row r="150" spans="1:12" ht="75" customHeight="1">
      <c r="A150" s="393"/>
      <c r="B150" s="396"/>
      <c r="C150" s="327"/>
      <c r="D150" s="169" t="s">
        <v>33</v>
      </c>
      <c r="E150" s="195" t="s">
        <v>59</v>
      </c>
      <c r="F150" s="319"/>
      <c r="G150" s="290"/>
      <c r="H150" s="68">
        <f t="shared" si="8"/>
        <v>200</v>
      </c>
      <c r="I150" s="145">
        <v>200</v>
      </c>
      <c r="J150" s="69">
        <v>0</v>
      </c>
      <c r="K150" s="69">
        <v>0</v>
      </c>
      <c r="L150" s="329"/>
    </row>
    <row r="151" spans="1:12" ht="75" customHeight="1">
      <c r="A151" s="393"/>
      <c r="B151" s="396"/>
      <c r="C151" s="325" t="s">
        <v>138</v>
      </c>
      <c r="D151" s="332" t="s">
        <v>183</v>
      </c>
      <c r="E151" s="333"/>
      <c r="F151" s="333"/>
      <c r="G151" s="334"/>
      <c r="H151" s="170">
        <f>SUM(H152:H154)</f>
        <v>16800</v>
      </c>
      <c r="I151" s="171">
        <f>SUM(I152:I154)</f>
        <v>16800</v>
      </c>
      <c r="J151" s="170">
        <f>SUM(J152:J154)</f>
        <v>0</v>
      </c>
      <c r="K151" s="170">
        <f>SUM(K152:K154)</f>
        <v>0</v>
      </c>
      <c r="L151" s="148"/>
    </row>
    <row r="152" spans="1:12" ht="294.75" customHeight="1">
      <c r="A152" s="393"/>
      <c r="B152" s="396"/>
      <c r="C152" s="326"/>
      <c r="D152" s="155" t="s">
        <v>50</v>
      </c>
      <c r="E152" s="190" t="s">
        <v>53</v>
      </c>
      <c r="F152" s="308" t="s">
        <v>149</v>
      </c>
      <c r="G152" s="288" t="s">
        <v>197</v>
      </c>
      <c r="H152" s="170">
        <f>I152+J152+K152</f>
        <v>16800</v>
      </c>
      <c r="I152" s="171">
        <f>3100+12100+1600</f>
        <v>16800</v>
      </c>
      <c r="J152" s="171">
        <v>0</v>
      </c>
      <c r="K152" s="171">
        <v>0</v>
      </c>
      <c r="L152" s="195" t="s">
        <v>274</v>
      </c>
    </row>
    <row r="153" spans="1:12" ht="82.5" hidden="1" customHeight="1">
      <c r="A153" s="393"/>
      <c r="B153" s="396"/>
      <c r="C153" s="326"/>
      <c r="D153" s="155" t="s">
        <v>50</v>
      </c>
      <c r="E153" s="195" t="s">
        <v>60</v>
      </c>
      <c r="F153" s="309"/>
      <c r="G153" s="289"/>
      <c r="H153" s="68"/>
      <c r="I153" s="69"/>
      <c r="J153" s="69"/>
      <c r="K153" s="69"/>
      <c r="L153" s="195"/>
    </row>
    <row r="154" spans="1:12" ht="156.75" hidden="1" customHeight="1">
      <c r="A154" s="394"/>
      <c r="B154" s="397"/>
      <c r="C154" s="327"/>
      <c r="D154" s="155" t="s">
        <v>50</v>
      </c>
      <c r="E154" s="190" t="s">
        <v>169</v>
      </c>
      <c r="F154" s="319"/>
      <c r="G154" s="290"/>
      <c r="H154" s="68">
        <f>I154+J154+K154</f>
        <v>0</v>
      </c>
      <c r="I154" s="69"/>
      <c r="J154" s="69">
        <v>0</v>
      </c>
      <c r="K154" s="69">
        <v>0</v>
      </c>
      <c r="L154" s="195"/>
    </row>
    <row r="155" spans="1:12" ht="75" customHeight="1">
      <c r="A155" s="320" t="s">
        <v>52</v>
      </c>
      <c r="B155" s="321"/>
      <c r="C155" s="321"/>
      <c r="D155" s="321"/>
      <c r="E155" s="321"/>
      <c r="F155" s="321"/>
      <c r="G155" s="322"/>
      <c r="H155" s="68">
        <f>H156</f>
        <v>341790</v>
      </c>
      <c r="I155" s="68">
        <f>I156</f>
        <v>125130</v>
      </c>
      <c r="J155" s="68">
        <f>J156</f>
        <v>108330</v>
      </c>
      <c r="K155" s="68">
        <f>K156</f>
        <v>108330</v>
      </c>
      <c r="L155" s="323"/>
    </row>
    <row r="156" spans="1:12" ht="75" customHeight="1">
      <c r="A156" s="365" t="s">
        <v>211</v>
      </c>
      <c r="B156" s="365"/>
      <c r="C156" s="365"/>
      <c r="D156" s="365"/>
      <c r="E156" s="365"/>
      <c r="F156" s="366"/>
      <c r="G156" s="207" t="s">
        <v>197</v>
      </c>
      <c r="H156" s="68">
        <f>H130+H132+H133+H134+H135+H136+H137+H138+H142+H143+H144+H145+H146+H147+H148+H152+H139+H141+H149+H150+H131+H153+H154</f>
        <v>341790</v>
      </c>
      <c r="I156" s="68">
        <f>I130+I132+I133+I134+I135+I136+I137+I138+I142+I143+I144+I145+I146+I147+I148+I152+I139+I141+I149+I150+I131+I153+I154</f>
        <v>125130</v>
      </c>
      <c r="J156" s="68">
        <f t="shared" ref="J156:K156" si="9">J130+J132+J133+J134+J135+J136+J137+J138+J142+J143+J144+J145+J146+J147+J148+J152+J139+J141+J149+J150+J131+J153+J154</f>
        <v>108330</v>
      </c>
      <c r="K156" s="68">
        <f t="shared" si="9"/>
        <v>108330</v>
      </c>
      <c r="L156" s="323"/>
    </row>
    <row r="157" spans="1:12" ht="75" customHeight="1">
      <c r="A157" s="386" t="s">
        <v>210</v>
      </c>
      <c r="B157" s="387"/>
      <c r="C157" s="387"/>
      <c r="D157" s="388"/>
      <c r="E157" s="140" t="s">
        <v>60</v>
      </c>
      <c r="F157" s="330"/>
      <c r="G157" s="207" t="s">
        <v>197</v>
      </c>
      <c r="H157" s="71">
        <f>I157+J157+K157</f>
        <v>19480</v>
      </c>
      <c r="I157" s="71">
        <f>I132+I142+I153</f>
        <v>6580</v>
      </c>
      <c r="J157" s="71">
        <f t="shared" ref="J157:K157" si="10">J132+J142+J153</f>
        <v>5600</v>
      </c>
      <c r="K157" s="71">
        <f t="shared" si="10"/>
        <v>7300</v>
      </c>
      <c r="L157" s="323"/>
    </row>
    <row r="158" spans="1:12" ht="75" customHeight="1">
      <c r="A158" s="386"/>
      <c r="B158" s="387"/>
      <c r="C158" s="387"/>
      <c r="D158" s="388"/>
      <c r="E158" s="195" t="s">
        <v>54</v>
      </c>
      <c r="F158" s="330"/>
      <c r="G158" s="214" t="s">
        <v>197</v>
      </c>
      <c r="H158" s="71">
        <f>I158+J158+K158</f>
        <v>9600</v>
      </c>
      <c r="I158" s="71">
        <f t="shared" ref="I158:K159" si="11">I133+I143</f>
        <v>2600</v>
      </c>
      <c r="J158" s="71">
        <f t="shared" si="11"/>
        <v>5000</v>
      </c>
      <c r="K158" s="71">
        <f t="shared" si="11"/>
        <v>2000</v>
      </c>
      <c r="L158" s="323"/>
    </row>
    <row r="159" spans="1:12" ht="75" customHeight="1">
      <c r="A159" s="386"/>
      <c r="B159" s="387"/>
      <c r="C159" s="387"/>
      <c r="D159" s="388"/>
      <c r="E159" s="195" t="s">
        <v>55</v>
      </c>
      <c r="F159" s="330"/>
      <c r="G159" s="214" t="s">
        <v>197</v>
      </c>
      <c r="H159" s="71">
        <f t="shared" ref="H159:H165" si="12">I159+J159+K159</f>
        <v>11910</v>
      </c>
      <c r="I159" s="71">
        <f t="shared" si="11"/>
        <v>5310</v>
      </c>
      <c r="J159" s="71">
        <f t="shared" si="11"/>
        <v>4000</v>
      </c>
      <c r="K159" s="71">
        <f t="shared" si="11"/>
        <v>2600</v>
      </c>
      <c r="L159" s="323"/>
    </row>
    <row r="160" spans="1:12" ht="75" customHeight="1">
      <c r="A160" s="386"/>
      <c r="B160" s="387"/>
      <c r="C160" s="387"/>
      <c r="D160" s="388"/>
      <c r="E160" s="140" t="s">
        <v>53</v>
      </c>
      <c r="F160" s="330"/>
      <c r="G160" s="214" t="s">
        <v>197</v>
      </c>
      <c r="H160" s="71">
        <f>I160+J160+K160</f>
        <v>34640</v>
      </c>
      <c r="I160" s="71">
        <f>I135+I145+I152</f>
        <v>24640</v>
      </c>
      <c r="J160" s="71">
        <f>J135+J145+J152</f>
        <v>6000</v>
      </c>
      <c r="K160" s="71">
        <f>K135+K145+K152</f>
        <v>4000</v>
      </c>
      <c r="L160" s="323"/>
    </row>
    <row r="161" spans="1:12" ht="90.75" customHeight="1">
      <c r="A161" s="386"/>
      <c r="B161" s="387"/>
      <c r="C161" s="387"/>
      <c r="D161" s="388"/>
      <c r="E161" s="216" t="s">
        <v>169</v>
      </c>
      <c r="F161" s="330"/>
      <c r="G161" s="214" t="s">
        <v>197</v>
      </c>
      <c r="H161" s="71">
        <f>I161+J161+K161</f>
        <v>8130</v>
      </c>
      <c r="I161" s="71">
        <f>I146+I136+I154</f>
        <v>1300</v>
      </c>
      <c r="J161" s="71">
        <f t="shared" ref="J161:K161" si="13">J146+J136+J154</f>
        <v>3830</v>
      </c>
      <c r="K161" s="71">
        <f t="shared" si="13"/>
        <v>3000</v>
      </c>
      <c r="L161" s="323"/>
    </row>
    <row r="162" spans="1:12" ht="112.5" customHeight="1">
      <c r="A162" s="386"/>
      <c r="B162" s="387"/>
      <c r="C162" s="387"/>
      <c r="D162" s="388"/>
      <c r="E162" s="140" t="s">
        <v>57</v>
      </c>
      <c r="F162" s="330"/>
      <c r="G162" s="214" t="s">
        <v>197</v>
      </c>
      <c r="H162" s="71">
        <f t="shared" si="12"/>
        <v>11460</v>
      </c>
      <c r="I162" s="71">
        <f t="shared" ref="I162:K163" si="14">I137+I147</f>
        <v>1860</v>
      </c>
      <c r="J162" s="71">
        <f t="shared" si="14"/>
        <v>3000</v>
      </c>
      <c r="K162" s="71">
        <f t="shared" si="14"/>
        <v>6600</v>
      </c>
      <c r="L162" s="323"/>
    </row>
    <row r="163" spans="1:12" ht="99.75" customHeight="1">
      <c r="A163" s="386"/>
      <c r="B163" s="387"/>
      <c r="C163" s="387"/>
      <c r="D163" s="388"/>
      <c r="E163" s="195" t="s">
        <v>56</v>
      </c>
      <c r="F163" s="330"/>
      <c r="G163" s="214" t="s">
        <v>197</v>
      </c>
      <c r="H163" s="71">
        <f t="shared" si="12"/>
        <v>3180</v>
      </c>
      <c r="I163" s="71">
        <f t="shared" si="14"/>
        <v>110</v>
      </c>
      <c r="J163" s="71">
        <f t="shared" si="14"/>
        <v>570</v>
      </c>
      <c r="K163" s="71">
        <f t="shared" si="14"/>
        <v>2500</v>
      </c>
      <c r="L163" s="323"/>
    </row>
    <row r="164" spans="1:12" ht="99.75" customHeight="1">
      <c r="A164" s="386"/>
      <c r="B164" s="387"/>
      <c r="C164" s="387"/>
      <c r="D164" s="388"/>
      <c r="E164" s="195" t="s">
        <v>58</v>
      </c>
      <c r="F164" s="330"/>
      <c r="G164" s="214" t="s">
        <v>197</v>
      </c>
      <c r="H164" s="71">
        <f t="shared" si="12"/>
        <v>2200</v>
      </c>
      <c r="I164" s="71">
        <f>I139+I149</f>
        <v>2200</v>
      </c>
      <c r="J164" s="71">
        <f>J139+J149</f>
        <v>0</v>
      </c>
      <c r="K164" s="71">
        <f>K139+K149</f>
        <v>0</v>
      </c>
      <c r="L164" s="323"/>
    </row>
    <row r="165" spans="1:12" ht="99.75" customHeight="1">
      <c r="A165" s="386"/>
      <c r="B165" s="387"/>
      <c r="C165" s="387"/>
      <c r="D165" s="388"/>
      <c r="E165" s="195" t="s">
        <v>59</v>
      </c>
      <c r="F165" s="330"/>
      <c r="G165" s="214" t="s">
        <v>197</v>
      </c>
      <c r="H165" s="71">
        <f t="shared" si="12"/>
        <v>200</v>
      </c>
      <c r="I165" s="71">
        <f>I150</f>
        <v>200</v>
      </c>
      <c r="J165" s="71">
        <f>J150</f>
        <v>0</v>
      </c>
      <c r="K165" s="71">
        <f>K150</f>
        <v>0</v>
      </c>
      <c r="L165" s="323"/>
    </row>
    <row r="166" spans="1:12" ht="75" customHeight="1">
      <c r="A166" s="389"/>
      <c r="B166" s="390"/>
      <c r="C166" s="390"/>
      <c r="D166" s="391"/>
      <c r="E166" s="140" t="s">
        <v>151</v>
      </c>
      <c r="F166" s="330"/>
      <c r="G166" s="214" t="s">
        <v>197</v>
      </c>
      <c r="H166" s="71">
        <f>I166+J166+K166</f>
        <v>240990</v>
      </c>
      <c r="I166" s="71">
        <f>I130+I141+I131</f>
        <v>80330</v>
      </c>
      <c r="J166" s="71">
        <f t="shared" ref="J166:K166" si="15">J130+J141+J131</f>
        <v>80330</v>
      </c>
      <c r="K166" s="71">
        <f t="shared" si="15"/>
        <v>80330</v>
      </c>
      <c r="L166" s="323"/>
    </row>
    <row r="167" spans="1:12" ht="75" customHeight="1">
      <c r="A167" s="320" t="s">
        <v>71</v>
      </c>
      <c r="B167" s="321"/>
      <c r="C167" s="321"/>
      <c r="D167" s="321"/>
      <c r="E167" s="321"/>
      <c r="F167" s="322"/>
      <c r="G167" s="172"/>
      <c r="H167" s="68">
        <f>H84+H117+H127+H155</f>
        <v>643809.30000000005</v>
      </c>
      <c r="I167" s="68">
        <f>I84+I117+I127+I155</f>
        <v>225731</v>
      </c>
      <c r="J167" s="68">
        <f>J84+J117+J127+J155</f>
        <v>206275.3</v>
      </c>
      <c r="K167" s="68">
        <f>K84+K117+K127+K155</f>
        <v>211803</v>
      </c>
      <c r="L167" s="378"/>
    </row>
    <row r="168" spans="1:12" ht="75" customHeight="1">
      <c r="A168" s="380" t="s">
        <v>211</v>
      </c>
      <c r="B168" s="380"/>
      <c r="C168" s="380"/>
      <c r="D168" s="380"/>
      <c r="E168" s="380"/>
      <c r="F168" s="381"/>
      <c r="G168" s="214" t="s">
        <v>195</v>
      </c>
      <c r="H168" s="68">
        <f>H85+H118+H126</f>
        <v>302019.30000000005</v>
      </c>
      <c r="I168" s="68">
        <f>I85+I118+I126</f>
        <v>100601</v>
      </c>
      <c r="J168" s="68">
        <f>J85+J118+J126</f>
        <v>97945.3</v>
      </c>
      <c r="K168" s="68">
        <f>K85+K118+K126</f>
        <v>103473</v>
      </c>
      <c r="L168" s="379"/>
    </row>
    <row r="169" spans="1:12" ht="75" customHeight="1">
      <c r="A169" s="382"/>
      <c r="B169" s="382"/>
      <c r="C169" s="382"/>
      <c r="D169" s="382"/>
      <c r="E169" s="382"/>
      <c r="F169" s="383"/>
      <c r="G169" s="214" t="s">
        <v>172</v>
      </c>
      <c r="H169" s="68">
        <f>H156</f>
        <v>341790</v>
      </c>
      <c r="I169" s="68">
        <f>I156</f>
        <v>125130</v>
      </c>
      <c r="J169" s="68">
        <f>J156</f>
        <v>108330</v>
      </c>
      <c r="K169" s="68">
        <f>K156</f>
        <v>108330</v>
      </c>
      <c r="L169" s="379"/>
    </row>
    <row r="170" spans="1:12" ht="75" customHeight="1">
      <c r="A170" s="380" t="s">
        <v>68</v>
      </c>
      <c r="B170" s="380"/>
      <c r="C170" s="380"/>
      <c r="D170" s="381"/>
      <c r="E170" s="286" t="s">
        <v>60</v>
      </c>
      <c r="F170" s="372"/>
      <c r="G170" s="214" t="s">
        <v>66</v>
      </c>
      <c r="H170" s="68">
        <f>SUM(H171:H172)</f>
        <v>47591.9</v>
      </c>
      <c r="I170" s="68">
        <f>SUM(I171:I172)</f>
        <v>16107.300000000001</v>
      </c>
      <c r="J170" s="68">
        <f>SUM(J171:J172)</f>
        <v>14638.7</v>
      </c>
      <c r="K170" s="68">
        <f>SUM(K171:K172)</f>
        <v>16845.900000000001</v>
      </c>
      <c r="L170" s="173"/>
    </row>
    <row r="171" spans="1:12" ht="75" customHeight="1">
      <c r="A171" s="382"/>
      <c r="B171" s="382"/>
      <c r="C171" s="382"/>
      <c r="D171" s="383"/>
      <c r="E171" s="287"/>
      <c r="F171" s="373"/>
      <c r="G171" s="193" t="s">
        <v>194</v>
      </c>
      <c r="H171" s="69">
        <f>H87</f>
        <v>28111.9</v>
      </c>
      <c r="I171" s="69">
        <f>I87</f>
        <v>9527.3000000000011</v>
      </c>
      <c r="J171" s="69">
        <f>J87</f>
        <v>9038.7000000000007</v>
      </c>
      <c r="K171" s="69">
        <f>K87</f>
        <v>9545.9</v>
      </c>
      <c r="L171" s="174"/>
    </row>
    <row r="172" spans="1:12" ht="85.5" customHeight="1">
      <c r="A172" s="382"/>
      <c r="B172" s="382"/>
      <c r="C172" s="382"/>
      <c r="D172" s="383"/>
      <c r="E172" s="324"/>
      <c r="F172" s="373"/>
      <c r="G172" s="193" t="s">
        <v>197</v>
      </c>
      <c r="H172" s="69">
        <f>H157</f>
        <v>19480</v>
      </c>
      <c r="I172" s="69">
        <f>I157</f>
        <v>6580</v>
      </c>
      <c r="J172" s="69">
        <f>J157</f>
        <v>5600</v>
      </c>
      <c r="K172" s="69">
        <f>K157</f>
        <v>7300</v>
      </c>
      <c r="L172" s="174"/>
    </row>
    <row r="173" spans="1:12" ht="75" customHeight="1">
      <c r="A173" s="382"/>
      <c r="B173" s="382"/>
      <c r="C173" s="382"/>
      <c r="D173" s="383"/>
      <c r="E173" s="286" t="s">
        <v>54</v>
      </c>
      <c r="F173" s="373"/>
      <c r="G173" s="214" t="s">
        <v>66</v>
      </c>
      <c r="H173" s="68">
        <f>SUM(H174:H175)</f>
        <v>53507.3</v>
      </c>
      <c r="I173" s="68">
        <f>SUM(I174:I175)</f>
        <v>17350.400000000001</v>
      </c>
      <c r="J173" s="68">
        <f>SUM(J174:J175)</f>
        <v>19185</v>
      </c>
      <c r="K173" s="68">
        <f>SUM(K174:K175)</f>
        <v>16971.900000000001</v>
      </c>
      <c r="L173" s="174"/>
    </row>
    <row r="174" spans="1:12" ht="75" customHeight="1">
      <c r="A174" s="382"/>
      <c r="B174" s="382"/>
      <c r="C174" s="382"/>
      <c r="D174" s="383"/>
      <c r="E174" s="287"/>
      <c r="F174" s="373"/>
      <c r="G174" s="193" t="s">
        <v>194</v>
      </c>
      <c r="H174" s="69">
        <f>H89+H119</f>
        <v>43907.3</v>
      </c>
      <c r="I174" s="69">
        <f>I89+I119</f>
        <v>14750.4</v>
      </c>
      <c r="J174" s="69">
        <f>J89+J119</f>
        <v>14185</v>
      </c>
      <c r="K174" s="69">
        <f>K89+K119</f>
        <v>14971.9</v>
      </c>
      <c r="L174" s="217"/>
    </row>
    <row r="175" spans="1:12" ht="75" customHeight="1">
      <c r="A175" s="382"/>
      <c r="B175" s="382"/>
      <c r="C175" s="382"/>
      <c r="D175" s="383"/>
      <c r="E175" s="324"/>
      <c r="F175" s="373"/>
      <c r="G175" s="193" t="s">
        <v>197</v>
      </c>
      <c r="H175" s="69">
        <f>H158</f>
        <v>9600</v>
      </c>
      <c r="I175" s="69">
        <f>I158</f>
        <v>2600</v>
      </c>
      <c r="J175" s="69">
        <f>J158</f>
        <v>5000</v>
      </c>
      <c r="K175" s="69">
        <f>K158</f>
        <v>2000</v>
      </c>
      <c r="L175" s="217"/>
    </row>
    <row r="176" spans="1:12" ht="75" customHeight="1">
      <c r="A176" s="382"/>
      <c r="B176" s="382"/>
      <c r="C176" s="382"/>
      <c r="D176" s="383"/>
      <c r="E176" s="286" t="s">
        <v>55</v>
      </c>
      <c r="F176" s="373"/>
      <c r="G176" s="214" t="s">
        <v>66</v>
      </c>
      <c r="H176" s="68">
        <f>SUM(H177:H178)</f>
        <v>54435.7</v>
      </c>
      <c r="I176" s="68">
        <f>SUM(I177:I178)</f>
        <v>18950.2</v>
      </c>
      <c r="J176" s="68">
        <f>SUM(J177:J178)</f>
        <v>18043.599999999999</v>
      </c>
      <c r="K176" s="68">
        <f>SUM(K177:K178)</f>
        <v>17441.900000000001</v>
      </c>
      <c r="L176" s="217"/>
    </row>
    <row r="177" spans="1:12" ht="75" customHeight="1">
      <c r="A177" s="382"/>
      <c r="B177" s="382"/>
      <c r="C177" s="382"/>
      <c r="D177" s="383"/>
      <c r="E177" s="287"/>
      <c r="F177" s="373"/>
      <c r="G177" s="193" t="s">
        <v>194</v>
      </c>
      <c r="H177" s="69">
        <f>H91+H120</f>
        <v>42525.7</v>
      </c>
      <c r="I177" s="69">
        <f>I91+I120</f>
        <v>13640.2</v>
      </c>
      <c r="J177" s="69">
        <f>J91+J120</f>
        <v>14043.6</v>
      </c>
      <c r="K177" s="69">
        <f>K91+K120</f>
        <v>14841.900000000001</v>
      </c>
      <c r="L177" s="217"/>
    </row>
    <row r="178" spans="1:12" ht="75" customHeight="1">
      <c r="A178" s="382"/>
      <c r="B178" s="382"/>
      <c r="C178" s="382"/>
      <c r="D178" s="383"/>
      <c r="E178" s="324"/>
      <c r="F178" s="373"/>
      <c r="G178" s="193" t="s">
        <v>197</v>
      </c>
      <c r="H178" s="69">
        <f>H159</f>
        <v>11910</v>
      </c>
      <c r="I178" s="69">
        <f>I159</f>
        <v>5310</v>
      </c>
      <c r="J178" s="69">
        <f>J159</f>
        <v>4000</v>
      </c>
      <c r="K178" s="69">
        <f>K159</f>
        <v>2600</v>
      </c>
      <c r="L178" s="217"/>
    </row>
    <row r="179" spans="1:12" ht="42" customHeight="1">
      <c r="A179" s="382"/>
      <c r="B179" s="382"/>
      <c r="C179" s="382"/>
      <c r="D179" s="383"/>
      <c r="E179" s="286" t="s">
        <v>53</v>
      </c>
      <c r="F179" s="373"/>
      <c r="G179" s="214" t="s">
        <v>66</v>
      </c>
      <c r="H179" s="68">
        <f>SUM(H180:H181)</f>
        <v>73431.199999999997</v>
      </c>
      <c r="I179" s="68">
        <f>SUM(I180:I181)</f>
        <v>37164.699999999997</v>
      </c>
      <c r="J179" s="68">
        <f>SUM(J180:J181)</f>
        <v>18767.800000000003</v>
      </c>
      <c r="K179" s="68">
        <f>SUM(K180:K181)</f>
        <v>17498.699999999997</v>
      </c>
      <c r="L179" s="217"/>
    </row>
    <row r="180" spans="1:12" ht="55.5" customHeight="1">
      <c r="A180" s="382"/>
      <c r="B180" s="382"/>
      <c r="C180" s="382"/>
      <c r="D180" s="383"/>
      <c r="E180" s="287"/>
      <c r="F180" s="373"/>
      <c r="G180" s="175" t="s">
        <v>194</v>
      </c>
      <c r="H180" s="69">
        <f>H93</f>
        <v>38791.199999999997</v>
      </c>
      <c r="I180" s="69">
        <f>I93</f>
        <v>12524.699999999999</v>
      </c>
      <c r="J180" s="69">
        <f>J93</f>
        <v>12767.800000000001</v>
      </c>
      <c r="K180" s="69">
        <f>K93</f>
        <v>13498.699999999999</v>
      </c>
      <c r="L180" s="217"/>
    </row>
    <row r="181" spans="1:12" ht="58.5" customHeight="1">
      <c r="A181" s="382"/>
      <c r="B181" s="382"/>
      <c r="C181" s="382"/>
      <c r="D181" s="383"/>
      <c r="E181" s="324"/>
      <c r="F181" s="373"/>
      <c r="G181" s="193" t="s">
        <v>197</v>
      </c>
      <c r="H181" s="69">
        <f>H160</f>
        <v>34640</v>
      </c>
      <c r="I181" s="69">
        <f>I160</f>
        <v>24640</v>
      </c>
      <c r="J181" s="69">
        <f>J160</f>
        <v>6000</v>
      </c>
      <c r="K181" s="69">
        <f>K160</f>
        <v>4000</v>
      </c>
      <c r="L181" s="217"/>
    </row>
    <row r="182" spans="1:12" ht="42" customHeight="1">
      <c r="A182" s="382"/>
      <c r="B182" s="382"/>
      <c r="C182" s="382"/>
      <c r="D182" s="383"/>
      <c r="E182" s="286" t="s">
        <v>169</v>
      </c>
      <c r="F182" s="373"/>
      <c r="G182" s="214" t="s">
        <v>66</v>
      </c>
      <c r="H182" s="69">
        <f>H183+H184</f>
        <v>22988.799999999996</v>
      </c>
      <c r="I182" s="69">
        <f>I183+I184</f>
        <v>5945.5999999999995</v>
      </c>
      <c r="J182" s="69">
        <f>J183+J184</f>
        <v>8793.7000000000007</v>
      </c>
      <c r="K182" s="69">
        <f>K183+K184</f>
        <v>8249.5</v>
      </c>
      <c r="L182" s="217"/>
    </row>
    <row r="183" spans="1:12" ht="56.25" customHeight="1">
      <c r="A183" s="382"/>
      <c r="B183" s="382"/>
      <c r="C183" s="382"/>
      <c r="D183" s="383"/>
      <c r="E183" s="287"/>
      <c r="F183" s="373"/>
      <c r="G183" s="175" t="s">
        <v>194</v>
      </c>
      <c r="H183" s="69">
        <f>H103+H124</f>
        <v>14858.799999999997</v>
      </c>
      <c r="I183" s="69">
        <f>I103+I124</f>
        <v>4645.5999999999995</v>
      </c>
      <c r="J183" s="69">
        <f>J103+J124</f>
        <v>4963.7</v>
      </c>
      <c r="K183" s="69">
        <f>K103+K124</f>
        <v>5249.5</v>
      </c>
      <c r="L183" s="217"/>
    </row>
    <row r="184" spans="1:12" ht="75" customHeight="1">
      <c r="A184" s="382"/>
      <c r="B184" s="382"/>
      <c r="C184" s="382"/>
      <c r="D184" s="383"/>
      <c r="E184" s="324"/>
      <c r="F184" s="373"/>
      <c r="G184" s="193" t="s">
        <v>197</v>
      </c>
      <c r="H184" s="69">
        <f>H161</f>
        <v>8130</v>
      </c>
      <c r="I184" s="69">
        <f>I161</f>
        <v>1300</v>
      </c>
      <c r="J184" s="69">
        <f>J161</f>
        <v>3830</v>
      </c>
      <c r="K184" s="69">
        <f>K161</f>
        <v>3000</v>
      </c>
      <c r="L184" s="217"/>
    </row>
    <row r="185" spans="1:12" ht="58.5" customHeight="1">
      <c r="A185" s="382"/>
      <c r="B185" s="382"/>
      <c r="C185" s="382"/>
      <c r="D185" s="383"/>
      <c r="E185" s="286" t="s">
        <v>57</v>
      </c>
      <c r="F185" s="373"/>
      <c r="G185" s="214" t="s">
        <v>66</v>
      </c>
      <c r="H185" s="68">
        <f>SUM(H186:H187)</f>
        <v>27625.3</v>
      </c>
      <c r="I185" s="68">
        <f>SUM(I186:I187)</f>
        <v>6985.6</v>
      </c>
      <c r="J185" s="68">
        <f>SUM(J186:J187)</f>
        <v>8366.9</v>
      </c>
      <c r="K185" s="68">
        <f>SUM(K186:K187)</f>
        <v>12272.8</v>
      </c>
      <c r="L185" s="217"/>
    </row>
    <row r="186" spans="1:12" ht="75" customHeight="1">
      <c r="A186" s="382"/>
      <c r="B186" s="382"/>
      <c r="C186" s="382"/>
      <c r="D186" s="383"/>
      <c r="E186" s="287"/>
      <c r="F186" s="373"/>
      <c r="G186" s="175" t="s">
        <v>194</v>
      </c>
      <c r="H186" s="69">
        <f>H95</f>
        <v>16165.3</v>
      </c>
      <c r="I186" s="69">
        <f>I95</f>
        <v>5125.6000000000004</v>
      </c>
      <c r="J186" s="69">
        <f>J95</f>
        <v>5366.9</v>
      </c>
      <c r="K186" s="69">
        <f>K95</f>
        <v>5672.8</v>
      </c>
      <c r="L186" s="217"/>
    </row>
    <row r="187" spans="1:12" ht="63" customHeight="1">
      <c r="A187" s="382"/>
      <c r="B187" s="382"/>
      <c r="C187" s="382"/>
      <c r="D187" s="383"/>
      <c r="E187" s="324"/>
      <c r="F187" s="373"/>
      <c r="G187" s="193" t="s">
        <v>197</v>
      </c>
      <c r="H187" s="69">
        <f>H162</f>
        <v>11460</v>
      </c>
      <c r="I187" s="69">
        <f>I162</f>
        <v>1860</v>
      </c>
      <c r="J187" s="69">
        <f>J162</f>
        <v>3000</v>
      </c>
      <c r="K187" s="69">
        <f>K162</f>
        <v>6600</v>
      </c>
      <c r="L187" s="217"/>
    </row>
    <row r="188" spans="1:12" ht="64.5" customHeight="1">
      <c r="A188" s="382"/>
      <c r="B188" s="382"/>
      <c r="C188" s="382"/>
      <c r="D188" s="383"/>
      <c r="E188" s="286" t="s">
        <v>56</v>
      </c>
      <c r="F188" s="373"/>
      <c r="G188" s="214" t="s">
        <v>66</v>
      </c>
      <c r="H188" s="68">
        <f>SUM(H189:H190)</f>
        <v>40121.300000000003</v>
      </c>
      <c r="I188" s="68">
        <f>SUM(I189:I190)</f>
        <v>14948.7</v>
      </c>
      <c r="J188" s="68">
        <f>SUM(J189:J190)</f>
        <v>11285.8</v>
      </c>
      <c r="K188" s="68">
        <f>SUM(K189:K190)</f>
        <v>13886.8</v>
      </c>
      <c r="L188" s="217"/>
    </row>
    <row r="189" spans="1:12" ht="75" customHeight="1">
      <c r="A189" s="382"/>
      <c r="B189" s="382"/>
      <c r="C189" s="382"/>
      <c r="D189" s="383"/>
      <c r="E189" s="287"/>
      <c r="F189" s="373"/>
      <c r="G189" s="175" t="s">
        <v>194</v>
      </c>
      <c r="H189" s="69">
        <f>H97+H121</f>
        <v>36941.300000000003</v>
      </c>
      <c r="I189" s="69">
        <f>I97+I121</f>
        <v>14838.7</v>
      </c>
      <c r="J189" s="69">
        <f>J80+J81+J115</f>
        <v>10715.8</v>
      </c>
      <c r="K189" s="69">
        <f>K97+K121</f>
        <v>11386.8</v>
      </c>
      <c r="L189" s="217"/>
    </row>
    <row r="190" spans="1:12" ht="75" customHeight="1">
      <c r="A190" s="382"/>
      <c r="B190" s="382"/>
      <c r="C190" s="382"/>
      <c r="D190" s="383"/>
      <c r="E190" s="324"/>
      <c r="F190" s="373"/>
      <c r="G190" s="193" t="s">
        <v>197</v>
      </c>
      <c r="H190" s="69">
        <f>H163</f>
        <v>3180</v>
      </c>
      <c r="I190" s="69">
        <f>I163</f>
        <v>110</v>
      </c>
      <c r="J190" s="69">
        <f>J163</f>
        <v>570</v>
      </c>
      <c r="K190" s="69">
        <f>K163</f>
        <v>2500</v>
      </c>
      <c r="L190" s="217"/>
    </row>
    <row r="191" spans="1:12" ht="75" customHeight="1">
      <c r="A191" s="382"/>
      <c r="B191" s="382"/>
      <c r="C191" s="382"/>
      <c r="D191" s="383"/>
      <c r="E191" s="286" t="s">
        <v>58</v>
      </c>
      <c r="F191" s="373"/>
      <c r="G191" s="214" t="s">
        <v>66</v>
      </c>
      <c r="H191" s="68">
        <f>SUM(H192:H193)</f>
        <v>34261.1</v>
      </c>
      <c r="I191" s="68">
        <f>SUM(I192:I193)</f>
        <v>12362</v>
      </c>
      <c r="J191" s="68">
        <f>SUM(J192:J193)</f>
        <v>10672</v>
      </c>
      <c r="K191" s="68">
        <f>SUM(K192:K193)</f>
        <v>11227.099999999999</v>
      </c>
      <c r="L191" s="217"/>
    </row>
    <row r="192" spans="1:12" ht="75" customHeight="1">
      <c r="A192" s="382"/>
      <c r="B192" s="382"/>
      <c r="C192" s="382"/>
      <c r="D192" s="383"/>
      <c r="E192" s="287"/>
      <c r="F192" s="373"/>
      <c r="G192" s="175" t="s">
        <v>194</v>
      </c>
      <c r="H192" s="69">
        <f>H99+H122</f>
        <v>32061.1</v>
      </c>
      <c r="I192" s="69">
        <f>I99+I122</f>
        <v>10162</v>
      </c>
      <c r="J192" s="69">
        <f>J99+J122</f>
        <v>10672</v>
      </c>
      <c r="K192" s="69">
        <f>K99+K122</f>
        <v>11227.099999999999</v>
      </c>
      <c r="L192" s="217"/>
    </row>
    <row r="193" spans="1:12" ht="75" customHeight="1">
      <c r="A193" s="382"/>
      <c r="B193" s="382"/>
      <c r="C193" s="382"/>
      <c r="D193" s="383"/>
      <c r="E193" s="324"/>
      <c r="F193" s="373"/>
      <c r="G193" s="193" t="s">
        <v>197</v>
      </c>
      <c r="H193" s="69">
        <f>H164</f>
        <v>2200</v>
      </c>
      <c r="I193" s="69">
        <f>I164</f>
        <v>2200</v>
      </c>
      <c r="J193" s="69">
        <f>J164</f>
        <v>0</v>
      </c>
      <c r="K193" s="69">
        <f>K164</f>
        <v>0</v>
      </c>
      <c r="L193" s="217"/>
    </row>
    <row r="194" spans="1:12" ht="75" customHeight="1">
      <c r="A194" s="382"/>
      <c r="B194" s="382"/>
      <c r="C194" s="382"/>
      <c r="D194" s="383"/>
      <c r="E194" s="286" t="s">
        <v>59</v>
      </c>
      <c r="F194" s="373"/>
      <c r="G194" s="214" t="s">
        <v>66</v>
      </c>
      <c r="H194" s="68">
        <f>H195+H196</f>
        <v>37601.500000000007</v>
      </c>
      <c r="I194" s="68">
        <f>I195+I196</f>
        <v>12068</v>
      </c>
      <c r="J194" s="68">
        <f>J195+J196</f>
        <v>12448.5</v>
      </c>
      <c r="K194" s="68">
        <f>K195+K196</f>
        <v>13085</v>
      </c>
      <c r="L194" s="217"/>
    </row>
    <row r="195" spans="1:12" ht="75" customHeight="1">
      <c r="A195" s="382"/>
      <c r="B195" s="382"/>
      <c r="C195" s="382"/>
      <c r="D195" s="383"/>
      <c r="E195" s="287"/>
      <c r="F195" s="373"/>
      <c r="G195" s="175" t="s">
        <v>194</v>
      </c>
      <c r="H195" s="69">
        <f>H101+H123</f>
        <v>37401.500000000007</v>
      </c>
      <c r="I195" s="69">
        <f>I101+I123</f>
        <v>11868</v>
      </c>
      <c r="J195" s="69">
        <f>J101+J123</f>
        <v>12448.5</v>
      </c>
      <c r="K195" s="69">
        <f>K101+K123</f>
        <v>13085</v>
      </c>
      <c r="L195" s="217"/>
    </row>
    <row r="196" spans="1:12" ht="75" customHeight="1">
      <c r="A196" s="382"/>
      <c r="B196" s="382"/>
      <c r="C196" s="382"/>
      <c r="D196" s="383"/>
      <c r="E196" s="324"/>
      <c r="F196" s="373"/>
      <c r="G196" s="193" t="s">
        <v>197</v>
      </c>
      <c r="H196" s="69">
        <f>I196+J196+K196</f>
        <v>200</v>
      </c>
      <c r="I196" s="69">
        <f>I165</f>
        <v>200</v>
      </c>
      <c r="J196" s="69">
        <f>J165</f>
        <v>0</v>
      </c>
      <c r="K196" s="69">
        <f>K165</f>
        <v>0</v>
      </c>
      <c r="L196" s="217"/>
    </row>
    <row r="197" spans="1:12" ht="75" customHeight="1">
      <c r="A197" s="382"/>
      <c r="B197" s="382"/>
      <c r="C197" s="382"/>
      <c r="D197" s="383"/>
      <c r="E197" s="286" t="s">
        <v>151</v>
      </c>
      <c r="F197" s="373"/>
      <c r="G197" s="214" t="s">
        <v>66</v>
      </c>
      <c r="H197" s="68">
        <f>SUM(H198:H199)</f>
        <v>252245.2</v>
      </c>
      <c r="I197" s="68">
        <f>SUM(I198:I199)</f>
        <v>83848.5</v>
      </c>
      <c r="J197" s="68">
        <f>SUM(J198:J199)</f>
        <v>84073.3</v>
      </c>
      <c r="K197" s="68">
        <f>SUM(K198:K199)</f>
        <v>84323.4</v>
      </c>
      <c r="L197" s="217"/>
    </row>
    <row r="198" spans="1:12" ht="75" customHeight="1">
      <c r="A198" s="382"/>
      <c r="B198" s="382"/>
      <c r="C198" s="382"/>
      <c r="D198" s="383"/>
      <c r="E198" s="287"/>
      <c r="F198" s="373"/>
      <c r="G198" s="175" t="s">
        <v>194</v>
      </c>
      <c r="H198" s="69">
        <f>H126</f>
        <v>11255.199999999999</v>
      </c>
      <c r="I198" s="69">
        <f>I126</f>
        <v>3518.5</v>
      </c>
      <c r="J198" s="69">
        <f>J126</f>
        <v>3743.2999999999997</v>
      </c>
      <c r="K198" s="69">
        <f>K126</f>
        <v>3993.4</v>
      </c>
      <c r="L198" s="217"/>
    </row>
    <row r="199" spans="1:12" ht="97.5" customHeight="1">
      <c r="A199" s="384"/>
      <c r="B199" s="384"/>
      <c r="C199" s="384"/>
      <c r="D199" s="385"/>
      <c r="E199" s="324"/>
      <c r="F199" s="374"/>
      <c r="G199" s="193" t="s">
        <v>197</v>
      </c>
      <c r="H199" s="69">
        <f>H166</f>
        <v>240990</v>
      </c>
      <c r="I199" s="69">
        <f>I166</f>
        <v>80330</v>
      </c>
      <c r="J199" s="69">
        <f>J166</f>
        <v>80330</v>
      </c>
      <c r="K199" s="69">
        <f>K166</f>
        <v>80330</v>
      </c>
      <c r="L199" s="218"/>
    </row>
    <row r="200" spans="1:12" ht="75" customHeight="1">
      <c r="A200" s="445" t="s">
        <v>111</v>
      </c>
      <c r="B200" s="445"/>
      <c r="C200" s="445"/>
      <c r="D200" s="445"/>
      <c r="E200" s="445"/>
      <c r="F200" s="445"/>
      <c r="G200" s="445"/>
      <c r="H200" s="445"/>
      <c r="I200" s="445"/>
      <c r="J200" s="445"/>
      <c r="K200" s="445"/>
      <c r="L200" s="446"/>
    </row>
    <row r="201" spans="1:12" ht="88.5" customHeight="1">
      <c r="A201" s="226" t="s">
        <v>112</v>
      </c>
      <c r="B201" s="409" t="s">
        <v>410</v>
      </c>
      <c r="C201" s="410"/>
      <c r="D201" s="410"/>
      <c r="E201" s="410"/>
      <c r="F201" s="411"/>
      <c r="G201" s="176" t="s">
        <v>62</v>
      </c>
      <c r="H201" s="68">
        <f>SUM(H202:H206)</f>
        <v>1960.2</v>
      </c>
      <c r="I201" s="68">
        <f>SUM(I202:I206)</f>
        <v>653.4</v>
      </c>
      <c r="J201" s="68">
        <f>SUM(J202:J206)</f>
        <v>653.4</v>
      </c>
      <c r="K201" s="68">
        <f>SUM(K202:K206)</f>
        <v>653.4</v>
      </c>
      <c r="L201" s="271" t="s">
        <v>411</v>
      </c>
    </row>
    <row r="202" spans="1:12" ht="4.5" hidden="1" customHeight="1">
      <c r="A202" s="435" t="s">
        <v>114</v>
      </c>
      <c r="B202" s="380"/>
      <c r="C202" s="380"/>
      <c r="D202" s="381"/>
      <c r="E202" s="195" t="s">
        <v>60</v>
      </c>
      <c r="F202" s="425"/>
      <c r="G202" s="288" t="s">
        <v>194</v>
      </c>
      <c r="H202" s="68">
        <f>I202+J202+K202</f>
        <v>0</v>
      </c>
      <c r="I202" s="69"/>
      <c r="J202" s="69"/>
      <c r="K202" s="69"/>
      <c r="L202" s="272"/>
    </row>
    <row r="203" spans="1:12" ht="82.5" customHeight="1">
      <c r="A203" s="436"/>
      <c r="B203" s="382"/>
      <c r="C203" s="382"/>
      <c r="D203" s="383"/>
      <c r="E203" s="195" t="s">
        <v>54</v>
      </c>
      <c r="F203" s="426"/>
      <c r="G203" s="289"/>
      <c r="H203" s="68">
        <f>I203+J203+K203</f>
        <v>490.20000000000005</v>
      </c>
      <c r="I203" s="69">
        <v>163.4</v>
      </c>
      <c r="J203" s="69">
        <v>163.4</v>
      </c>
      <c r="K203" s="69">
        <v>163.4</v>
      </c>
      <c r="L203" s="272"/>
    </row>
    <row r="204" spans="1:12" ht="75" hidden="1" customHeight="1">
      <c r="A204" s="436"/>
      <c r="B204" s="382"/>
      <c r="C204" s="382"/>
      <c r="D204" s="383"/>
      <c r="E204" s="195" t="s">
        <v>55</v>
      </c>
      <c r="F204" s="426"/>
      <c r="G204" s="289"/>
      <c r="H204" s="68">
        <f>I204+J204+K204</f>
        <v>0</v>
      </c>
      <c r="I204" s="69"/>
      <c r="J204" s="69"/>
      <c r="K204" s="69"/>
      <c r="L204" s="272"/>
    </row>
    <row r="205" spans="1:12" ht="92.25" hidden="1" customHeight="1">
      <c r="A205" s="436"/>
      <c r="B205" s="382"/>
      <c r="C205" s="382"/>
      <c r="D205" s="383"/>
      <c r="E205" s="195" t="s">
        <v>57</v>
      </c>
      <c r="F205" s="426"/>
      <c r="G205" s="289"/>
      <c r="H205" s="68">
        <f>I205+J205+K205</f>
        <v>0</v>
      </c>
      <c r="I205" s="69"/>
      <c r="J205" s="69"/>
      <c r="K205" s="69"/>
      <c r="L205" s="272"/>
    </row>
    <row r="206" spans="1:12" ht="92.25" customHeight="1">
      <c r="A206" s="437"/>
      <c r="B206" s="384"/>
      <c r="C206" s="384"/>
      <c r="D206" s="385"/>
      <c r="E206" s="190" t="s">
        <v>56</v>
      </c>
      <c r="F206" s="427"/>
      <c r="G206" s="290"/>
      <c r="H206" s="68">
        <f>I206+J206+K206</f>
        <v>1470</v>
      </c>
      <c r="I206" s="69">
        <v>490</v>
      </c>
      <c r="J206" s="69">
        <v>490</v>
      </c>
      <c r="K206" s="69">
        <v>490</v>
      </c>
      <c r="L206" s="273"/>
    </row>
    <row r="207" spans="1:12" ht="90" customHeight="1">
      <c r="A207" s="177" t="s">
        <v>123</v>
      </c>
      <c r="B207" s="409" t="s">
        <v>174</v>
      </c>
      <c r="C207" s="410"/>
      <c r="D207" s="410"/>
      <c r="E207" s="410"/>
      <c r="F207" s="411"/>
      <c r="G207" s="176" t="s">
        <v>62</v>
      </c>
      <c r="H207" s="68">
        <f>SUM(H208:H219)</f>
        <v>73447.099999999991</v>
      </c>
      <c r="I207" s="68">
        <f>SUM(I208:I219)</f>
        <v>9596.6</v>
      </c>
      <c r="J207" s="68">
        <f t="shared" ref="J207:K207" si="16">SUM(J208:J219)</f>
        <v>31850.5</v>
      </c>
      <c r="K207" s="68">
        <f t="shared" si="16"/>
        <v>32000</v>
      </c>
      <c r="L207" s="271" t="s">
        <v>113</v>
      </c>
    </row>
    <row r="208" spans="1:12" ht="75" hidden="1" customHeight="1">
      <c r="A208" s="310" t="s">
        <v>114</v>
      </c>
      <c r="B208" s="311"/>
      <c r="C208" s="311"/>
      <c r="D208" s="439"/>
      <c r="E208" s="271" t="s">
        <v>60</v>
      </c>
      <c r="F208" s="433"/>
      <c r="G208" s="193" t="s">
        <v>194</v>
      </c>
      <c r="H208" s="68">
        <f t="shared" ref="H208:H219" si="17">I208+J208+K208</f>
        <v>0</v>
      </c>
      <c r="I208" s="68"/>
      <c r="J208" s="68"/>
      <c r="K208" s="68"/>
      <c r="L208" s="272"/>
    </row>
    <row r="209" spans="1:12" ht="75" customHeight="1">
      <c r="A209" s="312"/>
      <c r="B209" s="313"/>
      <c r="C209" s="313"/>
      <c r="D209" s="440"/>
      <c r="E209" s="273"/>
      <c r="F209" s="434"/>
      <c r="G209" s="193" t="s">
        <v>197</v>
      </c>
      <c r="H209" s="69">
        <f>I209+J209+K209</f>
        <v>22495</v>
      </c>
      <c r="I209" s="178">
        <v>495</v>
      </c>
      <c r="J209" s="69">
        <v>18000</v>
      </c>
      <c r="K209" s="69">
        <v>4000</v>
      </c>
      <c r="L209" s="272"/>
    </row>
    <row r="210" spans="1:12" ht="82.5" customHeight="1">
      <c r="A210" s="312"/>
      <c r="B210" s="313"/>
      <c r="C210" s="313"/>
      <c r="D210" s="440"/>
      <c r="E210" s="271" t="s">
        <v>322</v>
      </c>
      <c r="F210" s="433"/>
      <c r="G210" s="193" t="s">
        <v>194</v>
      </c>
      <c r="H210" s="69">
        <f t="shared" ref="H210:H211" si="18">I210+J210+K210</f>
        <v>59.2</v>
      </c>
      <c r="I210" s="69">
        <f>47.2+12</f>
        <v>59.2</v>
      </c>
      <c r="J210" s="69"/>
      <c r="K210" s="69"/>
      <c r="L210" s="272"/>
    </row>
    <row r="211" spans="1:12" ht="80.25" customHeight="1">
      <c r="A211" s="312"/>
      <c r="B211" s="313"/>
      <c r="C211" s="313"/>
      <c r="D211" s="440"/>
      <c r="E211" s="273"/>
      <c r="F211" s="434"/>
      <c r="G211" s="193" t="s">
        <v>197</v>
      </c>
      <c r="H211" s="69">
        <f t="shared" si="18"/>
        <v>20350.5</v>
      </c>
      <c r="I211" s="69">
        <v>500</v>
      </c>
      <c r="J211" s="69">
        <v>2850.5</v>
      </c>
      <c r="K211" s="69">
        <v>17000</v>
      </c>
      <c r="L211" s="272"/>
    </row>
    <row r="212" spans="1:12" ht="95.25" customHeight="1">
      <c r="A212" s="312"/>
      <c r="B212" s="313"/>
      <c r="C212" s="313"/>
      <c r="D212" s="440"/>
      <c r="E212" s="190" t="s">
        <v>323</v>
      </c>
      <c r="F212" s="196"/>
      <c r="G212" s="193" t="s">
        <v>197</v>
      </c>
      <c r="H212" s="69">
        <f>I212+J212+K212</f>
        <v>17000</v>
      </c>
      <c r="I212" s="69"/>
      <c r="J212" s="69">
        <v>11000</v>
      </c>
      <c r="K212" s="69">
        <v>6000</v>
      </c>
      <c r="L212" s="272"/>
    </row>
    <row r="213" spans="1:12" ht="82.5" customHeight="1">
      <c r="A213" s="312"/>
      <c r="B213" s="313"/>
      <c r="C213" s="313"/>
      <c r="D213" s="440"/>
      <c r="E213" s="271" t="s">
        <v>57</v>
      </c>
      <c r="F213" s="433"/>
      <c r="G213" s="193" t="s">
        <v>194</v>
      </c>
      <c r="H213" s="69">
        <f>I213+J213+K213</f>
        <v>65.2</v>
      </c>
      <c r="I213" s="69">
        <f>47.2+6+12</f>
        <v>65.2</v>
      </c>
      <c r="J213" s="69"/>
      <c r="K213" s="69"/>
      <c r="L213" s="272"/>
    </row>
    <row r="214" spans="1:12" ht="84.75" customHeight="1">
      <c r="A214" s="312"/>
      <c r="B214" s="313"/>
      <c r="C214" s="313"/>
      <c r="D214" s="440"/>
      <c r="E214" s="273"/>
      <c r="F214" s="434"/>
      <c r="G214" s="193" t="s">
        <v>197</v>
      </c>
      <c r="H214" s="69">
        <f>I214+J214+K214</f>
        <v>7640.5</v>
      </c>
      <c r="I214" s="69">
        <f>6900+700+40.5</f>
        <v>7640.5</v>
      </c>
      <c r="J214" s="69"/>
      <c r="K214" s="69"/>
      <c r="L214" s="272"/>
    </row>
    <row r="215" spans="1:12" ht="89.25" customHeight="1">
      <c r="A215" s="312"/>
      <c r="B215" s="313"/>
      <c r="C215" s="313"/>
      <c r="D215" s="440"/>
      <c r="E215" s="216" t="s">
        <v>169</v>
      </c>
      <c r="F215" s="179"/>
      <c r="G215" s="193" t="s">
        <v>197</v>
      </c>
      <c r="H215" s="69">
        <f>I215+J215+K215</f>
        <v>836.7</v>
      </c>
      <c r="I215" s="69">
        <v>836.7</v>
      </c>
      <c r="J215" s="69"/>
      <c r="K215" s="69"/>
      <c r="L215" s="272"/>
    </row>
    <row r="216" spans="1:12" ht="87" hidden="1" customHeight="1">
      <c r="A216" s="312"/>
      <c r="B216" s="313"/>
      <c r="C216" s="313"/>
      <c r="D216" s="440"/>
      <c r="E216" s="271" t="s">
        <v>53</v>
      </c>
      <c r="F216" s="425"/>
      <c r="G216" s="193" t="s">
        <v>194</v>
      </c>
      <c r="H216" s="69">
        <f t="shared" si="17"/>
        <v>0</v>
      </c>
      <c r="I216" s="69"/>
      <c r="J216" s="69"/>
      <c r="K216" s="69"/>
      <c r="L216" s="272"/>
    </row>
    <row r="217" spans="1:12" ht="108" customHeight="1">
      <c r="A217" s="312"/>
      <c r="B217" s="313"/>
      <c r="C217" s="313"/>
      <c r="D217" s="440"/>
      <c r="E217" s="272"/>
      <c r="F217" s="426"/>
      <c r="G217" s="193" t="s">
        <v>172</v>
      </c>
      <c r="H217" s="68">
        <f t="shared" si="17"/>
        <v>5000</v>
      </c>
      <c r="I217" s="69"/>
      <c r="J217" s="69"/>
      <c r="K217" s="145">
        <v>5000</v>
      </c>
      <c r="L217" s="272"/>
    </row>
    <row r="218" spans="1:12" ht="72.75" hidden="1" customHeight="1">
      <c r="A218" s="312"/>
      <c r="B218" s="313"/>
      <c r="C218" s="313"/>
      <c r="D218" s="440"/>
      <c r="E218" s="272"/>
      <c r="F218" s="426"/>
      <c r="G218" s="198" t="s">
        <v>141</v>
      </c>
      <c r="H218" s="170">
        <f t="shared" si="17"/>
        <v>0</v>
      </c>
      <c r="I218" s="171"/>
      <c r="J218" s="171"/>
      <c r="K218" s="170"/>
      <c r="L218" s="272"/>
    </row>
    <row r="219" spans="1:12" ht="69.75" hidden="1" customHeight="1">
      <c r="A219" s="314"/>
      <c r="B219" s="315"/>
      <c r="C219" s="315"/>
      <c r="D219" s="441"/>
      <c r="E219" s="273"/>
      <c r="F219" s="211"/>
      <c r="G219" s="193" t="s">
        <v>61</v>
      </c>
      <c r="H219" s="68">
        <f t="shared" si="17"/>
        <v>0</v>
      </c>
      <c r="I219" s="69"/>
      <c r="J219" s="69"/>
      <c r="K219" s="69"/>
      <c r="L219" s="273"/>
    </row>
    <row r="220" spans="1:12" ht="97.5" customHeight="1">
      <c r="A220" s="177" t="s">
        <v>124</v>
      </c>
      <c r="B220" s="318" t="s">
        <v>166</v>
      </c>
      <c r="C220" s="318"/>
      <c r="D220" s="318"/>
      <c r="E220" s="318"/>
      <c r="F220" s="318"/>
      <c r="G220" s="211" t="s">
        <v>62</v>
      </c>
      <c r="H220" s="68">
        <f>H225+H226+H224+H223+H222+H221</f>
        <v>24330.1</v>
      </c>
      <c r="I220" s="68">
        <f>I225+I226+I224+I223+I222+I221</f>
        <v>24330.1</v>
      </c>
      <c r="J220" s="68">
        <f t="shared" ref="J220:K220" si="19">J225+J226+J224+J223+J222+J221</f>
        <v>0</v>
      </c>
      <c r="K220" s="68">
        <f t="shared" si="19"/>
        <v>0</v>
      </c>
      <c r="L220" s="140"/>
    </row>
    <row r="221" spans="1:12" ht="75" hidden="1" customHeight="1">
      <c r="A221" s="291" t="s">
        <v>114</v>
      </c>
      <c r="B221" s="432"/>
      <c r="C221" s="432"/>
      <c r="D221" s="292"/>
      <c r="E221" s="195" t="s">
        <v>60</v>
      </c>
      <c r="F221" s="204"/>
      <c r="G221" s="288" t="s">
        <v>72</v>
      </c>
      <c r="H221" s="69">
        <f>I221+J221+K221</f>
        <v>0</v>
      </c>
      <c r="I221" s="102"/>
      <c r="J221" s="68">
        <v>0</v>
      </c>
      <c r="K221" s="68">
        <v>0</v>
      </c>
      <c r="L221" s="148"/>
    </row>
    <row r="222" spans="1:12" ht="294" customHeight="1">
      <c r="A222" s="180"/>
      <c r="B222" s="180"/>
      <c r="C222" s="180"/>
      <c r="D222" s="180"/>
      <c r="E222" s="195" t="s">
        <v>53</v>
      </c>
      <c r="F222" s="211"/>
      <c r="G222" s="289"/>
      <c r="H222" s="69">
        <f t="shared" ref="H222:H225" si="20">I222+J222+K222</f>
        <v>16800</v>
      </c>
      <c r="I222" s="102">
        <f>3100+13000-900+1600</f>
        <v>16800</v>
      </c>
      <c r="J222" s="69">
        <v>0</v>
      </c>
      <c r="K222" s="69">
        <v>0</v>
      </c>
      <c r="L222" s="208" t="s">
        <v>275</v>
      </c>
    </row>
    <row r="223" spans="1:12" ht="167.1" customHeight="1">
      <c r="A223" s="181"/>
      <c r="B223" s="181"/>
      <c r="C223" s="181"/>
      <c r="D223" s="181"/>
      <c r="E223" s="190" t="s">
        <v>169</v>
      </c>
      <c r="F223" s="222"/>
      <c r="G223" s="290"/>
      <c r="H223" s="69">
        <f t="shared" si="20"/>
        <v>7530.1</v>
      </c>
      <c r="I223" s="102">
        <v>7530.1</v>
      </c>
      <c r="J223" s="68">
        <v>0</v>
      </c>
      <c r="K223" s="69">
        <v>0</v>
      </c>
      <c r="L223" s="208" t="s">
        <v>328</v>
      </c>
    </row>
    <row r="224" spans="1:12" ht="75" hidden="1" customHeight="1">
      <c r="A224" s="181"/>
      <c r="B224" s="181"/>
      <c r="C224" s="181"/>
      <c r="D224" s="181"/>
      <c r="E224" s="195" t="s">
        <v>60</v>
      </c>
      <c r="F224" s="222"/>
      <c r="G224" s="282"/>
      <c r="H224" s="69">
        <f t="shared" si="20"/>
        <v>0</v>
      </c>
      <c r="I224" s="69"/>
      <c r="J224" s="68"/>
      <c r="K224" s="69"/>
      <c r="L224" s="148"/>
    </row>
    <row r="225" spans="1:12" ht="75" hidden="1" customHeight="1">
      <c r="A225" s="181"/>
      <c r="B225" s="181"/>
      <c r="C225" s="181"/>
      <c r="D225" s="181"/>
      <c r="E225" s="195" t="s">
        <v>53</v>
      </c>
      <c r="F225" s="222"/>
      <c r="G225" s="282"/>
      <c r="H225" s="69">
        <f t="shared" si="20"/>
        <v>0</v>
      </c>
      <c r="I225" s="69"/>
      <c r="J225" s="68"/>
      <c r="K225" s="69"/>
      <c r="L225" s="148"/>
    </row>
    <row r="226" spans="1:12" ht="75" hidden="1" customHeight="1">
      <c r="A226" s="181"/>
      <c r="B226" s="181"/>
      <c r="C226" s="181"/>
      <c r="D226" s="181"/>
      <c r="E226" s="190" t="s">
        <v>169</v>
      </c>
      <c r="F226" s="222"/>
      <c r="G226" s="282"/>
      <c r="H226" s="69">
        <f>I226+J226+K226</f>
        <v>0</v>
      </c>
      <c r="I226" s="69"/>
      <c r="J226" s="68"/>
      <c r="K226" s="69"/>
      <c r="L226" s="182"/>
    </row>
    <row r="227" spans="1:12" ht="114.75" hidden="1" customHeight="1">
      <c r="A227" s="226" t="s">
        <v>125</v>
      </c>
      <c r="B227" s="318" t="s">
        <v>165</v>
      </c>
      <c r="C227" s="318"/>
      <c r="D227" s="318"/>
      <c r="E227" s="318"/>
      <c r="F227" s="318"/>
      <c r="G227" s="211" t="s">
        <v>62</v>
      </c>
      <c r="H227" s="68">
        <f>H228</f>
        <v>0</v>
      </c>
      <c r="I227" s="68">
        <f>I228</f>
        <v>0</v>
      </c>
      <c r="J227" s="68">
        <f>J228</f>
        <v>0</v>
      </c>
      <c r="K227" s="68">
        <f>K228</f>
        <v>0</v>
      </c>
      <c r="L227" s="271"/>
    </row>
    <row r="228" spans="1:12" ht="144" hidden="1" customHeight="1">
      <c r="A228" s="442" t="s">
        <v>114</v>
      </c>
      <c r="B228" s="443"/>
      <c r="C228" s="443"/>
      <c r="D228" s="444"/>
      <c r="E228" s="195"/>
      <c r="F228" s="211"/>
      <c r="G228" s="193" t="s">
        <v>144</v>
      </c>
      <c r="H228" s="68">
        <f>I228+J228+K228</f>
        <v>0</v>
      </c>
      <c r="I228" s="69"/>
      <c r="J228" s="69"/>
      <c r="K228" s="69"/>
      <c r="L228" s="273"/>
    </row>
    <row r="229" spans="1:12" ht="99.75" hidden="1" customHeight="1">
      <c r="A229" s="226" t="s">
        <v>126</v>
      </c>
      <c r="B229" s="318" t="s">
        <v>115</v>
      </c>
      <c r="C229" s="318"/>
      <c r="D229" s="318"/>
      <c r="E229" s="318"/>
      <c r="F229" s="318"/>
      <c r="G229" s="211" t="s">
        <v>62</v>
      </c>
      <c r="H229" s="68">
        <f>H230</f>
        <v>0</v>
      </c>
      <c r="I229" s="68">
        <f>I230</f>
        <v>0</v>
      </c>
      <c r="J229" s="68">
        <f>J230</f>
        <v>0</v>
      </c>
      <c r="K229" s="68">
        <f>K230</f>
        <v>0</v>
      </c>
      <c r="L229" s="271" t="s">
        <v>47</v>
      </c>
    </row>
    <row r="230" spans="1:12" ht="145.5" hidden="1" customHeight="1">
      <c r="A230" s="438"/>
      <c r="B230" s="438"/>
      <c r="C230" s="438"/>
      <c r="D230" s="438"/>
      <c r="E230" s="195" t="s">
        <v>63</v>
      </c>
      <c r="F230" s="207"/>
      <c r="G230" s="288" t="s">
        <v>172</v>
      </c>
      <c r="H230" s="68">
        <f>H231+H232+H233+H235+H234</f>
        <v>0</v>
      </c>
      <c r="I230" s="68"/>
      <c r="J230" s="68"/>
      <c r="K230" s="68"/>
      <c r="L230" s="272"/>
    </row>
    <row r="231" spans="1:12" ht="75" hidden="1" customHeight="1">
      <c r="A231" s="428" t="s">
        <v>114</v>
      </c>
      <c r="B231" s="429"/>
      <c r="C231" s="429"/>
      <c r="D231" s="429"/>
      <c r="E231" s="195" t="s">
        <v>54</v>
      </c>
      <c r="F231" s="207"/>
      <c r="G231" s="289"/>
      <c r="H231" s="68">
        <f>I231+J231+K231</f>
        <v>0</v>
      </c>
      <c r="I231" s="102"/>
      <c r="J231" s="69"/>
      <c r="K231" s="69"/>
      <c r="L231" s="272"/>
    </row>
    <row r="232" spans="1:12" ht="70.5" hidden="1" customHeight="1">
      <c r="A232" s="430"/>
      <c r="B232" s="431"/>
      <c r="C232" s="431"/>
      <c r="D232" s="431"/>
      <c r="E232" s="195" t="s">
        <v>55</v>
      </c>
      <c r="F232" s="207"/>
      <c r="G232" s="289"/>
      <c r="H232" s="68">
        <f>I232+J232+K232</f>
        <v>0</v>
      </c>
      <c r="I232" s="69"/>
      <c r="J232" s="69"/>
      <c r="K232" s="69"/>
      <c r="L232" s="272"/>
    </row>
    <row r="233" spans="1:12" ht="96" hidden="1" customHeight="1">
      <c r="A233" s="430"/>
      <c r="B233" s="431"/>
      <c r="C233" s="431"/>
      <c r="D233" s="431"/>
      <c r="E233" s="190" t="s">
        <v>57</v>
      </c>
      <c r="F233" s="207"/>
      <c r="G233" s="289"/>
      <c r="H233" s="68">
        <f>I233+J233+K233</f>
        <v>0</v>
      </c>
      <c r="I233" s="102"/>
      <c r="J233" s="69"/>
      <c r="K233" s="69"/>
      <c r="L233" s="272"/>
    </row>
    <row r="234" spans="1:12" ht="96" hidden="1" customHeight="1">
      <c r="A234" s="224"/>
      <c r="B234" s="225"/>
      <c r="C234" s="225"/>
      <c r="D234" s="225"/>
      <c r="E234" s="195" t="s">
        <v>169</v>
      </c>
      <c r="F234" s="84"/>
      <c r="G234" s="289"/>
      <c r="H234" s="68">
        <f>I234+J234+K234</f>
        <v>0</v>
      </c>
      <c r="I234" s="102"/>
      <c r="J234" s="69"/>
      <c r="K234" s="69"/>
      <c r="L234" s="191"/>
    </row>
    <row r="235" spans="1:12" ht="36.6" hidden="1" customHeight="1">
      <c r="A235" s="224"/>
      <c r="B235" s="225"/>
      <c r="C235" s="225"/>
      <c r="D235" s="225"/>
      <c r="E235" s="195" t="s">
        <v>53</v>
      </c>
      <c r="F235" s="84"/>
      <c r="G235" s="290"/>
      <c r="H235" s="68">
        <f>I235+J235+K235</f>
        <v>0</v>
      </c>
      <c r="I235" s="70"/>
      <c r="J235" s="70"/>
      <c r="K235" s="70"/>
      <c r="L235" s="191"/>
    </row>
    <row r="236" spans="1:12" ht="93.75" customHeight="1">
      <c r="A236" s="183" t="s">
        <v>125</v>
      </c>
      <c r="B236" s="412" t="s">
        <v>116</v>
      </c>
      <c r="C236" s="413"/>
      <c r="D236" s="413"/>
      <c r="E236" s="413"/>
      <c r="F236" s="184"/>
      <c r="G236" s="211" t="s">
        <v>62</v>
      </c>
      <c r="H236" s="185">
        <f>SUM(H237:H247)</f>
        <v>2728863.9</v>
      </c>
      <c r="I236" s="185">
        <f>SUM(I237:I247)</f>
        <v>825120.9</v>
      </c>
      <c r="J236" s="185">
        <f>SUM(J237:J247)</f>
        <v>886498</v>
      </c>
      <c r="K236" s="185">
        <f>SUM(K237:K247)</f>
        <v>1017245</v>
      </c>
      <c r="L236" s="328" t="s">
        <v>173</v>
      </c>
    </row>
    <row r="237" spans="1:12" ht="75" customHeight="1">
      <c r="A237" s="414" t="s">
        <v>114</v>
      </c>
      <c r="B237" s="415"/>
      <c r="C237" s="415"/>
      <c r="D237" s="416"/>
      <c r="E237" s="195" t="s">
        <v>60</v>
      </c>
      <c r="F237" s="211"/>
      <c r="G237" s="288" t="s">
        <v>64</v>
      </c>
      <c r="H237" s="68">
        <f>I237+J237+K237</f>
        <v>953600</v>
      </c>
      <c r="I237" s="69">
        <v>239000</v>
      </c>
      <c r="J237" s="69">
        <v>310700</v>
      </c>
      <c r="K237" s="69">
        <v>403900</v>
      </c>
      <c r="L237" s="329"/>
    </row>
    <row r="238" spans="1:12" ht="75" customHeight="1">
      <c r="A238" s="417"/>
      <c r="B238" s="418"/>
      <c r="C238" s="418"/>
      <c r="D238" s="419"/>
      <c r="E238" s="195" t="s">
        <v>54</v>
      </c>
      <c r="F238" s="211"/>
      <c r="G238" s="289"/>
      <c r="H238" s="68">
        <f t="shared" ref="H238:H247" si="21">I238+J238+K238</f>
        <v>213000</v>
      </c>
      <c r="I238" s="69">
        <v>70000</v>
      </c>
      <c r="J238" s="69">
        <v>71000</v>
      </c>
      <c r="K238" s="69">
        <v>72000</v>
      </c>
      <c r="L238" s="329"/>
    </row>
    <row r="239" spans="1:12" ht="75" customHeight="1">
      <c r="A239" s="417"/>
      <c r="B239" s="418"/>
      <c r="C239" s="418"/>
      <c r="D239" s="419"/>
      <c r="E239" s="195" t="s">
        <v>55</v>
      </c>
      <c r="F239" s="211"/>
      <c r="G239" s="289"/>
      <c r="H239" s="68">
        <f t="shared" si="21"/>
        <v>442226.30000000005</v>
      </c>
      <c r="I239" s="69">
        <v>154859</v>
      </c>
      <c r="J239" s="69">
        <v>133659.20000000001</v>
      </c>
      <c r="K239" s="69">
        <v>153708.1</v>
      </c>
      <c r="L239" s="329"/>
    </row>
    <row r="240" spans="1:12" ht="75" customHeight="1">
      <c r="A240" s="417"/>
      <c r="B240" s="418"/>
      <c r="C240" s="418"/>
      <c r="D240" s="419"/>
      <c r="E240" s="195" t="s">
        <v>53</v>
      </c>
      <c r="F240" s="211"/>
      <c r="G240" s="289"/>
      <c r="H240" s="68">
        <f t="shared" si="21"/>
        <v>324.8</v>
      </c>
      <c r="I240" s="69">
        <v>100.5</v>
      </c>
      <c r="J240" s="69">
        <v>108.8</v>
      </c>
      <c r="K240" s="69">
        <v>115.5</v>
      </c>
      <c r="L240" s="329"/>
    </row>
    <row r="241" spans="1:12" ht="93.75" customHeight="1">
      <c r="A241" s="417"/>
      <c r="B241" s="418"/>
      <c r="C241" s="418"/>
      <c r="D241" s="419"/>
      <c r="E241" s="190" t="s">
        <v>57</v>
      </c>
      <c r="F241" s="223"/>
      <c r="G241" s="289"/>
      <c r="H241" s="68">
        <f t="shared" si="21"/>
        <v>237000</v>
      </c>
      <c r="I241" s="69">
        <v>75000</v>
      </c>
      <c r="J241" s="69">
        <v>80000</v>
      </c>
      <c r="K241" s="69">
        <v>82000</v>
      </c>
      <c r="L241" s="329"/>
    </row>
    <row r="242" spans="1:12" ht="75" customHeight="1">
      <c r="A242" s="417"/>
      <c r="B242" s="418"/>
      <c r="C242" s="418"/>
      <c r="D242" s="419"/>
      <c r="E242" s="190" t="s">
        <v>56</v>
      </c>
      <c r="F242" s="211"/>
      <c r="G242" s="289"/>
      <c r="H242" s="68">
        <f t="shared" si="21"/>
        <v>945.4</v>
      </c>
      <c r="I242" s="69">
        <v>285.60000000000002</v>
      </c>
      <c r="J242" s="69">
        <v>314.2</v>
      </c>
      <c r="K242" s="69">
        <v>345.6</v>
      </c>
      <c r="L242" s="329"/>
    </row>
    <row r="243" spans="1:12" ht="75" customHeight="1">
      <c r="A243" s="417"/>
      <c r="B243" s="418"/>
      <c r="C243" s="418"/>
      <c r="D243" s="419"/>
      <c r="E243" s="195" t="s">
        <v>169</v>
      </c>
      <c r="F243" s="211"/>
      <c r="G243" s="289"/>
      <c r="H243" s="68">
        <f t="shared" si="21"/>
        <v>434940</v>
      </c>
      <c r="I243" s="69">
        <v>131400</v>
      </c>
      <c r="J243" s="69">
        <v>144540</v>
      </c>
      <c r="K243" s="69">
        <v>159000</v>
      </c>
      <c r="L243" s="329"/>
    </row>
    <row r="244" spans="1:12" ht="75" customHeight="1">
      <c r="A244" s="417"/>
      <c r="B244" s="418"/>
      <c r="C244" s="418"/>
      <c r="D244" s="419"/>
      <c r="E244" s="195" t="s">
        <v>58</v>
      </c>
      <c r="F244" s="211"/>
      <c r="G244" s="289"/>
      <c r="H244" s="68">
        <f t="shared" si="21"/>
        <v>225755.40000000002</v>
      </c>
      <c r="I244" s="69">
        <v>76451.8</v>
      </c>
      <c r="J244" s="69">
        <v>74651.8</v>
      </c>
      <c r="K244" s="69">
        <v>74651.8</v>
      </c>
      <c r="L244" s="329"/>
    </row>
    <row r="245" spans="1:12" ht="75" customHeight="1">
      <c r="A245" s="417"/>
      <c r="B245" s="418"/>
      <c r="C245" s="418"/>
      <c r="D245" s="419"/>
      <c r="E245" s="195" t="s">
        <v>59</v>
      </c>
      <c r="F245" s="211"/>
      <c r="G245" s="289"/>
      <c r="H245" s="68">
        <f t="shared" si="21"/>
        <v>214572</v>
      </c>
      <c r="I245" s="69">
        <v>71524</v>
      </c>
      <c r="J245" s="69">
        <v>71524</v>
      </c>
      <c r="K245" s="69">
        <v>71524</v>
      </c>
      <c r="L245" s="329"/>
    </row>
    <row r="246" spans="1:12" ht="96" hidden="1" customHeight="1">
      <c r="A246" s="417"/>
      <c r="B246" s="418"/>
      <c r="C246" s="418"/>
      <c r="D246" s="419"/>
      <c r="E246" s="195" t="s">
        <v>133</v>
      </c>
      <c r="F246" s="211"/>
      <c r="G246" s="289"/>
      <c r="H246" s="68">
        <f t="shared" si="21"/>
        <v>0</v>
      </c>
      <c r="I246" s="69"/>
      <c r="J246" s="69"/>
      <c r="K246" s="69"/>
      <c r="L246" s="329"/>
    </row>
    <row r="247" spans="1:12" ht="104.25" customHeight="1">
      <c r="A247" s="420"/>
      <c r="B247" s="421"/>
      <c r="C247" s="421"/>
      <c r="D247" s="422"/>
      <c r="E247" s="195" t="s">
        <v>134</v>
      </c>
      <c r="F247" s="211"/>
      <c r="G247" s="290"/>
      <c r="H247" s="68">
        <f t="shared" si="21"/>
        <v>6500</v>
      </c>
      <c r="I247" s="69">
        <v>6500</v>
      </c>
      <c r="J247" s="69"/>
      <c r="K247" s="69"/>
      <c r="L247" s="423"/>
    </row>
    <row r="248" spans="1:12" ht="75" customHeight="1">
      <c r="A248" s="183" t="s">
        <v>126</v>
      </c>
      <c r="B248" s="186" t="s">
        <v>117</v>
      </c>
      <c r="C248" s="187"/>
      <c r="D248" s="184"/>
      <c r="E248" s="187"/>
      <c r="F248" s="184"/>
      <c r="G248" s="211" t="s">
        <v>62</v>
      </c>
      <c r="H248" s="185">
        <f>SUM(H249:H257)</f>
        <v>145115.5178375</v>
      </c>
      <c r="I248" s="185">
        <f t="shared" ref="I248:K248" si="22">SUM(I249:I257)</f>
        <v>44463.715000000004</v>
      </c>
      <c r="J248" s="185">
        <f t="shared" si="22"/>
        <v>48105.722249999999</v>
      </c>
      <c r="K248" s="185">
        <f t="shared" si="22"/>
        <v>52546.080587499993</v>
      </c>
      <c r="L248" s="271" t="s">
        <v>73</v>
      </c>
    </row>
    <row r="249" spans="1:12" ht="75" customHeight="1">
      <c r="A249" s="302" t="s">
        <v>114</v>
      </c>
      <c r="B249" s="303"/>
      <c r="C249" s="303"/>
      <c r="D249" s="303"/>
      <c r="E249" s="195" t="s">
        <v>60</v>
      </c>
      <c r="F249" s="447"/>
      <c r="G249" s="288" t="s">
        <v>67</v>
      </c>
      <c r="H249" s="68">
        <f t="shared" ref="H249:H257" si="23">I249+J249+K249</f>
        <v>30586.400000000001</v>
      </c>
      <c r="I249" s="69">
        <v>8486.4</v>
      </c>
      <c r="J249" s="69">
        <v>10100</v>
      </c>
      <c r="K249" s="69">
        <v>12000</v>
      </c>
      <c r="L249" s="272"/>
    </row>
    <row r="250" spans="1:12" ht="75" customHeight="1">
      <c r="A250" s="305"/>
      <c r="B250" s="306"/>
      <c r="C250" s="306"/>
      <c r="D250" s="306"/>
      <c r="E250" s="195" t="s">
        <v>54</v>
      </c>
      <c r="F250" s="448"/>
      <c r="G250" s="289"/>
      <c r="H250" s="68">
        <f t="shared" si="23"/>
        <v>34500</v>
      </c>
      <c r="I250" s="69">
        <v>11300</v>
      </c>
      <c r="J250" s="69">
        <v>11500</v>
      </c>
      <c r="K250" s="69">
        <v>11700</v>
      </c>
      <c r="L250" s="272"/>
    </row>
    <row r="251" spans="1:12" ht="75" customHeight="1">
      <c r="A251" s="305"/>
      <c r="B251" s="306"/>
      <c r="C251" s="306"/>
      <c r="D251" s="306"/>
      <c r="E251" s="195" t="s">
        <v>55</v>
      </c>
      <c r="F251" s="448"/>
      <c r="G251" s="289"/>
      <c r="H251" s="68">
        <f t="shared" si="23"/>
        <v>4329.2178374999985</v>
      </c>
      <c r="I251" s="69">
        <v>1246.7149999999997</v>
      </c>
      <c r="J251" s="69">
        <v>1433.7222499999996</v>
      </c>
      <c r="K251" s="69">
        <v>1648.7805874999995</v>
      </c>
      <c r="L251" s="272"/>
    </row>
    <row r="252" spans="1:12" ht="75" customHeight="1">
      <c r="A252" s="305"/>
      <c r="B252" s="306"/>
      <c r="C252" s="306"/>
      <c r="D252" s="306"/>
      <c r="E252" s="195" t="s">
        <v>53</v>
      </c>
      <c r="F252" s="448"/>
      <c r="G252" s="289"/>
      <c r="H252" s="68">
        <f t="shared" si="23"/>
        <v>4736.6000000000004</v>
      </c>
      <c r="I252" s="69">
        <v>1525.2</v>
      </c>
      <c r="J252" s="69">
        <v>1552.6</v>
      </c>
      <c r="K252" s="69">
        <v>1658.8</v>
      </c>
      <c r="L252" s="272"/>
    </row>
    <row r="253" spans="1:12" ht="75" customHeight="1">
      <c r="A253" s="305"/>
      <c r="B253" s="306"/>
      <c r="C253" s="306"/>
      <c r="D253" s="306"/>
      <c r="E253" s="195" t="s">
        <v>169</v>
      </c>
      <c r="F253" s="448"/>
      <c r="G253" s="289"/>
      <c r="H253" s="68">
        <f>I253+J253+K253</f>
        <v>14286</v>
      </c>
      <c r="I253" s="69">
        <v>4446</v>
      </c>
      <c r="J253" s="69">
        <v>4660</v>
      </c>
      <c r="K253" s="69">
        <v>5180</v>
      </c>
      <c r="L253" s="272"/>
    </row>
    <row r="254" spans="1:12" ht="86.25" customHeight="1">
      <c r="A254" s="305"/>
      <c r="B254" s="306"/>
      <c r="C254" s="306"/>
      <c r="D254" s="306"/>
      <c r="E254" s="195" t="s">
        <v>57</v>
      </c>
      <c r="F254" s="448"/>
      <c r="G254" s="289"/>
      <c r="H254" s="68">
        <f t="shared" si="23"/>
        <v>25500</v>
      </c>
      <c r="I254" s="69">
        <v>8000</v>
      </c>
      <c r="J254" s="69">
        <v>8500</v>
      </c>
      <c r="K254" s="69">
        <v>9000</v>
      </c>
      <c r="L254" s="272"/>
    </row>
    <row r="255" spans="1:12" ht="77.25" customHeight="1">
      <c r="A255" s="305"/>
      <c r="B255" s="306"/>
      <c r="C255" s="306"/>
      <c r="D255" s="306"/>
      <c r="E255" s="195" t="s">
        <v>56</v>
      </c>
      <c r="F255" s="448"/>
      <c r="G255" s="289"/>
      <c r="H255" s="68">
        <f t="shared" si="23"/>
        <v>29800</v>
      </c>
      <c r="I255" s="69">
        <v>9000</v>
      </c>
      <c r="J255" s="69">
        <v>9900</v>
      </c>
      <c r="K255" s="69">
        <v>10900</v>
      </c>
      <c r="L255" s="273"/>
    </row>
    <row r="256" spans="1:12" ht="77.25" customHeight="1">
      <c r="A256" s="305"/>
      <c r="B256" s="306"/>
      <c r="C256" s="306"/>
      <c r="D256" s="306"/>
      <c r="E256" s="195" t="s">
        <v>324</v>
      </c>
      <c r="F256" s="448"/>
      <c r="G256" s="289"/>
      <c r="H256" s="68">
        <f t="shared" si="23"/>
        <v>718.5</v>
      </c>
      <c r="I256" s="69">
        <v>239.8</v>
      </c>
      <c r="J256" s="69">
        <v>239.8</v>
      </c>
      <c r="K256" s="69">
        <v>238.9</v>
      </c>
      <c r="L256" s="191"/>
    </row>
    <row r="257" spans="1:12" ht="77.25" customHeight="1">
      <c r="A257" s="424"/>
      <c r="B257" s="283"/>
      <c r="C257" s="283"/>
      <c r="D257" s="283"/>
      <c r="E257" s="195" t="s">
        <v>59</v>
      </c>
      <c r="F257" s="449"/>
      <c r="G257" s="290"/>
      <c r="H257" s="68">
        <f t="shared" si="23"/>
        <v>658.8</v>
      </c>
      <c r="I257" s="69">
        <v>219.6</v>
      </c>
      <c r="J257" s="69">
        <v>219.6</v>
      </c>
      <c r="K257" s="69">
        <v>219.6</v>
      </c>
      <c r="L257" s="191"/>
    </row>
    <row r="258" spans="1:12" ht="50.25" customHeight="1">
      <c r="A258" s="409" t="s">
        <v>65</v>
      </c>
      <c r="B258" s="410"/>
      <c r="C258" s="410"/>
      <c r="D258" s="410"/>
      <c r="E258" s="410"/>
      <c r="F258" s="411"/>
      <c r="G258" s="172"/>
      <c r="H258" s="68">
        <f>H167+H201+H207+H220+H227+H229+H236+H248</f>
        <v>3617526.1178374998</v>
      </c>
      <c r="I258" s="68">
        <f>I167+I201+I207+I220+I227+I229+I236+I248</f>
        <v>1129895.7150000001</v>
      </c>
      <c r="J258" s="68">
        <f t="shared" ref="J258:K258" si="24">J167+J201+J207+J220+J227+J229+J236+J248</f>
        <v>1173382.9222500001</v>
      </c>
      <c r="K258" s="68">
        <f t="shared" si="24"/>
        <v>1314247.4805874999</v>
      </c>
      <c r="L258" s="378"/>
    </row>
    <row r="259" spans="1:12" ht="75" customHeight="1">
      <c r="A259" s="402" t="s">
        <v>209</v>
      </c>
      <c r="B259" s="354"/>
      <c r="C259" s="354"/>
      <c r="D259" s="354"/>
      <c r="E259" s="354"/>
      <c r="F259" s="355"/>
      <c r="G259" s="193" t="s">
        <v>194</v>
      </c>
      <c r="H259" s="69">
        <f>H168+H201+H216+H210+H213+H224+H226+H225</f>
        <v>304103.90000000008</v>
      </c>
      <c r="I259" s="69">
        <f>I168+I201+I216+I210+I213+I224+I226+I225</f>
        <v>101378.79999999999</v>
      </c>
      <c r="J259" s="69">
        <f t="shared" ref="J259:K259" si="25">J168+J201+J216+J210+J213+J224+J226+J225</f>
        <v>98598.7</v>
      </c>
      <c r="K259" s="69">
        <f t="shared" si="25"/>
        <v>104126.39999999999</v>
      </c>
      <c r="L259" s="379"/>
    </row>
    <row r="260" spans="1:12" ht="75" customHeight="1">
      <c r="A260" s="403"/>
      <c r="B260" s="404"/>
      <c r="C260" s="404"/>
      <c r="D260" s="404"/>
      <c r="E260" s="404"/>
      <c r="F260" s="405"/>
      <c r="G260" s="193" t="s">
        <v>197</v>
      </c>
      <c r="H260" s="69">
        <f>H169+H209+H214+H211+H212+H217+H215</f>
        <v>415112.7</v>
      </c>
      <c r="I260" s="69">
        <f>I169+I209+I214+I211+I212+I217+I215</f>
        <v>134602.20000000001</v>
      </c>
      <c r="J260" s="69">
        <f t="shared" ref="J260:K260" si="26">J169+J209+J214+J211+J212+J217+J215</f>
        <v>140180.5</v>
      </c>
      <c r="K260" s="69">
        <f t="shared" si="26"/>
        <v>140330</v>
      </c>
      <c r="L260" s="379"/>
    </row>
    <row r="261" spans="1:12" ht="75" customHeight="1">
      <c r="A261" s="219"/>
      <c r="B261" s="220"/>
      <c r="C261" s="220"/>
      <c r="D261" s="220"/>
      <c r="E261" s="220"/>
      <c r="F261" s="221"/>
      <c r="G261" s="193" t="s">
        <v>72</v>
      </c>
      <c r="H261" s="69">
        <f>H221+H222+H223</f>
        <v>24330.1</v>
      </c>
      <c r="I261" s="69">
        <f>I221+I222+I223</f>
        <v>24330.1</v>
      </c>
      <c r="J261" s="69">
        <f t="shared" ref="J261:K261" si="27">J221+J222+J223</f>
        <v>0</v>
      </c>
      <c r="K261" s="69">
        <f t="shared" si="27"/>
        <v>0</v>
      </c>
      <c r="L261" s="379"/>
    </row>
    <row r="262" spans="1:12" ht="75" customHeight="1">
      <c r="A262" s="219"/>
      <c r="B262" s="220"/>
      <c r="C262" s="220"/>
      <c r="D262" s="220"/>
      <c r="E262" s="220"/>
      <c r="F262" s="221"/>
      <c r="G262" s="193" t="s">
        <v>64</v>
      </c>
      <c r="H262" s="69">
        <f>H236</f>
        <v>2728863.9</v>
      </c>
      <c r="I262" s="69">
        <f>I236</f>
        <v>825120.9</v>
      </c>
      <c r="J262" s="69">
        <f t="shared" ref="J262:K262" si="28">J236</f>
        <v>886498</v>
      </c>
      <c r="K262" s="69">
        <f t="shared" si="28"/>
        <v>1017245</v>
      </c>
      <c r="L262" s="379"/>
    </row>
    <row r="263" spans="1:12" ht="75" customHeight="1">
      <c r="A263" s="219"/>
      <c r="B263" s="220"/>
      <c r="C263" s="220"/>
      <c r="D263" s="220"/>
      <c r="E263" s="220"/>
      <c r="F263" s="221"/>
      <c r="G263" s="193" t="s">
        <v>67</v>
      </c>
      <c r="H263" s="69">
        <f>H248</f>
        <v>145115.5178375</v>
      </c>
      <c r="I263" s="69">
        <f>I248</f>
        <v>44463.715000000004</v>
      </c>
      <c r="J263" s="69">
        <f t="shared" ref="J263:K263" si="29">J248</f>
        <v>48105.722249999999</v>
      </c>
      <c r="K263" s="69">
        <f t="shared" si="29"/>
        <v>52546.080587499993</v>
      </c>
      <c r="L263" s="379"/>
    </row>
    <row r="264" spans="1:12" ht="48" customHeight="1">
      <c r="A264" s="402" t="s">
        <v>210</v>
      </c>
      <c r="B264" s="354"/>
      <c r="C264" s="354"/>
      <c r="D264" s="355"/>
      <c r="E264" s="286" t="s">
        <v>60</v>
      </c>
      <c r="F264" s="330"/>
      <c r="G264" s="207" t="s">
        <v>66</v>
      </c>
      <c r="H264" s="68">
        <f>SUM(H265:H269)</f>
        <v>1054273.3</v>
      </c>
      <c r="I264" s="68">
        <f t="shared" ref="I264:K264" si="30">SUM(I265:I269)</f>
        <v>264088.7</v>
      </c>
      <c r="J264" s="68">
        <f t="shared" si="30"/>
        <v>353438.7</v>
      </c>
      <c r="K264" s="68">
        <f t="shared" si="30"/>
        <v>436745.9</v>
      </c>
      <c r="L264" s="379"/>
    </row>
    <row r="265" spans="1:12" ht="52.5" customHeight="1">
      <c r="A265" s="403"/>
      <c r="B265" s="404"/>
      <c r="C265" s="404"/>
      <c r="D265" s="405"/>
      <c r="E265" s="287"/>
      <c r="F265" s="330"/>
      <c r="G265" s="193" t="s">
        <v>194</v>
      </c>
      <c r="H265" s="69">
        <f>H171+H224</f>
        <v>28111.9</v>
      </c>
      <c r="I265" s="69">
        <f>I171+I224</f>
        <v>9527.3000000000011</v>
      </c>
      <c r="J265" s="69">
        <f>J171+J224</f>
        <v>9038.7000000000007</v>
      </c>
      <c r="K265" s="69">
        <f>K171+K224</f>
        <v>9545.9</v>
      </c>
      <c r="L265" s="379"/>
    </row>
    <row r="266" spans="1:12" ht="46.5" customHeight="1">
      <c r="A266" s="403"/>
      <c r="B266" s="404"/>
      <c r="C266" s="404"/>
      <c r="D266" s="405"/>
      <c r="E266" s="287"/>
      <c r="F266" s="330"/>
      <c r="G266" s="193" t="s">
        <v>197</v>
      </c>
      <c r="H266" s="69">
        <f>H172+H209</f>
        <v>41975</v>
      </c>
      <c r="I266" s="69">
        <f>I172+I209</f>
        <v>7075</v>
      </c>
      <c r="J266" s="69">
        <f>J172+J209</f>
        <v>23600</v>
      </c>
      <c r="K266" s="69">
        <f>K172+K209</f>
        <v>11300</v>
      </c>
      <c r="L266" s="379"/>
    </row>
    <row r="267" spans="1:12" ht="75" customHeight="1">
      <c r="A267" s="403"/>
      <c r="B267" s="404"/>
      <c r="C267" s="404"/>
      <c r="D267" s="405"/>
      <c r="E267" s="287"/>
      <c r="F267" s="330"/>
      <c r="G267" s="193" t="s">
        <v>72</v>
      </c>
      <c r="H267" s="69">
        <f>H221</f>
        <v>0</v>
      </c>
      <c r="I267" s="69">
        <f>I221</f>
        <v>0</v>
      </c>
      <c r="J267" s="69">
        <f>J221</f>
        <v>0</v>
      </c>
      <c r="K267" s="69">
        <f>K221</f>
        <v>0</v>
      </c>
      <c r="L267" s="379"/>
    </row>
    <row r="268" spans="1:12" ht="75" customHeight="1">
      <c r="A268" s="403"/>
      <c r="B268" s="404"/>
      <c r="C268" s="404"/>
      <c r="D268" s="405"/>
      <c r="E268" s="287"/>
      <c r="F268" s="330"/>
      <c r="G268" s="193" t="s">
        <v>64</v>
      </c>
      <c r="H268" s="69">
        <f>H237</f>
        <v>953600</v>
      </c>
      <c r="I268" s="69">
        <f t="shared" ref="I268:K268" si="31">I237</f>
        <v>239000</v>
      </c>
      <c r="J268" s="69">
        <f t="shared" si="31"/>
        <v>310700</v>
      </c>
      <c r="K268" s="69">
        <f t="shared" si="31"/>
        <v>403900</v>
      </c>
      <c r="L268" s="379"/>
    </row>
    <row r="269" spans="1:12" ht="75" customHeight="1">
      <c r="A269" s="403"/>
      <c r="B269" s="404"/>
      <c r="C269" s="404"/>
      <c r="D269" s="405"/>
      <c r="E269" s="324"/>
      <c r="F269" s="330"/>
      <c r="G269" s="193" t="s">
        <v>67</v>
      </c>
      <c r="H269" s="69">
        <f>H249</f>
        <v>30586.400000000001</v>
      </c>
      <c r="I269" s="69">
        <f t="shared" ref="I269:K269" si="32">I249</f>
        <v>8486.4</v>
      </c>
      <c r="J269" s="69">
        <f t="shared" si="32"/>
        <v>10100</v>
      </c>
      <c r="K269" s="69">
        <f t="shared" si="32"/>
        <v>12000</v>
      </c>
      <c r="L269" s="379"/>
    </row>
    <row r="270" spans="1:12" ht="75" customHeight="1">
      <c r="A270" s="403"/>
      <c r="B270" s="404"/>
      <c r="C270" s="404"/>
      <c r="D270" s="405"/>
      <c r="E270" s="286" t="s">
        <v>54</v>
      </c>
      <c r="F270" s="330"/>
      <c r="G270" s="207" t="s">
        <v>66</v>
      </c>
      <c r="H270" s="68">
        <f>SUM(H271:H274)</f>
        <v>321907.20000000001</v>
      </c>
      <c r="I270" s="68">
        <f t="shared" ref="I270:K270" si="33">SUM(I271:I274)</f>
        <v>99373</v>
      </c>
      <c r="J270" s="68">
        <f t="shared" si="33"/>
        <v>104698.9</v>
      </c>
      <c r="K270" s="68">
        <f t="shared" si="33"/>
        <v>117835.3</v>
      </c>
      <c r="L270" s="379"/>
    </row>
    <row r="271" spans="1:12" ht="75" customHeight="1">
      <c r="A271" s="403"/>
      <c r="B271" s="404"/>
      <c r="C271" s="404"/>
      <c r="D271" s="405"/>
      <c r="E271" s="287"/>
      <c r="F271" s="330"/>
      <c r="G271" s="193" t="s">
        <v>194</v>
      </c>
      <c r="H271" s="69">
        <f>H174+H203+H210</f>
        <v>44456.7</v>
      </c>
      <c r="I271" s="69">
        <f>I174+I203+I210</f>
        <v>14973</v>
      </c>
      <c r="J271" s="69">
        <f>J174+J203+J210</f>
        <v>14348.4</v>
      </c>
      <c r="K271" s="69">
        <f>K174+K203+K210</f>
        <v>15135.3</v>
      </c>
      <c r="L271" s="379"/>
    </row>
    <row r="272" spans="1:12" ht="75" customHeight="1">
      <c r="A272" s="403"/>
      <c r="B272" s="404"/>
      <c r="C272" s="404"/>
      <c r="D272" s="405"/>
      <c r="E272" s="287"/>
      <c r="F272" s="330"/>
      <c r="G272" s="193" t="s">
        <v>197</v>
      </c>
      <c r="H272" s="69">
        <f>H175+H211</f>
        <v>29950.5</v>
      </c>
      <c r="I272" s="69">
        <f>I175+I211</f>
        <v>3100</v>
      </c>
      <c r="J272" s="69">
        <f>J175+J211</f>
        <v>7850.5</v>
      </c>
      <c r="K272" s="69">
        <f>K175+K211</f>
        <v>19000</v>
      </c>
      <c r="L272" s="379"/>
    </row>
    <row r="273" spans="1:12" ht="75" customHeight="1">
      <c r="A273" s="403"/>
      <c r="B273" s="404"/>
      <c r="C273" s="404"/>
      <c r="D273" s="405"/>
      <c r="E273" s="287"/>
      <c r="F273" s="330"/>
      <c r="G273" s="193" t="s">
        <v>64</v>
      </c>
      <c r="H273" s="69">
        <f>H238</f>
        <v>213000</v>
      </c>
      <c r="I273" s="69">
        <f t="shared" ref="I273:K273" si="34">I238</f>
        <v>70000</v>
      </c>
      <c r="J273" s="69">
        <f t="shared" si="34"/>
        <v>71000</v>
      </c>
      <c r="K273" s="69">
        <f t="shared" si="34"/>
        <v>72000</v>
      </c>
      <c r="L273" s="379"/>
    </row>
    <row r="274" spans="1:12" ht="75" customHeight="1">
      <c r="A274" s="403"/>
      <c r="B274" s="404"/>
      <c r="C274" s="404"/>
      <c r="D274" s="405"/>
      <c r="E274" s="324"/>
      <c r="F274" s="330"/>
      <c r="G274" s="193" t="s">
        <v>67</v>
      </c>
      <c r="H274" s="69">
        <f>H250</f>
        <v>34500</v>
      </c>
      <c r="I274" s="69">
        <f t="shared" ref="I274:K274" si="35">I250</f>
        <v>11300</v>
      </c>
      <c r="J274" s="69">
        <f t="shared" si="35"/>
        <v>11500</v>
      </c>
      <c r="K274" s="69">
        <f t="shared" si="35"/>
        <v>11700</v>
      </c>
      <c r="L274" s="379"/>
    </row>
    <row r="275" spans="1:12" ht="75" customHeight="1">
      <c r="A275" s="403"/>
      <c r="B275" s="404"/>
      <c r="C275" s="404"/>
      <c r="D275" s="405"/>
      <c r="E275" s="286" t="s">
        <v>55</v>
      </c>
      <c r="F275" s="330"/>
      <c r="G275" s="207" t="s">
        <v>66</v>
      </c>
      <c r="H275" s="68">
        <f>SUM(H276:H279)</f>
        <v>517991.21783750004</v>
      </c>
      <c r="I275" s="68">
        <f t="shared" ref="I275:K275" si="36">SUM(I276:I279)</f>
        <v>175055.91500000001</v>
      </c>
      <c r="J275" s="68">
        <f t="shared" si="36"/>
        <v>164136.52225000001</v>
      </c>
      <c r="K275" s="68">
        <f t="shared" si="36"/>
        <v>178798.78058749999</v>
      </c>
      <c r="L275" s="379"/>
    </row>
    <row r="276" spans="1:12" ht="75" customHeight="1">
      <c r="A276" s="403"/>
      <c r="B276" s="404"/>
      <c r="C276" s="404"/>
      <c r="D276" s="405"/>
      <c r="E276" s="287"/>
      <c r="F276" s="330"/>
      <c r="G276" s="193" t="s">
        <v>194</v>
      </c>
      <c r="H276" s="69">
        <f>H177</f>
        <v>42525.7</v>
      </c>
      <c r="I276" s="69">
        <f>I177</f>
        <v>13640.2</v>
      </c>
      <c r="J276" s="69">
        <f>J177</f>
        <v>14043.6</v>
      </c>
      <c r="K276" s="69">
        <f>K177</f>
        <v>14841.900000000001</v>
      </c>
      <c r="L276" s="379"/>
    </row>
    <row r="277" spans="1:12" ht="75" customHeight="1">
      <c r="A277" s="403"/>
      <c r="B277" s="404"/>
      <c r="C277" s="404"/>
      <c r="D277" s="405"/>
      <c r="E277" s="287"/>
      <c r="F277" s="330"/>
      <c r="G277" s="193" t="s">
        <v>197</v>
      </c>
      <c r="H277" s="69">
        <f>H178+H212</f>
        <v>28910</v>
      </c>
      <c r="I277" s="69">
        <f>I178+I212</f>
        <v>5310</v>
      </c>
      <c r="J277" s="69">
        <f>J178+J212</f>
        <v>15000</v>
      </c>
      <c r="K277" s="69">
        <f>K178+K212</f>
        <v>8600</v>
      </c>
      <c r="L277" s="379"/>
    </row>
    <row r="278" spans="1:12" ht="75" customHeight="1">
      <c r="A278" s="403"/>
      <c r="B278" s="404"/>
      <c r="C278" s="404"/>
      <c r="D278" s="405"/>
      <c r="E278" s="287"/>
      <c r="F278" s="330"/>
      <c r="G278" s="193" t="s">
        <v>64</v>
      </c>
      <c r="H278" s="69">
        <f>H239</f>
        <v>442226.30000000005</v>
      </c>
      <c r="I278" s="69">
        <f t="shared" ref="I278:K278" si="37">I239</f>
        <v>154859</v>
      </c>
      <c r="J278" s="69">
        <f t="shared" si="37"/>
        <v>133659.20000000001</v>
      </c>
      <c r="K278" s="69">
        <f t="shared" si="37"/>
        <v>153708.1</v>
      </c>
      <c r="L278" s="379"/>
    </row>
    <row r="279" spans="1:12" ht="75" customHeight="1">
      <c r="A279" s="403"/>
      <c r="B279" s="404"/>
      <c r="C279" s="404"/>
      <c r="D279" s="405"/>
      <c r="E279" s="324"/>
      <c r="F279" s="330"/>
      <c r="G279" s="193" t="s">
        <v>67</v>
      </c>
      <c r="H279" s="69">
        <f>H251</f>
        <v>4329.2178374999985</v>
      </c>
      <c r="I279" s="69">
        <f t="shared" ref="I279:K279" si="38">I251</f>
        <v>1246.7149999999997</v>
      </c>
      <c r="J279" s="69">
        <f t="shared" si="38"/>
        <v>1433.7222499999996</v>
      </c>
      <c r="K279" s="69">
        <f t="shared" si="38"/>
        <v>1648.7805874999995</v>
      </c>
      <c r="L279" s="379"/>
    </row>
    <row r="280" spans="1:12" ht="75" customHeight="1">
      <c r="A280" s="403"/>
      <c r="B280" s="404"/>
      <c r="C280" s="404"/>
      <c r="D280" s="405"/>
      <c r="E280" s="286" t="s">
        <v>53</v>
      </c>
      <c r="F280" s="330"/>
      <c r="G280" s="207" t="s">
        <v>66</v>
      </c>
      <c r="H280" s="68">
        <f>SUM(H281:H285)</f>
        <v>100292.6</v>
      </c>
      <c r="I280" s="68">
        <f t="shared" ref="I280:K280" si="39">SUM(I281:I285)</f>
        <v>55590.399999999994</v>
      </c>
      <c r="J280" s="68">
        <f t="shared" si="39"/>
        <v>20429.2</v>
      </c>
      <c r="K280" s="68">
        <f t="shared" si="39"/>
        <v>24272.999999999996</v>
      </c>
      <c r="L280" s="379"/>
    </row>
    <row r="281" spans="1:12" ht="75" customHeight="1">
      <c r="A281" s="403"/>
      <c r="B281" s="404"/>
      <c r="C281" s="404"/>
      <c r="D281" s="405"/>
      <c r="E281" s="287"/>
      <c r="F281" s="330"/>
      <c r="G281" s="175" t="s">
        <v>194</v>
      </c>
      <c r="H281" s="69">
        <f>H180+H216+H225</f>
        <v>38791.199999999997</v>
      </c>
      <c r="I281" s="69">
        <f>I180+I216+I225</f>
        <v>12524.699999999999</v>
      </c>
      <c r="J281" s="69">
        <f>J180+J216+J225</f>
        <v>12767.800000000001</v>
      </c>
      <c r="K281" s="69">
        <f>K180+K216+K225</f>
        <v>13498.699999999999</v>
      </c>
      <c r="L281" s="379"/>
    </row>
    <row r="282" spans="1:12" ht="75" customHeight="1">
      <c r="A282" s="403"/>
      <c r="B282" s="404"/>
      <c r="C282" s="404"/>
      <c r="D282" s="405"/>
      <c r="E282" s="287"/>
      <c r="F282" s="330"/>
      <c r="G282" s="193" t="s">
        <v>197</v>
      </c>
      <c r="H282" s="69">
        <f>H181+H217</f>
        <v>39640</v>
      </c>
      <c r="I282" s="69">
        <f t="shared" ref="I282:K282" si="40">I181+I217</f>
        <v>24640</v>
      </c>
      <c r="J282" s="69">
        <f t="shared" si="40"/>
        <v>6000</v>
      </c>
      <c r="K282" s="69">
        <f t="shared" si="40"/>
        <v>9000</v>
      </c>
      <c r="L282" s="379"/>
    </row>
    <row r="283" spans="1:12" ht="75" customHeight="1">
      <c r="A283" s="403"/>
      <c r="B283" s="404"/>
      <c r="C283" s="404"/>
      <c r="D283" s="405"/>
      <c r="E283" s="287"/>
      <c r="F283" s="330"/>
      <c r="G283" s="193" t="s">
        <v>72</v>
      </c>
      <c r="H283" s="69">
        <f>H222</f>
        <v>16800</v>
      </c>
      <c r="I283" s="69">
        <f>I222</f>
        <v>16800</v>
      </c>
      <c r="J283" s="69">
        <f>J222</f>
        <v>0</v>
      </c>
      <c r="K283" s="69">
        <f>K222</f>
        <v>0</v>
      </c>
      <c r="L283" s="379"/>
    </row>
    <row r="284" spans="1:12" ht="75" customHeight="1">
      <c r="A284" s="403"/>
      <c r="B284" s="404"/>
      <c r="C284" s="404"/>
      <c r="D284" s="405"/>
      <c r="E284" s="287"/>
      <c r="F284" s="330"/>
      <c r="G284" s="193" t="s">
        <v>64</v>
      </c>
      <c r="H284" s="69">
        <f>H240</f>
        <v>324.8</v>
      </c>
      <c r="I284" s="69">
        <f t="shared" ref="I284:K284" si="41">I240</f>
        <v>100.5</v>
      </c>
      <c r="J284" s="69">
        <f t="shared" si="41"/>
        <v>108.8</v>
      </c>
      <c r="K284" s="69">
        <f t="shared" si="41"/>
        <v>115.5</v>
      </c>
      <c r="L284" s="379"/>
    </row>
    <row r="285" spans="1:12" ht="75" customHeight="1">
      <c r="A285" s="403"/>
      <c r="B285" s="404"/>
      <c r="C285" s="404"/>
      <c r="D285" s="405"/>
      <c r="E285" s="324"/>
      <c r="F285" s="330"/>
      <c r="G285" s="193" t="s">
        <v>67</v>
      </c>
      <c r="H285" s="69">
        <f>H252</f>
        <v>4736.6000000000004</v>
      </c>
      <c r="I285" s="69">
        <f t="shared" ref="I285:K285" si="42">I252</f>
        <v>1525.2</v>
      </c>
      <c r="J285" s="69">
        <f t="shared" si="42"/>
        <v>1552.6</v>
      </c>
      <c r="K285" s="69">
        <f t="shared" si="42"/>
        <v>1658.8</v>
      </c>
      <c r="L285" s="379"/>
    </row>
    <row r="286" spans="1:12" ht="75" customHeight="1">
      <c r="A286" s="403"/>
      <c r="B286" s="404"/>
      <c r="C286" s="404"/>
      <c r="D286" s="405"/>
      <c r="E286" s="188" t="s">
        <v>169</v>
      </c>
      <c r="F286" s="330"/>
      <c r="G286" s="207" t="s">
        <v>66</v>
      </c>
      <c r="H286" s="68">
        <f>SUM(H287:H291)</f>
        <v>480581.6</v>
      </c>
      <c r="I286" s="68">
        <f>SUM(I287:I291)</f>
        <v>150158.39999999999</v>
      </c>
      <c r="J286" s="68">
        <f>SUM(J287:J291)</f>
        <v>157993.70000000001</v>
      </c>
      <c r="K286" s="68">
        <f t="shared" ref="K286" si="43">SUM(K287:K291)</f>
        <v>172429.5</v>
      </c>
      <c r="L286" s="379"/>
    </row>
    <row r="287" spans="1:12" ht="75" customHeight="1">
      <c r="A287" s="403"/>
      <c r="B287" s="404"/>
      <c r="C287" s="404"/>
      <c r="D287" s="405"/>
      <c r="E287" s="189"/>
      <c r="F287" s="330"/>
      <c r="G287" s="175" t="s">
        <v>194</v>
      </c>
      <c r="H287" s="69">
        <f>H183+H226</f>
        <v>14858.799999999997</v>
      </c>
      <c r="I287" s="69">
        <f>I183+I226</f>
        <v>4645.5999999999995</v>
      </c>
      <c r="J287" s="69">
        <f>J183+J226</f>
        <v>4963.7</v>
      </c>
      <c r="K287" s="69">
        <f>K183+K226</f>
        <v>5249.5</v>
      </c>
      <c r="L287" s="379"/>
    </row>
    <row r="288" spans="1:12" ht="75" customHeight="1">
      <c r="A288" s="403"/>
      <c r="B288" s="404"/>
      <c r="C288" s="404"/>
      <c r="D288" s="405"/>
      <c r="E288" s="189"/>
      <c r="F288" s="330"/>
      <c r="G288" s="193" t="s">
        <v>197</v>
      </c>
      <c r="H288" s="69">
        <f>H184+H215</f>
        <v>8966.7000000000007</v>
      </c>
      <c r="I288" s="69">
        <f>I184+I215</f>
        <v>2136.6999999999998</v>
      </c>
      <c r="J288" s="69">
        <f t="shared" ref="J288:K288" si="44">J184+J215</f>
        <v>3830</v>
      </c>
      <c r="K288" s="69">
        <f t="shared" si="44"/>
        <v>3000</v>
      </c>
      <c r="L288" s="379"/>
    </row>
    <row r="289" spans="1:12" ht="75" customHeight="1">
      <c r="A289" s="403"/>
      <c r="B289" s="404"/>
      <c r="C289" s="404"/>
      <c r="D289" s="405"/>
      <c r="E289" s="189"/>
      <c r="F289" s="330"/>
      <c r="G289" s="193" t="s">
        <v>64</v>
      </c>
      <c r="H289" s="69">
        <f>H243</f>
        <v>434940</v>
      </c>
      <c r="I289" s="69">
        <f t="shared" ref="I289:K289" si="45">I243</f>
        <v>131400</v>
      </c>
      <c r="J289" s="69">
        <f t="shared" si="45"/>
        <v>144540</v>
      </c>
      <c r="K289" s="69">
        <f t="shared" si="45"/>
        <v>159000</v>
      </c>
      <c r="L289" s="379"/>
    </row>
    <row r="290" spans="1:12" ht="75" customHeight="1">
      <c r="A290" s="403"/>
      <c r="B290" s="404"/>
      <c r="C290" s="404"/>
      <c r="D290" s="405"/>
      <c r="E290" s="189"/>
      <c r="F290" s="330"/>
      <c r="G290" s="193" t="s">
        <v>67</v>
      </c>
      <c r="H290" s="69">
        <f>H253</f>
        <v>14286</v>
      </c>
      <c r="I290" s="69">
        <f t="shared" ref="I290:K290" si="46">I253</f>
        <v>4446</v>
      </c>
      <c r="J290" s="69">
        <f t="shared" si="46"/>
        <v>4660</v>
      </c>
      <c r="K290" s="69">
        <f t="shared" si="46"/>
        <v>5180</v>
      </c>
      <c r="L290" s="379"/>
    </row>
    <row r="291" spans="1:12" ht="75" customHeight="1">
      <c r="A291" s="403"/>
      <c r="B291" s="404"/>
      <c r="C291" s="404"/>
      <c r="D291" s="405"/>
      <c r="E291" s="197"/>
      <c r="F291" s="330"/>
      <c r="G291" s="193" t="s">
        <v>72</v>
      </c>
      <c r="H291" s="69">
        <f>H223</f>
        <v>7530.1</v>
      </c>
      <c r="I291" s="69">
        <f t="shared" ref="I291:K291" si="47">I223</f>
        <v>7530.1</v>
      </c>
      <c r="J291" s="69">
        <f t="shared" si="47"/>
        <v>0</v>
      </c>
      <c r="K291" s="69">
        <f t="shared" si="47"/>
        <v>0</v>
      </c>
      <c r="L291" s="379"/>
    </row>
    <row r="292" spans="1:12" ht="75" customHeight="1">
      <c r="A292" s="403"/>
      <c r="B292" s="404"/>
      <c r="C292" s="404"/>
      <c r="D292" s="405"/>
      <c r="E292" s="286" t="s">
        <v>57</v>
      </c>
      <c r="F292" s="330"/>
      <c r="G292" s="207" t="s">
        <v>66</v>
      </c>
      <c r="H292" s="68">
        <f>SUM(H293:H296)</f>
        <v>297831</v>
      </c>
      <c r="I292" s="68">
        <f t="shared" ref="I292:K292" si="48">SUM(I293:I296)</f>
        <v>97691.3</v>
      </c>
      <c r="J292" s="68">
        <f t="shared" si="48"/>
        <v>96866.9</v>
      </c>
      <c r="K292" s="68">
        <f t="shared" si="48"/>
        <v>103272.8</v>
      </c>
      <c r="L292" s="379"/>
    </row>
    <row r="293" spans="1:12" ht="75" customHeight="1">
      <c r="A293" s="403"/>
      <c r="B293" s="404"/>
      <c r="C293" s="404"/>
      <c r="D293" s="405"/>
      <c r="E293" s="287"/>
      <c r="F293" s="330"/>
      <c r="G293" s="175" t="s">
        <v>194</v>
      </c>
      <c r="H293" s="69">
        <f>H186+H213</f>
        <v>16230.5</v>
      </c>
      <c r="I293" s="69">
        <f>I186+I213</f>
        <v>5190.8</v>
      </c>
      <c r="J293" s="69">
        <f t="shared" ref="J293" si="49">J186+J213</f>
        <v>5366.9</v>
      </c>
      <c r="K293" s="69">
        <f>K186+K213</f>
        <v>5672.8</v>
      </c>
      <c r="L293" s="379"/>
    </row>
    <row r="294" spans="1:12" ht="75" customHeight="1">
      <c r="A294" s="403"/>
      <c r="B294" s="404"/>
      <c r="C294" s="404"/>
      <c r="D294" s="405"/>
      <c r="E294" s="287"/>
      <c r="F294" s="330"/>
      <c r="G294" s="193" t="s">
        <v>197</v>
      </c>
      <c r="H294" s="69">
        <f>H187+H214</f>
        <v>19100.5</v>
      </c>
      <c r="I294" s="69">
        <f t="shared" ref="I294:K294" si="50">I187+I214</f>
        <v>9500.5</v>
      </c>
      <c r="J294" s="69">
        <f t="shared" si="50"/>
        <v>3000</v>
      </c>
      <c r="K294" s="69">
        <f t="shared" si="50"/>
        <v>6600</v>
      </c>
      <c r="L294" s="379"/>
    </row>
    <row r="295" spans="1:12" ht="75" customHeight="1">
      <c r="A295" s="403"/>
      <c r="B295" s="404"/>
      <c r="C295" s="404"/>
      <c r="D295" s="405"/>
      <c r="E295" s="287"/>
      <c r="F295" s="330"/>
      <c r="G295" s="193" t="s">
        <v>64</v>
      </c>
      <c r="H295" s="69">
        <f>H241</f>
        <v>237000</v>
      </c>
      <c r="I295" s="69">
        <f t="shared" ref="I295:K295" si="51">I241</f>
        <v>75000</v>
      </c>
      <c r="J295" s="69">
        <f t="shared" si="51"/>
        <v>80000</v>
      </c>
      <c r="K295" s="69">
        <f t="shared" si="51"/>
        <v>82000</v>
      </c>
      <c r="L295" s="379"/>
    </row>
    <row r="296" spans="1:12" ht="75" customHeight="1">
      <c r="A296" s="403"/>
      <c r="B296" s="404"/>
      <c r="C296" s="404"/>
      <c r="D296" s="405"/>
      <c r="E296" s="324"/>
      <c r="F296" s="330"/>
      <c r="G296" s="193" t="s">
        <v>67</v>
      </c>
      <c r="H296" s="69">
        <f>H254</f>
        <v>25500</v>
      </c>
      <c r="I296" s="69">
        <f t="shared" ref="I296:K296" si="52">I254</f>
        <v>8000</v>
      </c>
      <c r="J296" s="69">
        <f t="shared" si="52"/>
        <v>8500</v>
      </c>
      <c r="K296" s="69">
        <f t="shared" si="52"/>
        <v>9000</v>
      </c>
      <c r="L296" s="379"/>
    </row>
    <row r="297" spans="1:12" ht="75" customHeight="1">
      <c r="A297" s="403"/>
      <c r="B297" s="404"/>
      <c r="C297" s="404"/>
      <c r="D297" s="405"/>
      <c r="E297" s="286" t="s">
        <v>56</v>
      </c>
      <c r="F297" s="330"/>
      <c r="G297" s="207" t="s">
        <v>66</v>
      </c>
      <c r="H297" s="68">
        <f>SUM(H298:H301)</f>
        <v>72336.700000000012</v>
      </c>
      <c r="I297" s="68">
        <f t="shared" ref="I297:K297" si="53">SUM(I298:I301)</f>
        <v>24724.300000000003</v>
      </c>
      <c r="J297" s="68">
        <f t="shared" si="53"/>
        <v>21990</v>
      </c>
      <c r="K297" s="68">
        <f t="shared" si="53"/>
        <v>25622.400000000001</v>
      </c>
      <c r="L297" s="379"/>
    </row>
    <row r="298" spans="1:12" ht="75" customHeight="1">
      <c r="A298" s="403"/>
      <c r="B298" s="404"/>
      <c r="C298" s="404"/>
      <c r="D298" s="405"/>
      <c r="E298" s="287"/>
      <c r="F298" s="330"/>
      <c r="G298" s="175" t="s">
        <v>194</v>
      </c>
      <c r="H298" s="69">
        <f>H189+H206</f>
        <v>38411.300000000003</v>
      </c>
      <c r="I298" s="69">
        <f t="shared" ref="I298:K298" si="54">I189+I206</f>
        <v>15328.7</v>
      </c>
      <c r="J298" s="69">
        <f t="shared" si="54"/>
        <v>11205.8</v>
      </c>
      <c r="K298" s="69">
        <f t="shared" si="54"/>
        <v>11876.8</v>
      </c>
      <c r="L298" s="379"/>
    </row>
    <row r="299" spans="1:12" ht="75" customHeight="1">
      <c r="A299" s="403"/>
      <c r="B299" s="404"/>
      <c r="C299" s="404"/>
      <c r="D299" s="405"/>
      <c r="E299" s="287"/>
      <c r="F299" s="330"/>
      <c r="G299" s="193" t="s">
        <v>197</v>
      </c>
      <c r="H299" s="69">
        <f>H190</f>
        <v>3180</v>
      </c>
      <c r="I299" s="69">
        <f>I190</f>
        <v>110</v>
      </c>
      <c r="J299" s="69">
        <f>J190</f>
        <v>570</v>
      </c>
      <c r="K299" s="69">
        <f>K190</f>
        <v>2500</v>
      </c>
      <c r="L299" s="379"/>
    </row>
    <row r="300" spans="1:12" ht="75" customHeight="1">
      <c r="A300" s="403"/>
      <c r="B300" s="404"/>
      <c r="C300" s="404"/>
      <c r="D300" s="405"/>
      <c r="E300" s="287"/>
      <c r="F300" s="330"/>
      <c r="G300" s="193" t="s">
        <v>64</v>
      </c>
      <c r="H300" s="69">
        <f>H242</f>
        <v>945.4</v>
      </c>
      <c r="I300" s="69">
        <f t="shared" ref="I300:K300" si="55">I242</f>
        <v>285.60000000000002</v>
      </c>
      <c r="J300" s="69">
        <f t="shared" si="55"/>
        <v>314.2</v>
      </c>
      <c r="K300" s="69">
        <f t="shared" si="55"/>
        <v>345.6</v>
      </c>
      <c r="L300" s="379"/>
    </row>
    <row r="301" spans="1:12" ht="75" customHeight="1">
      <c r="A301" s="403"/>
      <c r="B301" s="404"/>
      <c r="C301" s="404"/>
      <c r="D301" s="405"/>
      <c r="E301" s="324"/>
      <c r="F301" s="330"/>
      <c r="G301" s="193" t="s">
        <v>67</v>
      </c>
      <c r="H301" s="69">
        <f>H255</f>
        <v>29800</v>
      </c>
      <c r="I301" s="69">
        <f t="shared" ref="I301:K301" si="56">I255</f>
        <v>9000</v>
      </c>
      <c r="J301" s="69">
        <f t="shared" si="56"/>
        <v>9900</v>
      </c>
      <c r="K301" s="69">
        <f t="shared" si="56"/>
        <v>10900</v>
      </c>
      <c r="L301" s="379"/>
    </row>
    <row r="302" spans="1:12" ht="75" customHeight="1">
      <c r="A302" s="403"/>
      <c r="B302" s="404"/>
      <c r="C302" s="404"/>
      <c r="D302" s="405"/>
      <c r="E302" s="286" t="s">
        <v>58</v>
      </c>
      <c r="F302" s="330"/>
      <c r="G302" s="207" t="s">
        <v>66</v>
      </c>
      <c r="H302" s="68">
        <f>SUM(H303:H306)</f>
        <v>260735.00000000003</v>
      </c>
      <c r="I302" s="68">
        <f t="shared" ref="I302:K302" si="57">SUM(I303:I306)</f>
        <v>89053.6</v>
      </c>
      <c r="J302" s="68">
        <f t="shared" si="57"/>
        <v>85563.6</v>
      </c>
      <c r="K302" s="68">
        <f t="shared" si="57"/>
        <v>86117.799999999988</v>
      </c>
      <c r="L302" s="379"/>
    </row>
    <row r="303" spans="1:12" ht="75" customHeight="1">
      <c r="A303" s="403"/>
      <c r="B303" s="404"/>
      <c r="C303" s="404"/>
      <c r="D303" s="405"/>
      <c r="E303" s="287"/>
      <c r="F303" s="330"/>
      <c r="G303" s="175" t="s">
        <v>194</v>
      </c>
      <c r="H303" s="69">
        <f>H192</f>
        <v>32061.1</v>
      </c>
      <c r="I303" s="69">
        <f t="shared" ref="H303:K304" si="58">I192</f>
        <v>10162</v>
      </c>
      <c r="J303" s="69">
        <f t="shared" si="58"/>
        <v>10672</v>
      </c>
      <c r="K303" s="69">
        <f t="shared" si="58"/>
        <v>11227.099999999999</v>
      </c>
      <c r="L303" s="379"/>
    </row>
    <row r="304" spans="1:12" ht="75" customHeight="1">
      <c r="A304" s="403"/>
      <c r="B304" s="404"/>
      <c r="C304" s="404"/>
      <c r="D304" s="405"/>
      <c r="E304" s="287"/>
      <c r="F304" s="330"/>
      <c r="G304" s="193" t="s">
        <v>197</v>
      </c>
      <c r="H304" s="69">
        <f t="shared" si="58"/>
        <v>2200</v>
      </c>
      <c r="I304" s="69">
        <f t="shared" si="58"/>
        <v>2200</v>
      </c>
      <c r="J304" s="69">
        <f t="shared" si="58"/>
        <v>0</v>
      </c>
      <c r="K304" s="69">
        <f t="shared" si="58"/>
        <v>0</v>
      </c>
      <c r="L304" s="379"/>
    </row>
    <row r="305" spans="1:12" ht="75" customHeight="1">
      <c r="A305" s="403"/>
      <c r="B305" s="404"/>
      <c r="C305" s="404"/>
      <c r="D305" s="405"/>
      <c r="E305" s="287"/>
      <c r="F305" s="330"/>
      <c r="G305" s="193" t="s">
        <v>64</v>
      </c>
      <c r="H305" s="69">
        <f>H244</f>
        <v>225755.40000000002</v>
      </c>
      <c r="I305" s="69">
        <f t="shared" ref="I305:K305" si="59">I244</f>
        <v>76451.8</v>
      </c>
      <c r="J305" s="69">
        <f t="shared" si="59"/>
        <v>74651.8</v>
      </c>
      <c r="K305" s="69">
        <f t="shared" si="59"/>
        <v>74651.8</v>
      </c>
      <c r="L305" s="379"/>
    </row>
    <row r="306" spans="1:12" ht="75" customHeight="1">
      <c r="A306" s="403"/>
      <c r="B306" s="404"/>
      <c r="C306" s="404"/>
      <c r="D306" s="405"/>
      <c r="E306" s="324"/>
      <c r="F306" s="330"/>
      <c r="G306" s="193" t="s">
        <v>67</v>
      </c>
      <c r="H306" s="69">
        <f>H256</f>
        <v>718.5</v>
      </c>
      <c r="I306" s="69">
        <f t="shared" ref="I306:K306" si="60">I256</f>
        <v>239.8</v>
      </c>
      <c r="J306" s="69">
        <f t="shared" si="60"/>
        <v>239.8</v>
      </c>
      <c r="K306" s="69">
        <f t="shared" si="60"/>
        <v>238.9</v>
      </c>
      <c r="L306" s="379"/>
    </row>
    <row r="307" spans="1:12" ht="75" customHeight="1">
      <c r="A307" s="403"/>
      <c r="B307" s="404"/>
      <c r="C307" s="404"/>
      <c r="D307" s="405"/>
      <c r="E307" s="286" t="s">
        <v>59</v>
      </c>
      <c r="F307" s="330"/>
      <c r="G307" s="207" t="s">
        <v>66</v>
      </c>
      <c r="H307" s="68">
        <f>SUM(H308:H311)</f>
        <v>259332.3</v>
      </c>
      <c r="I307" s="68">
        <f t="shared" ref="I307:K307" si="61">SUM(I308:I311)</f>
        <v>90311.6</v>
      </c>
      <c r="J307" s="68">
        <f t="shared" si="61"/>
        <v>84192.1</v>
      </c>
      <c r="K307" s="68">
        <f t="shared" si="61"/>
        <v>84828.6</v>
      </c>
      <c r="L307" s="379"/>
    </row>
    <row r="308" spans="1:12" ht="75" customHeight="1">
      <c r="A308" s="403"/>
      <c r="B308" s="404"/>
      <c r="C308" s="404"/>
      <c r="D308" s="405"/>
      <c r="E308" s="287"/>
      <c r="F308" s="330"/>
      <c r="G308" s="175" t="s">
        <v>194</v>
      </c>
      <c r="H308" s="69">
        <f t="shared" ref="H308:K309" si="62">H195</f>
        <v>37401.500000000007</v>
      </c>
      <c r="I308" s="69">
        <f t="shared" si="62"/>
        <v>11868</v>
      </c>
      <c r="J308" s="69">
        <f t="shared" si="62"/>
        <v>12448.5</v>
      </c>
      <c r="K308" s="69">
        <f t="shared" si="62"/>
        <v>13085</v>
      </c>
      <c r="L308" s="379"/>
    </row>
    <row r="309" spans="1:12" ht="75" customHeight="1">
      <c r="A309" s="403"/>
      <c r="B309" s="404"/>
      <c r="C309" s="404"/>
      <c r="D309" s="405"/>
      <c r="E309" s="287"/>
      <c r="F309" s="330"/>
      <c r="G309" s="193" t="s">
        <v>197</v>
      </c>
      <c r="H309" s="69">
        <f t="shared" si="62"/>
        <v>200</v>
      </c>
      <c r="I309" s="69">
        <f t="shared" si="62"/>
        <v>200</v>
      </c>
      <c r="J309" s="69">
        <f t="shared" si="62"/>
        <v>0</v>
      </c>
      <c r="K309" s="69">
        <f t="shared" si="62"/>
        <v>0</v>
      </c>
      <c r="L309" s="379"/>
    </row>
    <row r="310" spans="1:12" ht="75" customHeight="1">
      <c r="A310" s="403"/>
      <c r="B310" s="404"/>
      <c r="C310" s="404"/>
      <c r="D310" s="405"/>
      <c r="E310" s="287"/>
      <c r="F310" s="330"/>
      <c r="G310" s="193" t="s">
        <v>64</v>
      </c>
      <c r="H310" s="69">
        <f>H247+H245</f>
        <v>221072</v>
      </c>
      <c r="I310" s="69">
        <f>I247+I245</f>
        <v>78024</v>
      </c>
      <c r="J310" s="69">
        <f t="shared" ref="J310:K310" si="63">J247+J245</f>
        <v>71524</v>
      </c>
      <c r="K310" s="69">
        <f t="shared" si="63"/>
        <v>71524</v>
      </c>
      <c r="L310" s="379"/>
    </row>
    <row r="311" spans="1:12" ht="75" customHeight="1">
      <c r="A311" s="403"/>
      <c r="B311" s="404"/>
      <c r="C311" s="404"/>
      <c r="D311" s="405"/>
      <c r="E311" s="324"/>
      <c r="F311" s="330"/>
      <c r="G311" s="193" t="s">
        <v>67</v>
      </c>
      <c r="H311" s="69">
        <f>H257</f>
        <v>658.8</v>
      </c>
      <c r="I311" s="69">
        <f t="shared" ref="I311:K311" si="64">I257</f>
        <v>219.6</v>
      </c>
      <c r="J311" s="69">
        <f t="shared" si="64"/>
        <v>219.6</v>
      </c>
      <c r="K311" s="69">
        <f t="shared" si="64"/>
        <v>219.6</v>
      </c>
      <c r="L311" s="379"/>
    </row>
    <row r="312" spans="1:12" ht="75" customHeight="1">
      <c r="A312" s="403"/>
      <c r="B312" s="404"/>
      <c r="C312" s="404"/>
      <c r="D312" s="405"/>
      <c r="E312" s="318" t="s">
        <v>151</v>
      </c>
      <c r="F312" s="330"/>
      <c r="G312" s="207" t="s">
        <v>66</v>
      </c>
      <c r="H312" s="68">
        <f>SUM(H313:H314)</f>
        <v>252245.2</v>
      </c>
      <c r="I312" s="68">
        <f>SUM(I313:I314)</f>
        <v>83848.5</v>
      </c>
      <c r="J312" s="68">
        <f>SUM(J313:J314)</f>
        <v>84073.3</v>
      </c>
      <c r="K312" s="68">
        <f>SUM(K313:K314)</f>
        <v>84323.4</v>
      </c>
      <c r="L312" s="379"/>
    </row>
    <row r="313" spans="1:12" ht="75" customHeight="1">
      <c r="A313" s="403"/>
      <c r="B313" s="404"/>
      <c r="C313" s="404"/>
      <c r="D313" s="405"/>
      <c r="E313" s="318"/>
      <c r="F313" s="330"/>
      <c r="G313" s="175" t="s">
        <v>194</v>
      </c>
      <c r="H313" s="69">
        <f t="shared" ref="H313:K314" si="65">H198</f>
        <v>11255.199999999999</v>
      </c>
      <c r="I313" s="69">
        <f t="shared" si="65"/>
        <v>3518.5</v>
      </c>
      <c r="J313" s="69">
        <f t="shared" si="65"/>
        <v>3743.2999999999997</v>
      </c>
      <c r="K313" s="69">
        <f>K198</f>
        <v>3993.4</v>
      </c>
      <c r="L313" s="379"/>
    </row>
    <row r="314" spans="1:12" ht="75" customHeight="1">
      <c r="A314" s="406"/>
      <c r="B314" s="407"/>
      <c r="C314" s="407"/>
      <c r="D314" s="408"/>
      <c r="E314" s="318"/>
      <c r="F314" s="330"/>
      <c r="G314" s="193" t="s">
        <v>197</v>
      </c>
      <c r="H314" s="69">
        <f t="shared" si="65"/>
        <v>240990</v>
      </c>
      <c r="I314" s="69">
        <f>I199</f>
        <v>80330</v>
      </c>
      <c r="J314" s="69">
        <f t="shared" si="65"/>
        <v>80330</v>
      </c>
      <c r="K314" s="69">
        <f t="shared" si="65"/>
        <v>80330</v>
      </c>
      <c r="L314" s="401"/>
    </row>
    <row r="315" spans="1:12" s="95" customFormat="1" ht="75" customHeight="1">
      <c r="A315" s="94"/>
      <c r="B315" s="95" t="s">
        <v>167</v>
      </c>
      <c r="C315" s="96"/>
      <c r="D315" s="97"/>
      <c r="E315" s="97"/>
      <c r="F315" s="94"/>
      <c r="G315" s="98"/>
      <c r="H315" s="108"/>
      <c r="I315" s="110" t="s">
        <v>416</v>
      </c>
      <c r="J315" s="108"/>
      <c r="K315" s="108"/>
      <c r="L315" s="99"/>
    </row>
    <row r="316" spans="1:12" s="95" customFormat="1" ht="75" customHeight="1">
      <c r="A316" s="94"/>
      <c r="C316" s="96"/>
      <c r="D316" s="97"/>
      <c r="E316" s="97"/>
      <c r="F316" s="94"/>
      <c r="G316" s="98"/>
      <c r="H316" s="108"/>
      <c r="I316" s="110"/>
      <c r="J316" s="108"/>
      <c r="K316" s="108"/>
      <c r="L316" s="99"/>
    </row>
    <row r="317" spans="1:12" ht="75" customHeight="1">
      <c r="A317" s="101" t="s">
        <v>25</v>
      </c>
      <c r="B317" s="100"/>
      <c r="K317" s="111"/>
    </row>
    <row r="319" spans="1:12" s="63" customFormat="1" ht="75" customHeight="1">
      <c r="C319" s="64"/>
      <c r="D319" s="65"/>
      <c r="F319" s="66"/>
      <c r="G319" s="66"/>
      <c r="H319" s="78"/>
      <c r="I319" s="110"/>
      <c r="J319" s="78"/>
      <c r="K319" s="108"/>
      <c r="L319" s="85"/>
    </row>
    <row r="320" spans="1:12" ht="75" customHeight="1">
      <c r="A320" s="24"/>
      <c r="B320" s="24"/>
      <c r="C320" s="28"/>
      <c r="D320" s="25"/>
      <c r="E320" s="29"/>
      <c r="F320" s="26"/>
      <c r="G320" s="23"/>
      <c r="H320" s="78"/>
      <c r="I320" s="110"/>
      <c r="J320" s="78"/>
      <c r="K320" s="111">
        <f>H312+H307+H302+H297+H292+H286+H280+H275+H270+H264</f>
        <v>3617526.1178374998</v>
      </c>
    </row>
    <row r="321" spans="1:10" ht="75" customHeight="1">
      <c r="A321" s="24"/>
      <c r="B321" s="24"/>
      <c r="C321" s="28"/>
      <c r="D321" s="25"/>
      <c r="E321" s="29"/>
      <c r="F321" s="26"/>
      <c r="G321" s="23"/>
      <c r="H321" s="78"/>
      <c r="I321" s="110"/>
      <c r="J321" s="78"/>
    </row>
    <row r="322" spans="1:10" ht="75" customHeight="1">
      <c r="A322" s="24"/>
      <c r="B322" s="24"/>
      <c r="C322" s="28"/>
      <c r="D322" s="25"/>
      <c r="E322" s="29"/>
      <c r="F322" s="26"/>
      <c r="G322" s="23"/>
      <c r="H322" s="78"/>
      <c r="I322" s="110"/>
      <c r="J322" s="78"/>
    </row>
    <row r="323" spans="1:10" ht="75" customHeight="1">
      <c r="A323" s="67"/>
      <c r="B323" s="24"/>
      <c r="D323" s="25"/>
      <c r="E323" s="29"/>
      <c r="F323" s="26"/>
      <c r="G323" s="23"/>
      <c r="H323" s="78"/>
      <c r="I323" s="78"/>
      <c r="J323" s="78"/>
    </row>
  </sheetData>
  <autoFilter ref="A7:L315">
    <filterColumn colId="7" showButton="0"/>
    <filterColumn colId="8" showButton="0"/>
    <filterColumn colId="9" showButton="0"/>
  </autoFilter>
  <mergeCells count="222">
    <mergeCell ref="A200:L200"/>
    <mergeCell ref="B227:F227"/>
    <mergeCell ref="F249:F257"/>
    <mergeCell ref="L51:L54"/>
    <mergeCell ref="L105:L108"/>
    <mergeCell ref="E73:F74"/>
    <mergeCell ref="E98:E99"/>
    <mergeCell ref="E100:E101"/>
    <mergeCell ref="B220:F220"/>
    <mergeCell ref="L117:L124"/>
    <mergeCell ref="E194:E196"/>
    <mergeCell ref="E191:E193"/>
    <mergeCell ref="A127:F127"/>
    <mergeCell ref="E78:E79"/>
    <mergeCell ref="L113:L115"/>
    <mergeCell ref="F78:F79"/>
    <mergeCell ref="A104:L104"/>
    <mergeCell ref="G106:G108"/>
    <mergeCell ref="L82:L83"/>
    <mergeCell ref="D113:G113"/>
    <mergeCell ref="L84:L101"/>
    <mergeCell ref="D109:G109"/>
    <mergeCell ref="D105:G105"/>
    <mergeCell ref="A84:G84"/>
    <mergeCell ref="F202:F206"/>
    <mergeCell ref="B207:F207"/>
    <mergeCell ref="A231:D233"/>
    <mergeCell ref="A221:D221"/>
    <mergeCell ref="B229:F229"/>
    <mergeCell ref="L201:L206"/>
    <mergeCell ref="L229:L233"/>
    <mergeCell ref="G221:G223"/>
    <mergeCell ref="G224:G226"/>
    <mergeCell ref="L207:L219"/>
    <mergeCell ref="E213:E214"/>
    <mergeCell ref="F213:F214"/>
    <mergeCell ref="E210:E211"/>
    <mergeCell ref="F216:F218"/>
    <mergeCell ref="A202:D206"/>
    <mergeCell ref="B201:F201"/>
    <mergeCell ref="F208:F209"/>
    <mergeCell ref="E216:E219"/>
    <mergeCell ref="F210:F211"/>
    <mergeCell ref="E208:E209"/>
    <mergeCell ref="A230:D230"/>
    <mergeCell ref="A208:D219"/>
    <mergeCell ref="L227:L228"/>
    <mergeCell ref="A228:D228"/>
    <mergeCell ref="G249:G257"/>
    <mergeCell ref="L258:L314"/>
    <mergeCell ref="A259:F260"/>
    <mergeCell ref="A264:D314"/>
    <mergeCell ref="F264:F314"/>
    <mergeCell ref="E312:E314"/>
    <mergeCell ref="A258:F258"/>
    <mergeCell ref="G237:G247"/>
    <mergeCell ref="B236:E236"/>
    <mergeCell ref="A237:D247"/>
    <mergeCell ref="L248:L255"/>
    <mergeCell ref="L236:L247"/>
    <mergeCell ref="E302:E306"/>
    <mergeCell ref="E264:E269"/>
    <mergeCell ref="E270:E274"/>
    <mergeCell ref="E275:E279"/>
    <mergeCell ref="E280:E285"/>
    <mergeCell ref="E292:E296"/>
    <mergeCell ref="E297:E301"/>
    <mergeCell ref="E307:E311"/>
    <mergeCell ref="A249:D257"/>
    <mergeCell ref="G114:G115"/>
    <mergeCell ref="C109:C112"/>
    <mergeCell ref="F110:F112"/>
    <mergeCell ref="A129:A154"/>
    <mergeCell ref="B129:B154"/>
    <mergeCell ref="C151:C154"/>
    <mergeCell ref="D151:G151"/>
    <mergeCell ref="F141:F150"/>
    <mergeCell ref="G141:G150"/>
    <mergeCell ref="F152:F154"/>
    <mergeCell ref="G152:G154"/>
    <mergeCell ref="G110:G112"/>
    <mergeCell ref="A117:F117"/>
    <mergeCell ref="A118:B118"/>
    <mergeCell ref="F114:F115"/>
    <mergeCell ref="B105:B116"/>
    <mergeCell ref="C129:C138"/>
    <mergeCell ref="E197:E199"/>
    <mergeCell ref="E182:E184"/>
    <mergeCell ref="A156:F156"/>
    <mergeCell ref="F157:F166"/>
    <mergeCell ref="A167:F167"/>
    <mergeCell ref="G119:G124"/>
    <mergeCell ref="E120:F120"/>
    <mergeCell ref="E121:F121"/>
    <mergeCell ref="E170:E172"/>
    <mergeCell ref="F170:F199"/>
    <mergeCell ref="E173:E175"/>
    <mergeCell ref="E119:F119"/>
    <mergeCell ref="A119:D124"/>
    <mergeCell ref="E124:F124"/>
    <mergeCell ref="E122:F122"/>
    <mergeCell ref="A125:L125"/>
    <mergeCell ref="A128:L128"/>
    <mergeCell ref="L167:L169"/>
    <mergeCell ref="A168:F169"/>
    <mergeCell ref="D129:G129"/>
    <mergeCell ref="D140:G140"/>
    <mergeCell ref="E188:E190"/>
    <mergeCell ref="A170:D199"/>
    <mergeCell ref="A157:D166"/>
    <mergeCell ref="A11:L11"/>
    <mergeCell ref="F13:F14"/>
    <mergeCell ref="G13:G14"/>
    <mergeCell ref="F19:F20"/>
    <mergeCell ref="G19:G20"/>
    <mergeCell ref="L12:L17"/>
    <mergeCell ref="G42:G46"/>
    <mergeCell ref="F42:F46"/>
    <mergeCell ref="G230:G235"/>
    <mergeCell ref="G202:G206"/>
    <mergeCell ref="L62:L72"/>
    <mergeCell ref="B80:B81"/>
    <mergeCell ref="B75:B77"/>
    <mergeCell ref="E69:F70"/>
    <mergeCell ref="A85:F85"/>
    <mergeCell ref="E90:E91"/>
    <mergeCell ref="E92:E93"/>
    <mergeCell ref="F86:F103"/>
    <mergeCell ref="E86:E87"/>
    <mergeCell ref="E96:E97"/>
    <mergeCell ref="C105:C108"/>
    <mergeCell ref="F106:F108"/>
    <mergeCell ref="A105:A116"/>
    <mergeCell ref="C113:C115"/>
    <mergeCell ref="A5:L5"/>
    <mergeCell ref="A7:A9"/>
    <mergeCell ref="B7:B9"/>
    <mergeCell ref="C7:C9"/>
    <mergeCell ref="D7:D9"/>
    <mergeCell ref="E7:E9"/>
    <mergeCell ref="F7:F9"/>
    <mergeCell ref="G7:G9"/>
    <mergeCell ref="H7:K7"/>
    <mergeCell ref="L7:L9"/>
    <mergeCell ref="H8:H9"/>
    <mergeCell ref="I8:K8"/>
    <mergeCell ref="A12:A30"/>
    <mergeCell ref="F32:F34"/>
    <mergeCell ref="G32:G34"/>
    <mergeCell ref="A31:D34"/>
    <mergeCell ref="G25:G27"/>
    <mergeCell ref="C24:C27"/>
    <mergeCell ref="L18:L20"/>
    <mergeCell ref="B12:B30"/>
    <mergeCell ref="C12:C14"/>
    <mergeCell ref="C15:C17"/>
    <mergeCell ref="C18:C20"/>
    <mergeCell ref="D12:G12"/>
    <mergeCell ref="D15:G15"/>
    <mergeCell ref="D18:G18"/>
    <mergeCell ref="G16:G17"/>
    <mergeCell ref="E31:G31"/>
    <mergeCell ref="F16:F17"/>
    <mergeCell ref="F25:F27"/>
    <mergeCell ref="D24:G24"/>
    <mergeCell ref="D28:G28"/>
    <mergeCell ref="F29:F30"/>
    <mergeCell ref="G29:G30"/>
    <mergeCell ref="L21:L34"/>
    <mergeCell ref="A155:G155"/>
    <mergeCell ref="L155:L166"/>
    <mergeCell ref="E179:E181"/>
    <mergeCell ref="E176:E178"/>
    <mergeCell ref="F130:F139"/>
    <mergeCell ref="G130:G139"/>
    <mergeCell ref="C140:C150"/>
    <mergeCell ref="L129:L150"/>
    <mergeCell ref="E185:E187"/>
    <mergeCell ref="C41:C46"/>
    <mergeCell ref="D55:G55"/>
    <mergeCell ref="D51:G51"/>
    <mergeCell ref="C35:C40"/>
    <mergeCell ref="F36:F40"/>
    <mergeCell ref="G36:G40"/>
    <mergeCell ref="F52:F54"/>
    <mergeCell ref="D41:G41"/>
    <mergeCell ref="D35:G35"/>
    <mergeCell ref="E64:F64"/>
    <mergeCell ref="E65:F66"/>
    <mergeCell ref="E67:F68"/>
    <mergeCell ref="E71:F72"/>
    <mergeCell ref="A62:D72"/>
    <mergeCell ref="F75:F77"/>
    <mergeCell ref="A78:D79"/>
    <mergeCell ref="A86:D103"/>
    <mergeCell ref="E123:F123"/>
    <mergeCell ref="D114:D115"/>
    <mergeCell ref="A82:D83"/>
    <mergeCell ref="L41:L46"/>
    <mergeCell ref="A35:A61"/>
    <mergeCell ref="D58:G58"/>
    <mergeCell ref="E102:E103"/>
    <mergeCell ref="L109:L112"/>
    <mergeCell ref="C51:C54"/>
    <mergeCell ref="C21:C23"/>
    <mergeCell ref="D21:G21"/>
    <mergeCell ref="F22:F23"/>
    <mergeCell ref="G22:G23"/>
    <mergeCell ref="C28:C30"/>
    <mergeCell ref="B74:D74"/>
    <mergeCell ref="F82:F83"/>
    <mergeCell ref="F80:F81"/>
    <mergeCell ref="L35:L39"/>
    <mergeCell ref="E82:E83"/>
    <mergeCell ref="E94:E95"/>
    <mergeCell ref="E88:E89"/>
    <mergeCell ref="G52:G54"/>
    <mergeCell ref="F56:F57"/>
    <mergeCell ref="E62:F63"/>
    <mergeCell ref="B35:B61"/>
    <mergeCell ref="F59:F61"/>
    <mergeCell ref="L76:L81"/>
  </mergeCells>
  <pageMargins left="0.78740157480314965" right="0.19685039370078741" top="0.19685039370078741" bottom="0.19685039370078741" header="0.31496062992125984" footer="0.31496062992125984"/>
  <pageSetup paperSize="9" scale="30" fitToHeight="25" orientation="landscape" r:id="rId1"/>
  <rowBreaks count="14" manualBreakCount="14">
    <brk id="30" max="11" man="1"/>
    <brk id="50" max="11" man="1"/>
    <brk id="69" max="11" man="1"/>
    <brk id="89" max="11" man="1"/>
    <brk id="112" max="11" man="1"/>
    <brk id="128" max="11" man="1"/>
    <brk id="156" max="11" man="1"/>
    <brk id="175" max="11" man="1"/>
    <brk id="198" max="11" man="1"/>
    <brk id="221" max="11" man="1"/>
    <brk id="250" max="11" man="1"/>
    <brk id="274" max="11" man="1"/>
    <brk id="295" max="11" man="1"/>
    <brk id="31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93"/>
  <sheetViews>
    <sheetView tabSelected="1" view="pageBreakPreview" zoomScale="40" zoomScaleNormal="50" zoomScaleSheetLayoutView="40" workbookViewId="0">
      <pane ySplit="10" topLeftCell="A276" activePane="bottomLeft" state="frozen"/>
      <selection pane="bottomLeft" activeCell="F290" sqref="F290"/>
    </sheetView>
  </sheetViews>
  <sheetFormatPr defaultColWidth="9.140625" defaultRowHeight="28.5" customHeight="1"/>
  <cols>
    <col min="1" max="1" width="86.28515625" style="30" customWidth="1"/>
    <col min="2" max="2" width="27" style="30" customWidth="1"/>
    <col min="3" max="3" width="24.85546875" style="30" customWidth="1"/>
    <col min="4" max="4" width="25.5703125" style="30" customWidth="1"/>
    <col min="5" max="5" width="25.42578125" style="30" customWidth="1"/>
    <col min="6" max="6" width="25.5703125" style="30" customWidth="1"/>
    <col min="7" max="7" width="24.7109375" style="30" customWidth="1"/>
    <col min="8" max="8" width="25.5703125" style="30" customWidth="1"/>
    <col min="9" max="9" width="24.42578125" style="30" customWidth="1"/>
    <col min="10" max="10" width="25.42578125" style="30" customWidth="1"/>
    <col min="11" max="11" width="25.85546875" style="30" customWidth="1"/>
    <col min="12" max="12" width="22.5703125" style="30" customWidth="1"/>
    <col min="13" max="16384" width="9.140625" style="30"/>
  </cols>
  <sheetData>
    <row r="1" spans="1:12" ht="28.5" customHeight="1">
      <c r="H1" s="56" t="s">
        <v>148</v>
      </c>
    </row>
    <row r="2" spans="1:12" ht="110.25" customHeight="1">
      <c r="H2" s="467" t="s">
        <v>180</v>
      </c>
      <c r="I2" s="467"/>
      <c r="J2" s="467"/>
      <c r="K2" s="467"/>
      <c r="L2" s="31"/>
    </row>
    <row r="3" spans="1:12" ht="27.75">
      <c r="A3" s="31"/>
      <c r="H3" s="470" t="s">
        <v>417</v>
      </c>
      <c r="I3" s="470"/>
      <c r="J3" s="470"/>
      <c r="K3" s="470"/>
    </row>
    <row r="4" spans="1:12" ht="43.5" customHeight="1">
      <c r="H4" s="56"/>
      <c r="I4" s="56"/>
      <c r="J4" s="56"/>
      <c r="K4" s="57"/>
    </row>
    <row r="5" spans="1:12" ht="76.5" customHeight="1">
      <c r="A5" s="471" t="s">
        <v>225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</row>
    <row r="6" spans="1:12" ht="28.5" customHeight="1">
      <c r="A6" s="32"/>
    </row>
    <row r="7" spans="1:12" ht="28.5" customHeight="1">
      <c r="A7" s="472" t="s">
        <v>74</v>
      </c>
      <c r="B7" s="472" t="s">
        <v>66</v>
      </c>
      <c r="C7" s="472" t="s">
        <v>206</v>
      </c>
      <c r="D7" s="472"/>
      <c r="E7" s="472"/>
      <c r="F7" s="472" t="s">
        <v>207</v>
      </c>
      <c r="G7" s="472"/>
      <c r="H7" s="472"/>
      <c r="I7" s="472" t="s">
        <v>208</v>
      </c>
      <c r="J7" s="472"/>
      <c r="K7" s="472"/>
    </row>
    <row r="8" spans="1:12" ht="28.5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472"/>
    </row>
    <row r="9" spans="1:12" ht="28.5" customHeight="1">
      <c r="A9" s="472"/>
      <c r="B9" s="472"/>
      <c r="C9" s="462" t="s">
        <v>70</v>
      </c>
      <c r="D9" s="462" t="s">
        <v>75</v>
      </c>
      <c r="E9" s="462"/>
      <c r="F9" s="462" t="s">
        <v>70</v>
      </c>
      <c r="G9" s="462" t="s">
        <v>75</v>
      </c>
      <c r="H9" s="462"/>
      <c r="I9" s="462" t="s">
        <v>70</v>
      </c>
      <c r="J9" s="462" t="s">
        <v>75</v>
      </c>
      <c r="K9" s="462"/>
    </row>
    <row r="10" spans="1:12" ht="48" customHeight="1">
      <c r="A10" s="472"/>
      <c r="B10" s="472"/>
      <c r="C10" s="462"/>
      <c r="D10" s="232" t="s">
        <v>76</v>
      </c>
      <c r="E10" s="232" t="s">
        <v>77</v>
      </c>
      <c r="F10" s="462"/>
      <c r="G10" s="232" t="s">
        <v>76</v>
      </c>
      <c r="H10" s="232" t="s">
        <v>77</v>
      </c>
      <c r="I10" s="462"/>
      <c r="J10" s="232" t="s">
        <v>76</v>
      </c>
      <c r="K10" s="232" t="s">
        <v>77</v>
      </c>
    </row>
    <row r="11" spans="1:12" ht="32.25" customHeight="1">
      <c r="A11" s="231">
        <v>1</v>
      </c>
      <c r="B11" s="33">
        <v>2</v>
      </c>
      <c r="C11" s="232">
        <v>3</v>
      </c>
      <c r="D11" s="232">
        <v>4</v>
      </c>
      <c r="E11" s="232">
        <v>5</v>
      </c>
      <c r="F11" s="232">
        <v>6</v>
      </c>
      <c r="G11" s="232">
        <v>7</v>
      </c>
      <c r="H11" s="232">
        <v>8</v>
      </c>
      <c r="I11" s="232">
        <v>9</v>
      </c>
      <c r="J11" s="232">
        <v>10</v>
      </c>
      <c r="K11" s="232">
        <v>11</v>
      </c>
    </row>
    <row r="12" spans="1:12" ht="68.25" customHeight="1">
      <c r="A12" s="117" t="s">
        <v>278</v>
      </c>
      <c r="B12" s="127">
        <f t="shared" ref="B12:K12" si="0">B15+B182+B234+B255</f>
        <v>643809300</v>
      </c>
      <c r="C12" s="127">
        <f t="shared" si="0"/>
        <v>225731000</v>
      </c>
      <c r="D12" s="127">
        <f t="shared" si="0"/>
        <v>100601000</v>
      </c>
      <c r="E12" s="127">
        <f t="shared" si="0"/>
        <v>125130000</v>
      </c>
      <c r="F12" s="127">
        <f t="shared" si="0"/>
        <v>206275300</v>
      </c>
      <c r="G12" s="127">
        <f t="shared" si="0"/>
        <v>97945300</v>
      </c>
      <c r="H12" s="127">
        <f t="shared" si="0"/>
        <v>108330000</v>
      </c>
      <c r="I12" s="127">
        <f t="shared" si="0"/>
        <v>211803000</v>
      </c>
      <c r="J12" s="127">
        <f t="shared" si="0"/>
        <v>103473000</v>
      </c>
      <c r="K12" s="127">
        <f t="shared" si="0"/>
        <v>108330000</v>
      </c>
    </row>
    <row r="13" spans="1:12" ht="64.5" customHeight="1">
      <c r="A13" s="468" t="s">
        <v>234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</row>
    <row r="14" spans="1:12" ht="39.75" customHeight="1">
      <c r="A14" s="461" t="s">
        <v>118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</row>
    <row r="15" spans="1:12" ht="42" customHeight="1">
      <c r="A15" s="34" t="s">
        <v>279</v>
      </c>
      <c r="B15" s="128">
        <f t="shared" ref="B15:K15" si="1">B24+B34+B43+B60+B70+B79+B86+B95+B109+B120+B131+B148+B159+B173</f>
        <v>235355600</v>
      </c>
      <c r="C15" s="128">
        <f t="shared" si="1"/>
        <v>79485300</v>
      </c>
      <c r="D15" s="128">
        <f t="shared" si="1"/>
        <v>79485300</v>
      </c>
      <c r="E15" s="128">
        <f t="shared" si="1"/>
        <v>0</v>
      </c>
      <c r="F15" s="128">
        <f t="shared" si="1"/>
        <v>75756000</v>
      </c>
      <c r="G15" s="128">
        <f t="shared" si="1"/>
        <v>75756000</v>
      </c>
      <c r="H15" s="128">
        <f t="shared" si="1"/>
        <v>0</v>
      </c>
      <c r="I15" s="128">
        <f t="shared" si="1"/>
        <v>80114300</v>
      </c>
      <c r="J15" s="128">
        <f t="shared" si="1"/>
        <v>80114300</v>
      </c>
      <c r="K15" s="128">
        <f t="shared" si="1"/>
        <v>0</v>
      </c>
    </row>
    <row r="16" spans="1:12" ht="28.5" hidden="1" customHeight="1">
      <c r="A16" s="35" t="s">
        <v>78</v>
      </c>
      <c r="B16" s="466" t="s">
        <v>127</v>
      </c>
      <c r="C16" s="466"/>
      <c r="D16" s="466"/>
      <c r="E16" s="466"/>
      <c r="F16" s="466"/>
      <c r="G16" s="466"/>
      <c r="H16" s="466"/>
      <c r="I16" s="466"/>
      <c r="J16" s="466"/>
      <c r="K16" s="466"/>
    </row>
    <row r="17" spans="1:11" ht="28.5" hidden="1" customHeight="1">
      <c r="A17" s="118" t="s">
        <v>84</v>
      </c>
      <c r="B17" s="454" t="s">
        <v>85</v>
      </c>
      <c r="C17" s="455"/>
      <c r="D17" s="455"/>
      <c r="E17" s="455"/>
      <c r="F17" s="455"/>
      <c r="G17" s="455"/>
      <c r="H17" s="455"/>
      <c r="I17" s="455"/>
      <c r="J17" s="455"/>
      <c r="K17" s="456"/>
    </row>
    <row r="18" spans="1:11" s="241" customFormat="1" ht="28.5" hidden="1" customHeight="1">
      <c r="A18" s="240" t="s">
        <v>79</v>
      </c>
      <c r="B18" s="240">
        <f>C18+F18+I18</f>
        <v>0</v>
      </c>
      <c r="C18" s="240">
        <f>D18+E18</f>
        <v>0</v>
      </c>
      <c r="D18" s="240">
        <f>'Додаток 3'!I12*1000</f>
        <v>0</v>
      </c>
      <c r="E18" s="240">
        <v>0</v>
      </c>
      <c r="F18" s="240">
        <f>G18+H18</f>
        <v>0</v>
      </c>
      <c r="G18" s="240">
        <f>'Додаток 3'!J12*1000</f>
        <v>0</v>
      </c>
      <c r="H18" s="240">
        <v>0</v>
      </c>
      <c r="I18" s="240">
        <f>J18+K18</f>
        <v>0</v>
      </c>
      <c r="J18" s="240">
        <f>'Додаток 3'!K12*1000</f>
        <v>0</v>
      </c>
      <c r="K18" s="240">
        <v>0</v>
      </c>
    </row>
    <row r="19" spans="1:11" s="241" customFormat="1" ht="28.5" hidden="1" customHeight="1">
      <c r="A19" s="240" t="s">
        <v>139</v>
      </c>
      <c r="B19" s="240"/>
      <c r="C19" s="242">
        <v>2</v>
      </c>
      <c r="D19" s="242">
        <v>2</v>
      </c>
      <c r="E19" s="240"/>
      <c r="F19" s="242"/>
      <c r="G19" s="242">
        <v>2</v>
      </c>
      <c r="H19" s="242">
        <v>2</v>
      </c>
      <c r="I19" s="242"/>
      <c r="J19" s="240">
        <v>2</v>
      </c>
      <c r="K19" s="240">
        <v>2</v>
      </c>
    </row>
    <row r="20" spans="1:11" s="241" customFormat="1" ht="28.5" hidden="1" customHeight="1">
      <c r="A20" s="240" t="s">
        <v>140</v>
      </c>
      <c r="B20" s="242"/>
      <c r="C20" s="242">
        <f>C18/C19</f>
        <v>0</v>
      </c>
      <c r="D20" s="242">
        <f>D18/D19</f>
        <v>0</v>
      </c>
      <c r="E20" s="242"/>
      <c r="F20" s="242"/>
      <c r="G20" s="242">
        <f>G18/G19</f>
        <v>0</v>
      </c>
      <c r="H20" s="242"/>
      <c r="I20" s="242"/>
      <c r="J20" s="242"/>
      <c r="K20" s="240"/>
    </row>
    <row r="21" spans="1:11" ht="28.5" customHeight="1">
      <c r="A21" s="454" t="s">
        <v>236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6"/>
    </row>
    <row r="22" spans="1:11" ht="28.5" customHeight="1">
      <c r="A22" s="454" t="s">
        <v>255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6"/>
    </row>
    <row r="23" spans="1:11" ht="28.5" customHeight="1">
      <c r="A23" s="230" t="s">
        <v>212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</row>
    <row r="24" spans="1:11" ht="28.5" customHeight="1">
      <c r="A24" s="35" t="s">
        <v>280</v>
      </c>
      <c r="B24" s="128">
        <f>C24+F24+I24</f>
        <v>16889700</v>
      </c>
      <c r="C24" s="128">
        <f>D24+E24</f>
        <v>5307100</v>
      </c>
      <c r="D24" s="128">
        <f>'Додаток 3'!I15*1000</f>
        <v>5307100</v>
      </c>
      <c r="E24" s="128"/>
      <c r="F24" s="128">
        <f>G24+H24</f>
        <v>5630800</v>
      </c>
      <c r="G24" s="128">
        <f>'Додаток 3'!J15*1000</f>
        <v>5630800</v>
      </c>
      <c r="H24" s="128"/>
      <c r="I24" s="128">
        <f>J24+K24</f>
        <v>5951799.9999999991</v>
      </c>
      <c r="J24" s="128">
        <f>'Додаток 3'!K15*1000</f>
        <v>5951799.9999999991</v>
      </c>
      <c r="K24" s="128"/>
    </row>
    <row r="25" spans="1:11" ht="28.5" customHeight="1">
      <c r="A25" s="230" t="s">
        <v>129</v>
      </c>
      <c r="B25" s="128"/>
      <c r="C25" s="129"/>
      <c r="D25" s="129"/>
      <c r="E25" s="128"/>
      <c r="F25" s="129"/>
      <c r="G25" s="129"/>
      <c r="H25" s="129"/>
      <c r="I25" s="129"/>
      <c r="J25" s="129"/>
      <c r="K25" s="128"/>
    </row>
    <row r="26" spans="1:11" ht="28.5" customHeight="1">
      <c r="A26" s="35" t="s">
        <v>218</v>
      </c>
      <c r="B26" s="128"/>
      <c r="C26" s="129">
        <v>2</v>
      </c>
      <c r="D26" s="129">
        <v>2</v>
      </c>
      <c r="E26" s="128"/>
      <c r="F26" s="129">
        <v>2</v>
      </c>
      <c r="G26" s="129">
        <v>2</v>
      </c>
      <c r="H26" s="129"/>
      <c r="I26" s="129">
        <v>2</v>
      </c>
      <c r="J26" s="129">
        <v>2</v>
      </c>
      <c r="K26" s="128"/>
    </row>
    <row r="27" spans="1:11" ht="28.5" customHeight="1">
      <c r="A27" s="230" t="s">
        <v>128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8"/>
    </row>
    <row r="28" spans="1:11" ht="28.5" customHeight="1">
      <c r="A28" s="35" t="s">
        <v>281</v>
      </c>
      <c r="B28" s="129"/>
      <c r="C28" s="129">
        <f t="shared" ref="C28" si="2">C24/C26</f>
        <v>2653550</v>
      </c>
      <c r="D28" s="129">
        <f>D24/D26</f>
        <v>2653550</v>
      </c>
      <c r="E28" s="129"/>
      <c r="F28" s="129">
        <f t="shared" ref="F28:J28" si="3">F24/F26</f>
        <v>2815400</v>
      </c>
      <c r="G28" s="129">
        <f t="shared" si="3"/>
        <v>2815400</v>
      </c>
      <c r="H28" s="129"/>
      <c r="I28" s="129">
        <f t="shared" si="3"/>
        <v>2975899.9999999995</v>
      </c>
      <c r="J28" s="129">
        <f t="shared" si="3"/>
        <v>2975899.9999999995</v>
      </c>
      <c r="K28" s="129"/>
    </row>
    <row r="29" spans="1:11" ht="28.5" customHeight="1">
      <c r="A29" s="230" t="s">
        <v>83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8"/>
    </row>
    <row r="30" spans="1:11" ht="28.5" customHeight="1">
      <c r="A30" s="35" t="s">
        <v>237</v>
      </c>
      <c r="B30" s="129"/>
      <c r="C30" s="129">
        <v>100</v>
      </c>
      <c r="D30" s="129">
        <v>100</v>
      </c>
      <c r="E30" s="129"/>
      <c r="F30" s="129">
        <v>100</v>
      </c>
      <c r="G30" s="129">
        <v>100</v>
      </c>
      <c r="H30" s="129"/>
      <c r="I30" s="129">
        <v>100</v>
      </c>
      <c r="J30" s="129">
        <v>100</v>
      </c>
      <c r="K30" s="128"/>
    </row>
    <row r="31" spans="1:11" ht="79.5" customHeight="1">
      <c r="A31" s="35" t="s">
        <v>282</v>
      </c>
      <c r="B31" s="129"/>
      <c r="C31" s="129">
        <f>D31</f>
        <v>141.16388453772558</v>
      </c>
      <c r="D31" s="129">
        <f>D24/3759531*100</f>
        <v>141.16388453772558</v>
      </c>
      <c r="E31" s="129"/>
      <c r="F31" s="129">
        <f>G31</f>
        <v>106.09937630721109</v>
      </c>
      <c r="G31" s="129">
        <f>G24/D24*100</f>
        <v>106.09937630721109</v>
      </c>
      <c r="H31" s="129"/>
      <c r="I31" s="129">
        <f>J31</f>
        <v>105.70078852028129</v>
      </c>
      <c r="J31" s="129">
        <f>J24/G24*100</f>
        <v>105.70078852028129</v>
      </c>
      <c r="K31" s="128"/>
    </row>
    <row r="32" spans="1:11" ht="28.5" customHeight="1">
      <c r="A32" s="454" t="s">
        <v>235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6"/>
    </row>
    <row r="33" spans="1:11" ht="28.5" customHeight="1">
      <c r="A33" s="230" t="s">
        <v>212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</row>
    <row r="34" spans="1:11" ht="36" customHeight="1">
      <c r="A34" s="35" t="s">
        <v>213</v>
      </c>
      <c r="B34" s="128">
        <f>C34+F34+I34</f>
        <v>3922400</v>
      </c>
      <c r="C34" s="128">
        <f>D34+E34</f>
        <v>1241800</v>
      </c>
      <c r="D34" s="128">
        <f>'Додаток 3'!I18*1000</f>
        <v>1241800</v>
      </c>
      <c r="E34" s="128"/>
      <c r="F34" s="128">
        <f>G34+H34</f>
        <v>1307600</v>
      </c>
      <c r="G34" s="128">
        <f>'Додаток 3'!J18*1000</f>
        <v>1307600</v>
      </c>
      <c r="H34" s="128"/>
      <c r="I34" s="128">
        <f>J34+K34</f>
        <v>1373000</v>
      </c>
      <c r="J34" s="128">
        <f>'Додаток 3'!K18*1000</f>
        <v>1373000</v>
      </c>
      <c r="K34" s="128"/>
    </row>
    <row r="35" spans="1:11" ht="28.5" customHeight="1">
      <c r="A35" s="230" t="s">
        <v>129</v>
      </c>
      <c r="B35" s="128"/>
      <c r="C35" s="129"/>
      <c r="D35" s="128"/>
      <c r="E35" s="128"/>
      <c r="F35" s="129"/>
      <c r="G35" s="129"/>
      <c r="H35" s="129"/>
      <c r="I35" s="129"/>
      <c r="J35" s="128"/>
      <c r="K35" s="128"/>
    </row>
    <row r="36" spans="1:11" ht="51" customHeight="1">
      <c r="A36" s="35" t="s">
        <v>283</v>
      </c>
      <c r="B36" s="128"/>
      <c r="C36" s="129">
        <f>D36</f>
        <v>14883</v>
      </c>
      <c r="D36" s="129">
        <f>6294+8589</f>
        <v>14883</v>
      </c>
      <c r="E36" s="128"/>
      <c r="F36" s="129">
        <v>31041</v>
      </c>
      <c r="G36" s="129">
        <f>6294+8589</f>
        <v>14883</v>
      </c>
      <c r="H36" s="129"/>
      <c r="I36" s="129">
        <v>31041</v>
      </c>
      <c r="J36" s="129">
        <f>6294+8589</f>
        <v>14883</v>
      </c>
      <c r="K36" s="128"/>
    </row>
    <row r="37" spans="1:11" ht="28.5" customHeight="1">
      <c r="A37" s="230" t="s">
        <v>128</v>
      </c>
      <c r="B37" s="128"/>
      <c r="C37" s="129"/>
      <c r="D37" s="129"/>
      <c r="E37" s="129"/>
      <c r="F37" s="129"/>
      <c r="G37" s="129"/>
      <c r="H37" s="129"/>
      <c r="I37" s="129"/>
      <c r="J37" s="129"/>
      <c r="K37" s="128"/>
    </row>
    <row r="38" spans="1:11" ht="28.5" customHeight="1">
      <c r="A38" s="35" t="s">
        <v>229</v>
      </c>
      <c r="B38" s="128"/>
      <c r="C38" s="129">
        <f>D38</f>
        <v>83.437479002889205</v>
      </c>
      <c r="D38" s="129">
        <f>D34/D36</f>
        <v>83.437479002889205</v>
      </c>
      <c r="E38" s="129"/>
      <c r="F38" s="129">
        <f>G38</f>
        <v>87.858630652422221</v>
      </c>
      <c r="G38" s="129">
        <f>G34/G36</f>
        <v>87.858630652422221</v>
      </c>
      <c r="H38" s="129"/>
      <c r="I38" s="129">
        <f>J38</f>
        <v>92.252906000134388</v>
      </c>
      <c r="J38" s="129">
        <f>J34/J36</f>
        <v>92.252906000134388</v>
      </c>
      <c r="K38" s="128"/>
    </row>
    <row r="39" spans="1:11" ht="28.5" customHeight="1">
      <c r="A39" s="230" t="s">
        <v>83</v>
      </c>
      <c r="B39" s="128"/>
      <c r="C39" s="129"/>
      <c r="D39" s="129"/>
      <c r="E39" s="129"/>
      <c r="F39" s="129"/>
      <c r="G39" s="129"/>
      <c r="H39" s="129"/>
      <c r="I39" s="129"/>
      <c r="J39" s="129"/>
      <c r="K39" s="128"/>
    </row>
    <row r="40" spans="1:11" ht="72.75" customHeight="1">
      <c r="A40" s="35" t="s">
        <v>284</v>
      </c>
      <c r="B40" s="129"/>
      <c r="C40" s="129">
        <f>D40</f>
        <v>106.22981671977587</v>
      </c>
      <c r="D40" s="129">
        <f>D34/1168975*100</f>
        <v>106.22981671977587</v>
      </c>
      <c r="E40" s="129"/>
      <c r="F40" s="129">
        <f>G40</f>
        <v>105.29875986471251</v>
      </c>
      <c r="G40" s="129">
        <f>G34/D34*100</f>
        <v>105.29875986471251</v>
      </c>
      <c r="H40" s="129"/>
      <c r="I40" s="129">
        <f>J40</f>
        <v>105.00152951973081</v>
      </c>
      <c r="J40" s="129">
        <f>J34/G34*100</f>
        <v>105.00152951973081</v>
      </c>
      <c r="K40" s="128"/>
    </row>
    <row r="41" spans="1:11" ht="53.25" customHeight="1">
      <c r="A41" s="454" t="s">
        <v>357</v>
      </c>
      <c r="B41" s="455"/>
      <c r="C41" s="455"/>
      <c r="D41" s="455"/>
      <c r="E41" s="455"/>
      <c r="F41" s="455"/>
      <c r="G41" s="455"/>
      <c r="H41" s="455"/>
      <c r="I41" s="455"/>
      <c r="J41" s="455"/>
      <c r="K41" s="456"/>
    </row>
    <row r="42" spans="1:11" ht="28.5" customHeight="1">
      <c r="A42" s="230" t="s">
        <v>79</v>
      </c>
      <c r="B42" s="35"/>
      <c r="C42" s="35"/>
      <c r="D42" s="35"/>
      <c r="E42" s="35"/>
      <c r="F42" s="35"/>
      <c r="G42" s="233"/>
      <c r="H42" s="35"/>
      <c r="I42" s="35"/>
      <c r="J42" s="233"/>
      <c r="K42" s="230"/>
    </row>
    <row r="43" spans="1:11" ht="30.75" customHeight="1">
      <c r="A43" s="35" t="s">
        <v>285</v>
      </c>
      <c r="B43" s="230">
        <f>C43+F43+I43</f>
        <v>3037400</v>
      </c>
      <c r="C43" s="230">
        <f>D43+E43</f>
        <v>960600</v>
      </c>
      <c r="D43" s="230">
        <f>('Додаток 3'!I21+'Додаток 3'!I24+'Додаток 3'!I28)*1000</f>
        <v>960600</v>
      </c>
      <c r="E43" s="230"/>
      <c r="F43" s="230">
        <f>G43+H43</f>
        <v>1011500.0000000001</v>
      </c>
      <c r="G43" s="118">
        <f>('Додаток 3'!J21+'Додаток 3'!J24+'Додаток 3'!J28)*1000</f>
        <v>1011500.0000000001</v>
      </c>
      <c r="H43" s="230"/>
      <c r="I43" s="230">
        <f>J43+K43</f>
        <v>1065300</v>
      </c>
      <c r="J43" s="118">
        <f>('Додаток 3'!K21+'Додаток 3'!K24+'Додаток 3'!K28)*1000</f>
        <v>1065300</v>
      </c>
      <c r="K43" s="230"/>
    </row>
    <row r="44" spans="1:11" ht="74.25" customHeight="1">
      <c r="A44" s="124" t="s">
        <v>415</v>
      </c>
      <c r="B44" s="35"/>
      <c r="C44" s="35">
        <f>D44</f>
        <v>700000</v>
      </c>
      <c r="D44" s="35">
        <f>'Додаток 3'!I21*1000</f>
        <v>700000</v>
      </c>
      <c r="E44" s="35"/>
      <c r="F44" s="35">
        <f>G44+H44</f>
        <v>737100</v>
      </c>
      <c r="G44" s="233">
        <f>'Додаток 3'!J21*1000</f>
        <v>737100</v>
      </c>
      <c r="H44" s="35"/>
      <c r="I44" s="35">
        <f>J44+K44</f>
        <v>774000</v>
      </c>
      <c r="J44" s="233">
        <f>'Додаток 3'!K21*1000</f>
        <v>774000</v>
      </c>
      <c r="K44" s="230"/>
    </row>
    <row r="45" spans="1:11" ht="55.5" customHeight="1">
      <c r="A45" s="120" t="s">
        <v>414</v>
      </c>
      <c r="B45" s="35"/>
      <c r="C45" s="35">
        <f>D45</f>
        <v>218100</v>
      </c>
      <c r="D45" s="35">
        <f>'Додаток 3'!I24*1000</f>
        <v>218100</v>
      </c>
      <c r="E45" s="35"/>
      <c r="F45" s="35">
        <f>G45+H45</f>
        <v>229700.00000000003</v>
      </c>
      <c r="G45" s="233">
        <f>'Додаток 3'!J24*1000</f>
        <v>229700.00000000003</v>
      </c>
      <c r="H45" s="35"/>
      <c r="I45" s="35">
        <f>J45+K45</f>
        <v>241100.00000000003</v>
      </c>
      <c r="J45" s="233">
        <f>'Додаток 3'!K24*1000</f>
        <v>241100.00000000003</v>
      </c>
      <c r="K45" s="230"/>
    </row>
    <row r="46" spans="1:11" ht="60.75" customHeight="1">
      <c r="A46" s="123" t="s">
        <v>413</v>
      </c>
      <c r="B46" s="35"/>
      <c r="C46" s="35">
        <f>D46</f>
        <v>42500</v>
      </c>
      <c r="D46" s="35">
        <f>'Додаток 3'!I28*1000</f>
        <v>42500</v>
      </c>
      <c r="E46" s="35"/>
      <c r="F46" s="35">
        <f>G46+H46</f>
        <v>44700</v>
      </c>
      <c r="G46" s="233">
        <f>'Додаток 3'!J28*1000</f>
        <v>44700</v>
      </c>
      <c r="H46" s="35"/>
      <c r="I46" s="35">
        <f>J46+K46</f>
        <v>50200</v>
      </c>
      <c r="J46" s="233">
        <f>'Додаток 3'!K28*1000</f>
        <v>50200</v>
      </c>
      <c r="K46" s="230"/>
    </row>
    <row r="47" spans="1:11" ht="28.5" customHeight="1">
      <c r="A47" s="230" t="s">
        <v>129</v>
      </c>
      <c r="B47" s="35"/>
      <c r="C47" s="35"/>
      <c r="D47" s="35"/>
      <c r="E47" s="35"/>
      <c r="F47" s="233"/>
      <c r="G47" s="233"/>
      <c r="H47" s="35"/>
      <c r="I47" s="233"/>
      <c r="J47" s="233"/>
      <c r="K47" s="230"/>
    </row>
    <row r="48" spans="1:11" ht="49.5" customHeight="1">
      <c r="A48" s="124" t="s">
        <v>230</v>
      </c>
      <c r="B48" s="233"/>
      <c r="C48" s="233">
        <v>4</v>
      </c>
      <c r="D48" s="233">
        <v>4</v>
      </c>
      <c r="E48" s="35"/>
      <c r="F48" s="233">
        <f>G48</f>
        <v>4</v>
      </c>
      <c r="G48" s="233">
        <v>4</v>
      </c>
      <c r="H48" s="35"/>
      <c r="I48" s="233">
        <f>J48</f>
        <v>4</v>
      </c>
      <c r="J48" s="233">
        <v>4</v>
      </c>
      <c r="K48" s="230"/>
    </row>
    <row r="49" spans="1:11" ht="59.25" customHeight="1">
      <c r="A49" s="124" t="s">
        <v>214</v>
      </c>
      <c r="B49" s="233"/>
      <c r="C49" s="233">
        <v>26</v>
      </c>
      <c r="D49" s="233">
        <v>26</v>
      </c>
      <c r="E49" s="35"/>
      <c r="F49" s="233">
        <f>G49</f>
        <v>26</v>
      </c>
      <c r="G49" s="233">
        <v>26</v>
      </c>
      <c r="H49" s="35"/>
      <c r="I49" s="233">
        <f>J49</f>
        <v>26</v>
      </c>
      <c r="J49" s="233">
        <v>26</v>
      </c>
      <c r="K49" s="230"/>
    </row>
    <row r="50" spans="1:11" ht="51.75" customHeight="1">
      <c r="A50" s="125" t="s">
        <v>215</v>
      </c>
      <c r="B50" s="233"/>
      <c r="C50" s="233">
        <v>7</v>
      </c>
      <c r="D50" s="233">
        <v>7</v>
      </c>
      <c r="E50" s="35"/>
      <c r="F50" s="233">
        <f>G50</f>
        <v>7</v>
      </c>
      <c r="G50" s="233">
        <v>7</v>
      </c>
      <c r="H50" s="35"/>
      <c r="I50" s="233">
        <f>J50</f>
        <v>7</v>
      </c>
      <c r="J50" s="233">
        <v>7</v>
      </c>
      <c r="K50" s="230"/>
    </row>
    <row r="51" spans="1:11" ht="28.5" customHeight="1">
      <c r="A51" s="230" t="s">
        <v>128</v>
      </c>
      <c r="B51" s="233"/>
      <c r="C51" s="233"/>
      <c r="D51" s="233"/>
      <c r="E51" s="35"/>
      <c r="F51" s="233"/>
      <c r="G51" s="233"/>
      <c r="H51" s="35"/>
      <c r="I51" s="233"/>
      <c r="J51" s="233"/>
      <c r="K51" s="230"/>
    </row>
    <row r="52" spans="1:11" ht="51" customHeight="1">
      <c r="A52" s="137" t="s">
        <v>286</v>
      </c>
      <c r="B52" s="233"/>
      <c r="C52" s="233">
        <f>D52</f>
        <v>175000</v>
      </c>
      <c r="D52" s="233">
        <f>D44/D48</f>
        <v>175000</v>
      </c>
      <c r="E52" s="35"/>
      <c r="F52" s="233">
        <f t="shared" ref="F52:G54" si="4">F44/F48</f>
        <v>184275</v>
      </c>
      <c r="G52" s="233">
        <f t="shared" si="4"/>
        <v>184275</v>
      </c>
      <c r="H52" s="35"/>
      <c r="I52" s="233">
        <f t="shared" ref="I52:J54" si="5">I44/I48</f>
        <v>193500</v>
      </c>
      <c r="J52" s="233">
        <f t="shared" si="5"/>
        <v>193500</v>
      </c>
      <c r="K52" s="230"/>
    </row>
    <row r="53" spans="1:11" ht="53.25" customHeight="1">
      <c r="A53" s="137" t="s">
        <v>288</v>
      </c>
      <c r="B53" s="233"/>
      <c r="C53" s="233">
        <f>D53</f>
        <v>8388.461538461539</v>
      </c>
      <c r="D53" s="233">
        <f>D45/D49</f>
        <v>8388.461538461539</v>
      </c>
      <c r="E53" s="35"/>
      <c r="F53" s="233">
        <f t="shared" si="4"/>
        <v>8834.6153846153866</v>
      </c>
      <c r="G53" s="233">
        <f t="shared" si="4"/>
        <v>8834.6153846153866</v>
      </c>
      <c r="H53" s="35"/>
      <c r="I53" s="233">
        <f t="shared" si="5"/>
        <v>9273.0769230769238</v>
      </c>
      <c r="J53" s="233">
        <f t="shared" si="5"/>
        <v>9273.0769230769238</v>
      </c>
      <c r="K53" s="230"/>
    </row>
    <row r="54" spans="1:11" ht="58.5" customHeight="1">
      <c r="A54" s="137" t="s">
        <v>289</v>
      </c>
      <c r="B54" s="233"/>
      <c r="C54" s="233">
        <f>D54</f>
        <v>6071.4285714285716</v>
      </c>
      <c r="D54" s="233">
        <f>D46/D50</f>
        <v>6071.4285714285716</v>
      </c>
      <c r="E54" s="35"/>
      <c r="F54" s="233">
        <f t="shared" si="4"/>
        <v>6385.7142857142853</v>
      </c>
      <c r="G54" s="233">
        <f t="shared" si="4"/>
        <v>6385.7142857142853</v>
      </c>
      <c r="H54" s="35"/>
      <c r="I54" s="233">
        <f t="shared" si="5"/>
        <v>7171.4285714285716</v>
      </c>
      <c r="J54" s="233">
        <f t="shared" si="5"/>
        <v>7171.4285714285716</v>
      </c>
      <c r="K54" s="230"/>
    </row>
    <row r="55" spans="1:11" ht="28.5" customHeight="1">
      <c r="A55" s="230" t="s">
        <v>83</v>
      </c>
      <c r="B55" s="233"/>
      <c r="C55" s="233"/>
      <c r="D55" s="233"/>
      <c r="E55" s="35"/>
      <c r="F55" s="233"/>
      <c r="G55" s="233"/>
      <c r="H55" s="35"/>
      <c r="I55" s="233"/>
      <c r="J55" s="233"/>
      <c r="K55" s="230"/>
    </row>
    <row r="56" spans="1:11" ht="142.5" customHeight="1">
      <c r="A56" s="35" t="s">
        <v>287</v>
      </c>
      <c r="B56" s="35"/>
      <c r="C56" s="35">
        <f>D56</f>
        <v>138.41498559077809</v>
      </c>
      <c r="D56" s="35">
        <f>D43/694000*100</f>
        <v>138.41498559077809</v>
      </c>
      <c r="E56" s="35"/>
      <c r="F56" s="35">
        <f>G56</f>
        <v>105.29877160108268</v>
      </c>
      <c r="G56" s="35">
        <f>G43/D43*100</f>
        <v>105.29877160108268</v>
      </c>
      <c r="H56" s="35"/>
      <c r="I56" s="35">
        <f>J56</f>
        <v>105.31883341571921</v>
      </c>
      <c r="J56" s="35">
        <f>J43/G43*100</f>
        <v>105.31883341571921</v>
      </c>
      <c r="K56" s="230"/>
    </row>
    <row r="57" spans="1:11" ht="28.5" customHeight="1">
      <c r="A57" s="454" t="s">
        <v>262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6"/>
    </row>
    <row r="58" spans="1:11" ht="28.5" customHeight="1">
      <c r="A58" s="454" t="s">
        <v>257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6"/>
    </row>
    <row r="59" spans="1:11" ht="28.5" customHeight="1">
      <c r="A59" s="230" t="s">
        <v>79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</row>
    <row r="60" spans="1:11" ht="28.5" customHeight="1">
      <c r="A60" s="35" t="s">
        <v>280</v>
      </c>
      <c r="B60" s="230">
        <f>C60+F60+I60</f>
        <v>134834100</v>
      </c>
      <c r="C60" s="230">
        <f>D60+E60</f>
        <v>42367700.000000007</v>
      </c>
      <c r="D60" s="230">
        <f>'Додаток 3'!I41*1000</f>
        <v>42367700.000000007</v>
      </c>
      <c r="E60" s="230"/>
      <c r="F60" s="230">
        <f>G60+H60</f>
        <v>44952100.000000007</v>
      </c>
      <c r="G60" s="230">
        <f>'Додаток 3'!J41*1000</f>
        <v>44952100.000000007</v>
      </c>
      <c r="H60" s="230"/>
      <c r="I60" s="230">
        <f>J60+K60</f>
        <v>47514300</v>
      </c>
      <c r="J60" s="230">
        <f>'Додаток 3'!K41*1000</f>
        <v>47514300</v>
      </c>
      <c r="K60" s="230"/>
    </row>
    <row r="61" spans="1:11" ht="28.5" customHeight="1">
      <c r="A61" s="230" t="s">
        <v>129</v>
      </c>
      <c r="B61" s="230"/>
      <c r="C61" s="35"/>
      <c r="D61" s="35"/>
      <c r="E61" s="230"/>
      <c r="F61" s="35"/>
      <c r="G61" s="35"/>
      <c r="H61" s="35"/>
      <c r="I61" s="35"/>
      <c r="J61" s="35"/>
      <c r="K61" s="230"/>
    </row>
    <row r="62" spans="1:11" ht="28.5" customHeight="1">
      <c r="A62" s="35" t="s">
        <v>218</v>
      </c>
      <c r="B62" s="230"/>
      <c r="C62" s="35">
        <v>5</v>
      </c>
      <c r="D62" s="35">
        <v>5</v>
      </c>
      <c r="E62" s="230"/>
      <c r="F62" s="35">
        <v>5</v>
      </c>
      <c r="G62" s="35">
        <v>5</v>
      </c>
      <c r="H62" s="35"/>
      <c r="I62" s="35">
        <v>5</v>
      </c>
      <c r="J62" s="35">
        <v>5</v>
      </c>
      <c r="K62" s="230"/>
    </row>
    <row r="63" spans="1:11" ht="28.5" customHeight="1">
      <c r="A63" s="230" t="s">
        <v>82</v>
      </c>
      <c r="B63" s="35"/>
      <c r="C63" s="35"/>
      <c r="D63" s="35"/>
      <c r="E63" s="35"/>
      <c r="F63" s="35"/>
      <c r="G63" s="35"/>
      <c r="H63" s="35"/>
      <c r="I63" s="35"/>
      <c r="J63" s="35"/>
      <c r="K63" s="230"/>
    </row>
    <row r="64" spans="1:11" ht="28.5" customHeight="1">
      <c r="A64" s="35" t="s">
        <v>290</v>
      </c>
      <c r="B64" s="35"/>
      <c r="C64" s="35">
        <f>C60/C62</f>
        <v>8473540.0000000019</v>
      </c>
      <c r="D64" s="35">
        <f>D60/D62</f>
        <v>8473540.0000000019</v>
      </c>
      <c r="E64" s="35"/>
      <c r="F64" s="35">
        <f>F60/F62</f>
        <v>8990420.0000000019</v>
      </c>
      <c r="G64" s="35">
        <f>G60/G62</f>
        <v>8990420.0000000019</v>
      </c>
      <c r="H64" s="35"/>
      <c r="I64" s="35">
        <f>I60/I62</f>
        <v>9502860</v>
      </c>
      <c r="J64" s="35">
        <f>J60/J62</f>
        <v>9502860</v>
      </c>
      <c r="K64" s="230"/>
    </row>
    <row r="65" spans="1:11" ht="28.5" customHeight="1">
      <c r="A65" s="230" t="s">
        <v>83</v>
      </c>
      <c r="B65" s="35"/>
      <c r="C65" s="35"/>
      <c r="D65" s="35"/>
      <c r="E65" s="35"/>
      <c r="F65" s="35"/>
      <c r="G65" s="35"/>
      <c r="H65" s="35"/>
      <c r="I65" s="35"/>
      <c r="J65" s="35"/>
      <c r="K65" s="230"/>
    </row>
    <row r="66" spans="1:11" ht="28.5" customHeight="1">
      <c r="A66" s="35" t="s">
        <v>238</v>
      </c>
      <c r="B66" s="35"/>
      <c r="C66" s="35">
        <v>100</v>
      </c>
      <c r="D66" s="35">
        <v>100</v>
      </c>
      <c r="E66" s="35"/>
      <c r="F66" s="35">
        <v>100</v>
      </c>
      <c r="G66" s="35">
        <v>100</v>
      </c>
      <c r="H66" s="35"/>
      <c r="I66" s="35">
        <v>100</v>
      </c>
      <c r="J66" s="35">
        <v>100</v>
      </c>
      <c r="K66" s="230"/>
    </row>
    <row r="67" spans="1:11" ht="75.75" customHeight="1">
      <c r="A67" s="35" t="s">
        <v>282</v>
      </c>
      <c r="B67" s="35"/>
      <c r="C67" s="35">
        <f>D67</f>
        <v>154.95753889052867</v>
      </c>
      <c r="D67" s="35">
        <f>D60/27341490*100</f>
        <v>154.95753889052867</v>
      </c>
      <c r="E67" s="35"/>
      <c r="F67" s="35">
        <f>G67</f>
        <v>106.09992989942809</v>
      </c>
      <c r="G67" s="35">
        <f>G60/D60*100</f>
        <v>106.09992989942809</v>
      </c>
      <c r="H67" s="35"/>
      <c r="I67" s="35">
        <f>J67</f>
        <v>105.69984494606479</v>
      </c>
      <c r="J67" s="35">
        <f>J60/G60*100</f>
        <v>105.69984494606479</v>
      </c>
      <c r="K67" s="230"/>
    </row>
    <row r="68" spans="1:11" ht="28.5" customHeight="1">
      <c r="A68" s="457" t="s">
        <v>358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9"/>
    </row>
    <row r="69" spans="1:11" ht="28.5" customHeight="1">
      <c r="A69" s="230" t="s">
        <v>79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</row>
    <row r="70" spans="1:11" ht="36" customHeight="1">
      <c r="A70" s="35" t="s">
        <v>280</v>
      </c>
      <c r="B70" s="128">
        <f>C70+F70+I70</f>
        <v>1006500</v>
      </c>
      <c r="C70" s="128">
        <f>D70+E70</f>
        <v>318700</v>
      </c>
      <c r="D70" s="128">
        <f>'Додаток 3'!I47*1000</f>
        <v>318700</v>
      </c>
      <c r="E70" s="128"/>
      <c r="F70" s="128">
        <f>G70+H70</f>
        <v>335500</v>
      </c>
      <c r="G70" s="128">
        <f>'Додаток 3'!J47*1000</f>
        <v>335500</v>
      </c>
      <c r="H70" s="128"/>
      <c r="I70" s="128">
        <f>J70+K70</f>
        <v>352300</v>
      </c>
      <c r="J70" s="128">
        <f>'Додаток 3'!K47*1000</f>
        <v>352300</v>
      </c>
      <c r="K70" s="128"/>
    </row>
    <row r="71" spans="1:11" ht="28.5" customHeight="1">
      <c r="A71" s="230" t="s">
        <v>129</v>
      </c>
      <c r="B71" s="128"/>
      <c r="C71" s="129"/>
      <c r="D71" s="128"/>
      <c r="E71" s="128"/>
      <c r="F71" s="129"/>
      <c r="G71" s="129"/>
      <c r="H71" s="129"/>
      <c r="I71" s="129"/>
      <c r="J71" s="128"/>
      <c r="K71" s="128"/>
    </row>
    <row r="72" spans="1:11" ht="48.75" customHeight="1">
      <c r="A72" s="35" t="s">
        <v>375</v>
      </c>
      <c r="B72" s="128"/>
      <c r="C72" s="129">
        <v>170</v>
      </c>
      <c r="D72" s="129">
        <v>170</v>
      </c>
      <c r="E72" s="128"/>
      <c r="F72" s="129">
        <f>G72</f>
        <v>170</v>
      </c>
      <c r="G72" s="129">
        <v>170</v>
      </c>
      <c r="H72" s="129"/>
      <c r="I72" s="129">
        <f>J72</f>
        <v>170</v>
      </c>
      <c r="J72" s="129">
        <v>170</v>
      </c>
      <c r="K72" s="128"/>
    </row>
    <row r="73" spans="1:11" ht="28.5" customHeight="1">
      <c r="A73" s="230" t="s">
        <v>128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8"/>
    </row>
    <row r="74" spans="1:11" ht="32.25" customHeight="1">
      <c r="A74" s="35" t="s">
        <v>291</v>
      </c>
      <c r="B74" s="129"/>
      <c r="C74" s="129">
        <f>C70/C72</f>
        <v>1874.7058823529412</v>
      </c>
      <c r="D74" s="129">
        <f>D70/D72</f>
        <v>1874.7058823529412</v>
      </c>
      <c r="E74" s="129"/>
      <c r="F74" s="129">
        <f>F70/F72</f>
        <v>1973.5294117647059</v>
      </c>
      <c r="G74" s="129">
        <f>G70/G72</f>
        <v>1973.5294117647059</v>
      </c>
      <c r="H74" s="129"/>
      <c r="I74" s="129">
        <f>I70/I72</f>
        <v>2072.3529411764707</v>
      </c>
      <c r="J74" s="129">
        <f>J70/J72</f>
        <v>2072.3529411764707</v>
      </c>
      <c r="K74" s="128"/>
    </row>
    <row r="75" spans="1:11" ht="28.5" customHeight="1">
      <c r="A75" s="230" t="s">
        <v>83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8"/>
    </row>
    <row r="76" spans="1:11" ht="66" customHeight="1">
      <c r="A76" s="35" t="s">
        <v>239</v>
      </c>
      <c r="B76" s="129"/>
      <c r="C76" s="129">
        <f>D76</f>
        <v>106.23333333333333</v>
      </c>
      <c r="D76" s="129">
        <f>D70/300000*100</f>
        <v>106.23333333333333</v>
      </c>
      <c r="E76" s="129"/>
      <c r="F76" s="129">
        <f>G76</f>
        <v>105.271415123941</v>
      </c>
      <c r="G76" s="129">
        <f>G70/D70*100</f>
        <v>105.271415123941</v>
      </c>
      <c r="H76" s="129"/>
      <c r="I76" s="129">
        <f>J76</f>
        <v>105.00745156482863</v>
      </c>
      <c r="J76" s="129">
        <f>J70/G70*100</f>
        <v>105.00745156482863</v>
      </c>
      <c r="K76" s="128"/>
    </row>
    <row r="77" spans="1:11" ht="28.5" customHeight="1">
      <c r="A77" s="454" t="s">
        <v>359</v>
      </c>
      <c r="B77" s="455"/>
      <c r="C77" s="455"/>
      <c r="D77" s="455"/>
      <c r="E77" s="455"/>
      <c r="F77" s="455"/>
      <c r="G77" s="455"/>
      <c r="H77" s="455"/>
      <c r="I77" s="455"/>
      <c r="J77" s="455"/>
      <c r="K77" s="456"/>
    </row>
    <row r="78" spans="1:11" ht="28.5" customHeight="1">
      <c r="A78" s="230" t="s">
        <v>79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</row>
    <row r="79" spans="1:11" ht="28.5" customHeight="1">
      <c r="A79" s="35" t="s">
        <v>280</v>
      </c>
      <c r="B79" s="128">
        <f>C79+F79+I79</f>
        <v>269000</v>
      </c>
      <c r="C79" s="128">
        <f>D79+E79</f>
        <v>269000</v>
      </c>
      <c r="D79" s="128">
        <f>('Додаток 3'!I48+'Додаток 3'!I77)*1000</f>
        <v>269000</v>
      </c>
      <c r="E79" s="128"/>
      <c r="F79" s="128"/>
      <c r="G79" s="128"/>
      <c r="H79" s="128"/>
      <c r="I79" s="128"/>
      <c r="J79" s="128"/>
      <c r="K79" s="128"/>
    </row>
    <row r="80" spans="1:11" ht="28.5" customHeight="1">
      <c r="A80" s="230" t="s">
        <v>81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8"/>
    </row>
    <row r="81" spans="1:11" ht="28.5" customHeight="1">
      <c r="A81" s="35" t="s">
        <v>263</v>
      </c>
      <c r="B81" s="129"/>
      <c r="C81" s="129">
        <f>D81</f>
        <v>4</v>
      </c>
      <c r="D81" s="129">
        <v>4</v>
      </c>
      <c r="E81" s="129"/>
      <c r="F81" s="129"/>
      <c r="G81" s="129"/>
      <c r="H81" s="129"/>
      <c r="I81" s="129"/>
      <c r="J81" s="129"/>
      <c r="K81" s="128"/>
    </row>
    <row r="82" spans="1:11" ht="28.5" customHeight="1">
      <c r="A82" s="230" t="s">
        <v>82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8"/>
    </row>
    <row r="83" spans="1:11" ht="28.5" customHeight="1">
      <c r="A83" s="35" t="s">
        <v>292</v>
      </c>
      <c r="B83" s="129"/>
      <c r="C83" s="129">
        <f>C79/C81</f>
        <v>67250</v>
      </c>
      <c r="D83" s="129">
        <f>D79/D81</f>
        <v>67250</v>
      </c>
      <c r="E83" s="129"/>
      <c r="F83" s="129"/>
      <c r="G83" s="129"/>
      <c r="H83" s="129"/>
      <c r="I83" s="129"/>
      <c r="J83" s="129"/>
      <c r="K83" s="128"/>
    </row>
    <row r="84" spans="1:11" ht="28.5" customHeight="1">
      <c r="A84" s="457" t="s">
        <v>360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9"/>
    </row>
    <row r="85" spans="1:11" ht="28.5" customHeight="1">
      <c r="A85" s="230" t="s">
        <v>79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</row>
    <row r="86" spans="1:11" ht="28.5" customHeight="1">
      <c r="A86" s="35" t="s">
        <v>280</v>
      </c>
      <c r="B86" s="128">
        <f>C86+F86+I86</f>
        <v>6709000</v>
      </c>
      <c r="C86" s="128">
        <f>D86+E86</f>
        <v>2124000</v>
      </c>
      <c r="D86" s="128">
        <f>'Додаток 3'!I49*1000</f>
        <v>2124000</v>
      </c>
      <c r="E86" s="128"/>
      <c r="F86" s="128">
        <f>G86+H86</f>
        <v>2236600</v>
      </c>
      <c r="G86" s="128">
        <f>'Додаток 3'!J49*1000</f>
        <v>2236600</v>
      </c>
      <c r="H86" s="128"/>
      <c r="I86" s="128">
        <f>J86+K86</f>
        <v>2348400</v>
      </c>
      <c r="J86" s="128">
        <f>'Додаток 3'!K49*1000</f>
        <v>2348400</v>
      </c>
      <c r="K86" s="128"/>
    </row>
    <row r="87" spans="1:11" ht="28.5" customHeight="1">
      <c r="A87" s="230" t="s">
        <v>81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8"/>
    </row>
    <row r="88" spans="1:11" ht="89.25" customHeight="1">
      <c r="A88" s="35" t="s">
        <v>376</v>
      </c>
      <c r="B88" s="129"/>
      <c r="C88" s="129">
        <f>D88</f>
        <v>6369</v>
      </c>
      <c r="D88" s="129">
        <v>6369</v>
      </c>
      <c r="E88" s="129"/>
      <c r="F88" s="129">
        <f>G88</f>
        <v>6369</v>
      </c>
      <c r="G88" s="129">
        <v>6369</v>
      </c>
      <c r="H88" s="129"/>
      <c r="I88" s="129">
        <f>J88</f>
        <v>6369</v>
      </c>
      <c r="J88" s="129">
        <v>6369</v>
      </c>
      <c r="K88" s="128"/>
    </row>
    <row r="89" spans="1:11" ht="28.5" customHeight="1">
      <c r="A89" s="230" t="s">
        <v>82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8"/>
    </row>
    <row r="90" spans="1:11" ht="60.75" customHeight="1">
      <c r="A90" s="35" t="s">
        <v>293</v>
      </c>
      <c r="B90" s="129"/>
      <c r="C90" s="129">
        <f>C86/C88</f>
        <v>333.49034385303815</v>
      </c>
      <c r="D90" s="129">
        <f>D86/D88</f>
        <v>333.49034385303815</v>
      </c>
      <c r="E90" s="129"/>
      <c r="F90" s="129">
        <f>F86/F88</f>
        <v>351.16972837180089</v>
      </c>
      <c r="G90" s="129">
        <f>G86/G88</f>
        <v>351.16972837180089</v>
      </c>
      <c r="H90" s="129"/>
      <c r="I90" s="129">
        <f>I86/I88</f>
        <v>368.72350447479982</v>
      </c>
      <c r="J90" s="129">
        <f>J86/J88</f>
        <v>368.72350447479982</v>
      </c>
      <c r="K90" s="128"/>
    </row>
    <row r="91" spans="1:11" ht="28.5" customHeight="1">
      <c r="A91" s="230" t="s">
        <v>83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8"/>
    </row>
    <row r="92" spans="1:11" ht="36" customHeight="1">
      <c r="A92" s="35" t="s">
        <v>216</v>
      </c>
      <c r="B92" s="129"/>
      <c r="C92" s="129">
        <v>100</v>
      </c>
      <c r="D92" s="129">
        <v>100</v>
      </c>
      <c r="E92" s="129"/>
      <c r="F92" s="129">
        <v>100</v>
      </c>
      <c r="G92" s="129">
        <v>100</v>
      </c>
      <c r="H92" s="129"/>
      <c r="I92" s="129">
        <v>100</v>
      </c>
      <c r="J92" s="129">
        <v>100</v>
      </c>
      <c r="K92" s="128"/>
    </row>
    <row r="93" spans="1:11" ht="28.5" customHeight="1">
      <c r="A93" s="457" t="s">
        <v>361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9"/>
    </row>
    <row r="94" spans="1:11" ht="28.5" customHeight="1">
      <c r="A94" s="230" t="s">
        <v>79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0"/>
    </row>
    <row r="95" spans="1:11" ht="28.5" customHeight="1">
      <c r="A95" s="35" t="s">
        <v>280</v>
      </c>
      <c r="B95" s="128">
        <f>C95+F95+I95</f>
        <v>5133200</v>
      </c>
      <c r="C95" s="128">
        <f>D95+E95</f>
        <v>1928399.9999999998</v>
      </c>
      <c r="D95" s="128">
        <f>'Додаток 3'!I50*1000</f>
        <v>1928399.9999999998</v>
      </c>
      <c r="E95" s="128"/>
      <c r="F95" s="128">
        <f>G95+H95</f>
        <v>1550700</v>
      </c>
      <c r="G95" s="128">
        <f>'Додаток 3'!J50*1000</f>
        <v>1550700</v>
      </c>
      <c r="H95" s="128"/>
      <c r="I95" s="128">
        <f>J95+K95</f>
        <v>1654100</v>
      </c>
      <c r="J95" s="128">
        <f>'Додаток 3'!K50*1000</f>
        <v>1654100</v>
      </c>
      <c r="K95" s="128"/>
    </row>
    <row r="96" spans="1:11" ht="28.5" customHeight="1">
      <c r="A96" s="120" t="s">
        <v>226</v>
      </c>
      <c r="B96" s="129"/>
      <c r="C96" s="130">
        <f>D96</f>
        <v>8.25</v>
      </c>
      <c r="D96" s="130">
        <v>8.25</v>
      </c>
      <c r="E96" s="129"/>
      <c r="F96" s="130">
        <f>G96</f>
        <v>8.25</v>
      </c>
      <c r="G96" s="130">
        <v>8.25</v>
      </c>
      <c r="H96" s="129"/>
      <c r="I96" s="130">
        <f>J96</f>
        <v>8.25</v>
      </c>
      <c r="J96" s="130">
        <v>8.25</v>
      </c>
      <c r="K96" s="128"/>
    </row>
    <row r="97" spans="1:20" ht="28.5" customHeight="1">
      <c r="A97" s="120" t="s">
        <v>264</v>
      </c>
      <c r="B97" s="129"/>
      <c r="C97" s="130">
        <f t="shared" ref="C97:C106" si="6">D97</f>
        <v>3</v>
      </c>
      <c r="D97" s="130">
        <v>3</v>
      </c>
      <c r="E97" s="129"/>
      <c r="F97" s="130">
        <f t="shared" ref="F97:F106" si="7">G97</f>
        <v>3</v>
      </c>
      <c r="G97" s="130">
        <v>3</v>
      </c>
      <c r="H97" s="129"/>
      <c r="I97" s="130">
        <f t="shared" ref="I97:I106" si="8">J97</f>
        <v>3</v>
      </c>
      <c r="J97" s="130">
        <v>3</v>
      </c>
      <c r="K97" s="128"/>
    </row>
    <row r="98" spans="1:20" ht="28.5" customHeight="1">
      <c r="A98" s="230" t="s">
        <v>81</v>
      </c>
      <c r="B98" s="129"/>
      <c r="C98" s="130"/>
      <c r="D98" s="129"/>
      <c r="E98" s="129"/>
      <c r="F98" s="130"/>
      <c r="G98" s="129"/>
      <c r="H98" s="129"/>
      <c r="I98" s="130"/>
      <c r="J98" s="129"/>
      <c r="K98" s="128"/>
    </row>
    <row r="99" spans="1:20" ht="28.5" customHeight="1">
      <c r="A99" s="125" t="s">
        <v>227</v>
      </c>
      <c r="B99" s="129"/>
      <c r="C99" s="129">
        <f>D99</f>
        <v>3148</v>
      </c>
      <c r="D99" s="129">
        <v>3148</v>
      </c>
      <c r="E99" s="129"/>
      <c r="F99" s="129">
        <f t="shared" si="7"/>
        <v>3148</v>
      </c>
      <c r="G99" s="129">
        <v>3148</v>
      </c>
      <c r="H99" s="129"/>
      <c r="I99" s="129">
        <f t="shared" si="8"/>
        <v>3148</v>
      </c>
      <c r="J99" s="129">
        <v>3148</v>
      </c>
      <c r="K99" s="128"/>
    </row>
    <row r="100" spans="1:20" ht="28.5" customHeight="1">
      <c r="A100" s="125" t="s">
        <v>377</v>
      </c>
      <c r="B100" s="129"/>
      <c r="C100" s="129">
        <f t="shared" si="6"/>
        <v>285</v>
      </c>
      <c r="D100" s="129">
        <v>285</v>
      </c>
      <c r="E100" s="129"/>
      <c r="F100" s="129">
        <f t="shared" si="7"/>
        <v>285</v>
      </c>
      <c r="G100" s="129">
        <v>285</v>
      </c>
      <c r="H100" s="129"/>
      <c r="I100" s="129">
        <f t="shared" si="8"/>
        <v>285</v>
      </c>
      <c r="J100" s="129">
        <v>285</v>
      </c>
      <c r="K100" s="128"/>
    </row>
    <row r="101" spans="1:20" ht="28.5" customHeight="1">
      <c r="A101" s="230" t="s">
        <v>82</v>
      </c>
      <c r="B101" s="129"/>
      <c r="C101" s="130"/>
      <c r="D101" s="129"/>
      <c r="E101" s="129"/>
      <c r="F101" s="130"/>
      <c r="G101" s="129"/>
      <c r="H101" s="129"/>
      <c r="I101" s="130">
        <f t="shared" si="8"/>
        <v>0</v>
      </c>
      <c r="J101" s="129"/>
      <c r="K101" s="128"/>
    </row>
    <row r="102" spans="1:20" ht="57" customHeight="1">
      <c r="A102" s="120" t="s">
        <v>240</v>
      </c>
      <c r="B102" s="129"/>
      <c r="C102" s="129">
        <f t="shared" si="6"/>
        <v>1049</v>
      </c>
      <c r="D102" s="129">
        <v>1049</v>
      </c>
      <c r="E102" s="129"/>
      <c r="F102" s="129">
        <f t="shared" si="7"/>
        <v>1049</v>
      </c>
      <c r="G102" s="129">
        <v>1049</v>
      </c>
      <c r="H102" s="129"/>
      <c r="I102" s="129">
        <f t="shared" si="8"/>
        <v>1049</v>
      </c>
      <c r="J102" s="129">
        <v>1049</v>
      </c>
      <c r="K102" s="128"/>
    </row>
    <row r="103" spans="1:20" ht="53.25" customHeight="1">
      <c r="A103" s="120" t="s">
        <v>378</v>
      </c>
      <c r="B103" s="129"/>
      <c r="C103" s="129">
        <f t="shared" si="6"/>
        <v>35</v>
      </c>
      <c r="D103" s="129">
        <v>35</v>
      </c>
      <c r="E103" s="129"/>
      <c r="F103" s="129">
        <f t="shared" si="7"/>
        <v>35</v>
      </c>
      <c r="G103" s="129">
        <v>35</v>
      </c>
      <c r="H103" s="129"/>
      <c r="I103" s="129">
        <f t="shared" si="8"/>
        <v>35</v>
      </c>
      <c r="J103" s="129">
        <v>35</v>
      </c>
      <c r="K103" s="128"/>
    </row>
    <row r="104" spans="1:20" ht="28.5" customHeight="1">
      <c r="A104" s="230" t="s">
        <v>83</v>
      </c>
      <c r="B104" s="129"/>
      <c r="C104" s="130"/>
      <c r="D104" s="129"/>
      <c r="E104" s="129"/>
      <c r="F104" s="130"/>
      <c r="G104" s="129"/>
      <c r="H104" s="129"/>
      <c r="I104" s="130"/>
      <c r="J104" s="129"/>
      <c r="K104" s="128"/>
    </row>
    <row r="105" spans="1:20" ht="57" customHeight="1">
      <c r="A105" s="120" t="s">
        <v>294</v>
      </c>
      <c r="B105" s="129"/>
      <c r="C105" s="131">
        <f t="shared" si="6"/>
        <v>7.1</v>
      </c>
      <c r="D105" s="131">
        <v>7.1</v>
      </c>
      <c r="E105" s="129"/>
      <c r="F105" s="131">
        <f t="shared" si="7"/>
        <v>10.199999999999999</v>
      </c>
      <c r="G105" s="131">
        <v>10.199999999999999</v>
      </c>
      <c r="H105" s="129"/>
      <c r="I105" s="131">
        <f t="shared" si="8"/>
        <v>15.7</v>
      </c>
      <c r="J105" s="131">
        <v>15.7</v>
      </c>
      <c r="K105" s="128"/>
    </row>
    <row r="106" spans="1:20" ht="47.25" customHeight="1">
      <c r="A106" s="120" t="s">
        <v>295</v>
      </c>
      <c r="B106" s="129"/>
      <c r="C106" s="129">
        <f t="shared" si="6"/>
        <v>10</v>
      </c>
      <c r="D106" s="129">
        <v>10</v>
      </c>
      <c r="E106" s="129"/>
      <c r="F106" s="129">
        <f t="shared" si="7"/>
        <v>12</v>
      </c>
      <c r="G106" s="129">
        <v>12</v>
      </c>
      <c r="H106" s="129"/>
      <c r="I106" s="129">
        <f t="shared" si="8"/>
        <v>12</v>
      </c>
      <c r="J106" s="129">
        <v>12</v>
      </c>
      <c r="K106" s="128"/>
    </row>
    <row r="107" spans="1:20" ht="28.5" customHeight="1">
      <c r="A107" s="234" t="s">
        <v>362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6"/>
    </row>
    <row r="108" spans="1:20" ht="28.5" customHeight="1">
      <c r="A108" s="230" t="s">
        <v>79</v>
      </c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473"/>
      <c r="M108" s="473"/>
      <c r="N108" s="473"/>
      <c r="O108" s="473"/>
      <c r="P108" s="473"/>
      <c r="Q108" s="473"/>
      <c r="R108" s="473"/>
      <c r="S108" s="473"/>
      <c r="T108" s="473"/>
    </row>
    <row r="109" spans="1:20" ht="28.5" customHeight="1">
      <c r="A109" s="35" t="s">
        <v>280</v>
      </c>
      <c r="B109" s="128">
        <f>C109+F109+I109</f>
        <v>10220900</v>
      </c>
      <c r="C109" s="128">
        <f>D109+E109</f>
        <v>4158000</v>
      </c>
      <c r="D109" s="128">
        <f>'Додаток 3'!I51*1000</f>
        <v>4158000</v>
      </c>
      <c r="E109" s="128"/>
      <c r="F109" s="128">
        <f>G109+H109</f>
        <v>2950400</v>
      </c>
      <c r="G109" s="128">
        <f>'Додаток 3'!J51*1000</f>
        <v>2950400</v>
      </c>
      <c r="H109" s="128"/>
      <c r="I109" s="128">
        <f>J109+K109</f>
        <v>3112500</v>
      </c>
      <c r="J109" s="128">
        <f>'Додаток 3'!K51*1000</f>
        <v>3112500</v>
      </c>
      <c r="K109" s="128"/>
      <c r="L109" s="474"/>
      <c r="M109" s="474"/>
      <c r="N109" s="474"/>
      <c r="O109" s="474"/>
      <c r="P109" s="474"/>
      <c r="Q109" s="474"/>
      <c r="R109" s="474"/>
      <c r="S109" s="474"/>
      <c r="T109" s="474"/>
    </row>
    <row r="110" spans="1:20" ht="28.5" customHeight="1">
      <c r="A110" s="230" t="s">
        <v>81</v>
      </c>
      <c r="B110" s="129"/>
      <c r="C110" s="129"/>
      <c r="D110" s="132"/>
      <c r="E110" s="129"/>
      <c r="F110" s="129"/>
      <c r="G110" s="129"/>
      <c r="H110" s="129"/>
      <c r="I110" s="129"/>
      <c r="J110" s="129"/>
      <c r="K110" s="128"/>
    </row>
    <row r="111" spans="1:20" ht="32.25" customHeight="1">
      <c r="A111" s="125" t="s">
        <v>379</v>
      </c>
      <c r="B111" s="129"/>
      <c r="C111" s="129">
        <f>D111</f>
        <v>750</v>
      </c>
      <c r="D111" s="129">
        <v>750</v>
      </c>
      <c r="E111" s="129"/>
      <c r="F111" s="129">
        <f>G111</f>
        <v>750</v>
      </c>
      <c r="G111" s="129">
        <v>750</v>
      </c>
      <c r="H111" s="129"/>
      <c r="I111" s="129">
        <f>J111</f>
        <v>750</v>
      </c>
      <c r="J111" s="129">
        <v>750</v>
      </c>
      <c r="K111" s="128"/>
    </row>
    <row r="112" spans="1:20" ht="57" customHeight="1">
      <c r="A112" s="125" t="s">
        <v>299</v>
      </c>
      <c r="B112" s="129"/>
      <c r="C112" s="131">
        <f>D112</f>
        <v>16.5</v>
      </c>
      <c r="D112" s="131">
        <v>16.5</v>
      </c>
      <c r="E112" s="131"/>
      <c r="F112" s="131">
        <f>G112</f>
        <v>16.5</v>
      </c>
      <c r="G112" s="131">
        <v>16.5</v>
      </c>
      <c r="H112" s="131"/>
      <c r="I112" s="131">
        <f>J112</f>
        <v>16.5</v>
      </c>
      <c r="J112" s="131">
        <v>16.5</v>
      </c>
      <c r="K112" s="128"/>
    </row>
    <row r="113" spans="1:11" ht="28.5" customHeight="1">
      <c r="A113" s="230" t="s">
        <v>82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8"/>
    </row>
    <row r="114" spans="1:11" ht="28.5" customHeight="1">
      <c r="A114" s="35" t="s">
        <v>296</v>
      </c>
      <c r="B114" s="129"/>
      <c r="C114" s="129">
        <f>D114</f>
        <v>5544</v>
      </c>
      <c r="D114" s="129">
        <f>D109/D111</f>
        <v>5544</v>
      </c>
      <c r="E114" s="129"/>
      <c r="F114" s="129">
        <f>G114</f>
        <v>3933.8666666666668</v>
      </c>
      <c r="G114" s="129">
        <f>G109/G111</f>
        <v>3933.8666666666668</v>
      </c>
      <c r="H114" s="129"/>
      <c r="I114" s="129">
        <f>J114</f>
        <v>4150</v>
      </c>
      <c r="J114" s="129">
        <f>J109/J111</f>
        <v>4150</v>
      </c>
      <c r="K114" s="128"/>
    </row>
    <row r="115" spans="1:11" ht="28.5" customHeight="1">
      <c r="A115" s="35" t="s">
        <v>380</v>
      </c>
      <c r="B115" s="129"/>
      <c r="C115" s="129">
        <f>D115</f>
        <v>252000</v>
      </c>
      <c r="D115" s="129">
        <f>D109/D112</f>
        <v>252000</v>
      </c>
      <c r="E115" s="129"/>
      <c r="F115" s="129">
        <f>G115</f>
        <v>178812.12121212122</v>
      </c>
      <c r="G115" s="129">
        <f>G109/G112</f>
        <v>178812.12121212122</v>
      </c>
      <c r="H115" s="129"/>
      <c r="I115" s="129">
        <f>J115</f>
        <v>188636.36363636365</v>
      </c>
      <c r="J115" s="129">
        <f>J109/J112</f>
        <v>188636.36363636365</v>
      </c>
      <c r="K115" s="128"/>
    </row>
    <row r="116" spans="1:11" ht="28.5" customHeight="1">
      <c r="A116" s="230" t="s">
        <v>83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8"/>
    </row>
    <row r="117" spans="1:11" ht="28.5" customHeight="1">
      <c r="A117" s="35" t="s">
        <v>297</v>
      </c>
      <c r="B117" s="129"/>
      <c r="C117" s="129">
        <f>D117</f>
        <v>100</v>
      </c>
      <c r="D117" s="129">
        <v>100</v>
      </c>
      <c r="E117" s="129"/>
      <c r="F117" s="129">
        <f>G117</f>
        <v>100</v>
      </c>
      <c r="G117" s="129">
        <v>100</v>
      </c>
      <c r="H117" s="129"/>
      <c r="I117" s="129">
        <f>J117</f>
        <v>100</v>
      </c>
      <c r="J117" s="129">
        <v>100</v>
      </c>
      <c r="K117" s="128"/>
    </row>
    <row r="118" spans="1:11" ht="28.5" customHeight="1">
      <c r="A118" s="454" t="s">
        <v>363</v>
      </c>
      <c r="B118" s="455"/>
      <c r="C118" s="455"/>
      <c r="D118" s="455"/>
      <c r="E118" s="455"/>
      <c r="F118" s="455"/>
      <c r="G118" s="455"/>
      <c r="H118" s="455"/>
      <c r="I118" s="455"/>
      <c r="J118" s="455"/>
      <c r="K118" s="456"/>
    </row>
    <row r="119" spans="1:11" ht="28.5" customHeight="1">
      <c r="A119" s="230" t="s">
        <v>79</v>
      </c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</row>
    <row r="120" spans="1:11" ht="28.5" customHeight="1">
      <c r="A120" s="35" t="s">
        <v>298</v>
      </c>
      <c r="B120" s="128">
        <f>C120+F120+I120</f>
        <v>1200000</v>
      </c>
      <c r="C120" s="128">
        <f>D120+E120</f>
        <v>1200000</v>
      </c>
      <c r="D120" s="128">
        <f>'Додаток 3'!I55*1000</f>
        <v>1200000</v>
      </c>
      <c r="E120" s="128"/>
      <c r="F120" s="128"/>
      <c r="G120" s="128"/>
      <c r="H120" s="128"/>
      <c r="I120" s="128"/>
      <c r="J120" s="128"/>
      <c r="K120" s="128"/>
    </row>
    <row r="121" spans="1:11" ht="51.75" customHeight="1">
      <c r="A121" s="35" t="s">
        <v>381</v>
      </c>
      <c r="B121" s="129"/>
      <c r="C121" s="129">
        <f>D121</f>
        <v>1000000</v>
      </c>
      <c r="D121" s="129">
        <f>'Додаток 3'!I56*1000</f>
        <v>1000000</v>
      </c>
      <c r="E121" s="129"/>
      <c r="F121" s="129"/>
      <c r="G121" s="129"/>
      <c r="H121" s="129"/>
      <c r="I121" s="129"/>
      <c r="J121" s="129"/>
      <c r="K121" s="128"/>
    </row>
    <row r="122" spans="1:11" ht="33.75" customHeight="1">
      <c r="A122" s="35" t="s">
        <v>382</v>
      </c>
      <c r="B122" s="129"/>
      <c r="C122" s="129">
        <f>D122</f>
        <v>200000</v>
      </c>
      <c r="D122" s="129">
        <f>'Додаток 3'!I57*1000</f>
        <v>200000</v>
      </c>
      <c r="E122" s="129"/>
      <c r="F122" s="129"/>
      <c r="G122" s="129"/>
      <c r="H122" s="129"/>
      <c r="I122" s="129"/>
      <c r="J122" s="129"/>
      <c r="K122" s="128"/>
    </row>
    <row r="123" spans="1:11" ht="28.5" customHeight="1">
      <c r="A123" s="230" t="s">
        <v>81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8"/>
    </row>
    <row r="124" spans="1:11" ht="60.75" customHeight="1">
      <c r="A124" s="126" t="s">
        <v>383</v>
      </c>
      <c r="B124" s="129"/>
      <c r="C124" s="129">
        <v>22</v>
      </c>
      <c r="D124" s="129">
        <v>22</v>
      </c>
      <c r="E124" s="129"/>
      <c r="F124" s="129"/>
      <c r="G124" s="129"/>
      <c r="H124" s="129"/>
      <c r="I124" s="129"/>
      <c r="J124" s="129"/>
      <c r="K124" s="128"/>
    </row>
    <row r="125" spans="1:11" ht="45.75" customHeight="1">
      <c r="A125" s="126" t="s">
        <v>384</v>
      </c>
      <c r="B125" s="129"/>
      <c r="C125" s="129">
        <f>D125</f>
        <v>10</v>
      </c>
      <c r="D125" s="129">
        <v>10</v>
      </c>
      <c r="E125" s="129"/>
      <c r="F125" s="129"/>
      <c r="G125" s="129"/>
      <c r="H125" s="129"/>
      <c r="I125" s="129"/>
      <c r="J125" s="129"/>
      <c r="K125" s="128"/>
    </row>
    <row r="126" spans="1:11" ht="28.5" customHeight="1">
      <c r="A126" s="230" t="s">
        <v>82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8"/>
    </row>
    <row r="127" spans="1:11" ht="53.25" customHeight="1">
      <c r="A127" s="124" t="s">
        <v>385</v>
      </c>
      <c r="B127" s="129"/>
      <c r="C127" s="129">
        <f>C121/C124</f>
        <v>45454.545454545456</v>
      </c>
      <c r="D127" s="129">
        <f>D121/D124</f>
        <v>45454.545454545456</v>
      </c>
      <c r="E127" s="129"/>
      <c r="F127" s="129"/>
      <c r="G127" s="129"/>
      <c r="H127" s="129"/>
      <c r="I127" s="129"/>
      <c r="J127" s="129"/>
      <c r="K127" s="128"/>
    </row>
    <row r="128" spans="1:11" ht="54.75" customHeight="1">
      <c r="A128" s="124" t="s">
        <v>386</v>
      </c>
      <c r="B128" s="129"/>
      <c r="C128" s="129">
        <f>C122/C125</f>
        <v>20000</v>
      </c>
      <c r="D128" s="129">
        <f>D122/D125</f>
        <v>20000</v>
      </c>
      <c r="E128" s="129"/>
      <c r="F128" s="129"/>
      <c r="G128" s="129"/>
      <c r="H128" s="129"/>
      <c r="I128" s="129"/>
      <c r="J128" s="129"/>
      <c r="K128" s="128"/>
    </row>
    <row r="129" spans="1:11" ht="28.5" customHeight="1">
      <c r="A129" s="454" t="s">
        <v>412</v>
      </c>
      <c r="B129" s="455"/>
      <c r="C129" s="455"/>
      <c r="D129" s="455"/>
      <c r="E129" s="455"/>
      <c r="F129" s="455"/>
      <c r="G129" s="455"/>
      <c r="H129" s="455"/>
      <c r="I129" s="455"/>
      <c r="J129" s="455"/>
      <c r="K129" s="456"/>
    </row>
    <row r="130" spans="1:11" ht="28.5" customHeight="1">
      <c r="A130" s="230" t="s">
        <v>79</v>
      </c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</row>
    <row r="131" spans="1:11" ht="28.5" customHeight="1">
      <c r="A131" s="35" t="s">
        <v>300</v>
      </c>
      <c r="B131" s="128">
        <f>C131+F131+I131</f>
        <v>5031800</v>
      </c>
      <c r="C131" s="128">
        <f>D131+E131</f>
        <v>1593000</v>
      </c>
      <c r="D131" s="128">
        <f>'Додаток 3'!I58*1000</f>
        <v>1593000</v>
      </c>
      <c r="E131" s="128"/>
      <c r="F131" s="128">
        <f>G131+H131</f>
        <v>1677500</v>
      </c>
      <c r="G131" s="128">
        <f>'Додаток 3'!J58*1000</f>
        <v>1677500</v>
      </c>
      <c r="H131" s="128"/>
      <c r="I131" s="128">
        <f>J131+K131</f>
        <v>1761300</v>
      </c>
      <c r="J131" s="128">
        <f>'Додаток 3'!K58*1000</f>
        <v>1761300</v>
      </c>
      <c r="K131" s="128"/>
    </row>
    <row r="132" spans="1:11" ht="54.75" customHeight="1">
      <c r="A132" s="35" t="s">
        <v>387</v>
      </c>
      <c r="B132" s="129"/>
      <c r="C132" s="129">
        <f t="shared" ref="C132:C134" si="9">D132</f>
        <v>110000</v>
      </c>
      <c r="D132" s="129">
        <f>'Додаток 3'!I59*1000</f>
        <v>110000</v>
      </c>
      <c r="E132" s="129"/>
      <c r="F132" s="129">
        <f t="shared" ref="F132:F134" si="10">G132</f>
        <v>112000</v>
      </c>
      <c r="G132" s="129">
        <f>'Додаток 3'!J59*1000</f>
        <v>112000</v>
      </c>
      <c r="H132" s="129"/>
      <c r="I132" s="129">
        <f t="shared" ref="I132:I134" si="11">J132</f>
        <v>117400</v>
      </c>
      <c r="J132" s="129">
        <f>'Додаток 3'!K59*1000</f>
        <v>117400</v>
      </c>
      <c r="K132" s="128"/>
    </row>
    <row r="133" spans="1:11" ht="49.5" customHeight="1">
      <c r="A133" s="35" t="s">
        <v>388</v>
      </c>
      <c r="B133" s="129"/>
      <c r="C133" s="129">
        <f t="shared" si="9"/>
        <v>527200</v>
      </c>
      <c r="D133" s="129">
        <f>'Додаток 3'!I60*1000</f>
        <v>527200</v>
      </c>
      <c r="E133" s="129"/>
      <c r="F133" s="129">
        <f t="shared" si="10"/>
        <v>559100</v>
      </c>
      <c r="G133" s="129">
        <f>'Додаток 3'!J60*1000</f>
        <v>559100</v>
      </c>
      <c r="H133" s="129"/>
      <c r="I133" s="129">
        <f t="shared" si="11"/>
        <v>587100</v>
      </c>
      <c r="J133" s="129">
        <f>'Додаток 3'!K60*1000</f>
        <v>587100</v>
      </c>
      <c r="K133" s="128"/>
    </row>
    <row r="134" spans="1:11" ht="83.25" customHeight="1">
      <c r="A134" s="35" t="s">
        <v>389</v>
      </c>
      <c r="B134" s="129"/>
      <c r="C134" s="129">
        <f t="shared" si="9"/>
        <v>955800</v>
      </c>
      <c r="D134" s="129">
        <f>'Додаток 3'!I61*1000</f>
        <v>955800</v>
      </c>
      <c r="E134" s="129"/>
      <c r="F134" s="129">
        <f t="shared" si="10"/>
        <v>1006400</v>
      </c>
      <c r="G134" s="129">
        <f>'Додаток 3'!J61*1000</f>
        <v>1006400</v>
      </c>
      <c r="H134" s="129"/>
      <c r="I134" s="129">
        <f t="shared" si="11"/>
        <v>1056800</v>
      </c>
      <c r="J134" s="129">
        <f>'Додаток 3'!K61*1000</f>
        <v>1056800</v>
      </c>
      <c r="K134" s="128"/>
    </row>
    <row r="135" spans="1:11" ht="28.5" customHeight="1">
      <c r="A135" s="230" t="s">
        <v>81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8"/>
    </row>
    <row r="136" spans="1:11" ht="47.25" customHeight="1">
      <c r="A136" s="35" t="s">
        <v>390</v>
      </c>
      <c r="B136" s="129"/>
      <c r="C136" s="129">
        <f>D136</f>
        <v>75</v>
      </c>
      <c r="D136" s="129">
        <v>75</v>
      </c>
      <c r="E136" s="129"/>
      <c r="F136" s="129">
        <f>G136</f>
        <v>75</v>
      </c>
      <c r="G136" s="129">
        <v>75</v>
      </c>
      <c r="H136" s="129"/>
      <c r="I136" s="129">
        <f>J136</f>
        <v>75</v>
      </c>
      <c r="J136" s="129">
        <v>75</v>
      </c>
      <c r="K136" s="128"/>
    </row>
    <row r="137" spans="1:11" ht="54.75" customHeight="1">
      <c r="A137" s="35" t="s">
        <v>391</v>
      </c>
      <c r="B137" s="129"/>
      <c r="C137" s="129">
        <f t="shared" ref="C137:C138" si="12">D137</f>
        <v>1</v>
      </c>
      <c r="D137" s="129">
        <v>1</v>
      </c>
      <c r="E137" s="129"/>
      <c r="F137" s="129">
        <f t="shared" ref="F137:F138" si="13">G137</f>
        <v>1</v>
      </c>
      <c r="G137" s="129">
        <v>1</v>
      </c>
      <c r="H137" s="129"/>
      <c r="I137" s="129">
        <f t="shared" ref="I137:I138" si="14">J137</f>
        <v>1</v>
      </c>
      <c r="J137" s="129">
        <v>1</v>
      </c>
      <c r="K137" s="128"/>
    </row>
    <row r="138" spans="1:11" ht="47.25" customHeight="1">
      <c r="A138" s="35" t="s">
        <v>392</v>
      </c>
      <c r="B138" s="129"/>
      <c r="C138" s="129">
        <f t="shared" si="12"/>
        <v>5</v>
      </c>
      <c r="D138" s="129">
        <v>5</v>
      </c>
      <c r="E138" s="129"/>
      <c r="F138" s="129">
        <f t="shared" si="13"/>
        <v>5</v>
      </c>
      <c r="G138" s="129">
        <v>5</v>
      </c>
      <c r="H138" s="129"/>
      <c r="I138" s="129">
        <f t="shared" si="14"/>
        <v>5</v>
      </c>
      <c r="J138" s="129">
        <v>5</v>
      </c>
      <c r="K138" s="128"/>
    </row>
    <row r="139" spans="1:11" ht="28.5" customHeight="1">
      <c r="A139" s="230" t="s">
        <v>82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8"/>
    </row>
    <row r="140" spans="1:11" ht="49.5" customHeight="1">
      <c r="A140" s="35" t="s">
        <v>393</v>
      </c>
      <c r="B140" s="129"/>
      <c r="C140" s="129">
        <f>D140</f>
        <v>1466.6666666666667</v>
      </c>
      <c r="D140" s="129">
        <f>D132/D136</f>
        <v>1466.6666666666667</v>
      </c>
      <c r="E140" s="129"/>
      <c r="F140" s="129"/>
      <c r="G140" s="129">
        <f>G132/G136</f>
        <v>1493.3333333333333</v>
      </c>
      <c r="H140" s="129"/>
      <c r="I140" s="129">
        <f>J140</f>
        <v>1565.3333333333333</v>
      </c>
      <c r="J140" s="129">
        <f>J132/J136</f>
        <v>1565.3333333333333</v>
      </c>
      <c r="K140" s="128"/>
    </row>
    <row r="141" spans="1:11" ht="60" customHeight="1">
      <c r="A141" s="124" t="s">
        <v>394</v>
      </c>
      <c r="B141" s="129"/>
      <c r="C141" s="129">
        <f t="shared" ref="C141:C142" si="15">D141</f>
        <v>527200</v>
      </c>
      <c r="D141" s="129">
        <f>D133/D137</f>
        <v>527200</v>
      </c>
      <c r="E141" s="129"/>
      <c r="F141" s="129"/>
      <c r="G141" s="129">
        <f>G133/G137</f>
        <v>559100</v>
      </c>
      <c r="H141" s="129"/>
      <c r="I141" s="129">
        <f t="shared" ref="I141:I142" si="16">J141</f>
        <v>587100</v>
      </c>
      <c r="J141" s="129">
        <f>J133/J137</f>
        <v>587100</v>
      </c>
      <c r="K141" s="128"/>
    </row>
    <row r="142" spans="1:11" ht="77.25" customHeight="1">
      <c r="A142" s="124" t="s">
        <v>395</v>
      </c>
      <c r="B142" s="129"/>
      <c r="C142" s="129">
        <f t="shared" si="15"/>
        <v>191160</v>
      </c>
      <c r="D142" s="129">
        <f>D134/D138</f>
        <v>191160</v>
      </c>
      <c r="E142" s="129"/>
      <c r="F142" s="129"/>
      <c r="G142" s="129">
        <f>G134/G138</f>
        <v>201280</v>
      </c>
      <c r="H142" s="129"/>
      <c r="I142" s="129">
        <f t="shared" si="16"/>
        <v>211360</v>
      </c>
      <c r="J142" s="129">
        <f>J134/J138</f>
        <v>211360</v>
      </c>
      <c r="K142" s="128"/>
    </row>
    <row r="143" spans="1:11" ht="28.5" customHeight="1">
      <c r="A143" s="230" t="s">
        <v>83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8"/>
    </row>
    <row r="144" spans="1:11" ht="73.5" customHeight="1">
      <c r="A144" s="35" t="s">
        <v>232</v>
      </c>
      <c r="B144" s="129"/>
      <c r="C144" s="129">
        <f>D144</f>
        <v>106.2</v>
      </c>
      <c r="D144" s="129">
        <f>D131/1500000*100</f>
        <v>106.2</v>
      </c>
      <c r="E144" s="129"/>
      <c r="F144" s="129">
        <f>G144</f>
        <v>105.30445699937225</v>
      </c>
      <c r="G144" s="129">
        <f>G131/D131*100</f>
        <v>105.30445699937225</v>
      </c>
      <c r="H144" s="129"/>
      <c r="I144" s="129">
        <f>J144</f>
        <v>104.99552906110283</v>
      </c>
      <c r="J144" s="129">
        <f>J131/G131*100</f>
        <v>104.99552906110283</v>
      </c>
      <c r="K144" s="128"/>
    </row>
    <row r="145" spans="1:11" ht="28.5" customHeight="1">
      <c r="A145" s="454" t="s">
        <v>364</v>
      </c>
      <c r="B145" s="455"/>
      <c r="C145" s="455"/>
      <c r="D145" s="455"/>
      <c r="E145" s="455"/>
      <c r="F145" s="455"/>
      <c r="G145" s="455"/>
      <c r="H145" s="455"/>
      <c r="I145" s="455"/>
      <c r="J145" s="455"/>
      <c r="K145" s="456"/>
    </row>
    <row r="146" spans="1:11" ht="28.5" customHeight="1">
      <c r="A146" s="457" t="s">
        <v>365</v>
      </c>
      <c r="B146" s="458"/>
      <c r="C146" s="458"/>
      <c r="D146" s="458"/>
      <c r="E146" s="458"/>
      <c r="F146" s="458"/>
      <c r="G146" s="458"/>
      <c r="H146" s="458"/>
      <c r="I146" s="458"/>
      <c r="J146" s="458"/>
      <c r="K146" s="459"/>
    </row>
    <row r="147" spans="1:11" ht="28.5" customHeight="1">
      <c r="A147" s="230" t="s">
        <v>79</v>
      </c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</row>
    <row r="148" spans="1:11" ht="28.5" customHeight="1">
      <c r="A148" s="35" t="s">
        <v>301</v>
      </c>
      <c r="B148" s="128">
        <f>C148+F148+I148</f>
        <v>16098000</v>
      </c>
      <c r="C148" s="128">
        <f>D148+E148</f>
        <v>5058300</v>
      </c>
      <c r="D148" s="128">
        <f>('Додаток 3'!I75+'Додаток 3'!I76)*1000</f>
        <v>5058300</v>
      </c>
      <c r="E148" s="128"/>
      <c r="F148" s="128">
        <f>G148+H148</f>
        <v>5366900</v>
      </c>
      <c r="G148" s="128">
        <f>'Додаток 3'!J76*1000</f>
        <v>5366900</v>
      </c>
      <c r="H148" s="128"/>
      <c r="I148" s="128">
        <f>J148+K148</f>
        <v>5672800</v>
      </c>
      <c r="J148" s="128">
        <f>'Додаток 3'!K76*1000</f>
        <v>5672800</v>
      </c>
      <c r="K148" s="128"/>
    </row>
    <row r="149" spans="1:11" ht="28.5" customHeight="1">
      <c r="A149" s="230" t="s">
        <v>129</v>
      </c>
      <c r="B149" s="128"/>
      <c r="C149" s="133"/>
      <c r="D149" s="133"/>
      <c r="E149" s="133"/>
      <c r="F149" s="133"/>
      <c r="G149" s="133"/>
      <c r="H149" s="133"/>
      <c r="I149" s="133"/>
      <c r="J149" s="133"/>
      <c r="K149" s="128"/>
    </row>
    <row r="150" spans="1:11" ht="28.5" customHeight="1">
      <c r="A150" s="35" t="s">
        <v>218</v>
      </c>
      <c r="B150" s="128"/>
      <c r="C150" s="129">
        <v>1</v>
      </c>
      <c r="D150" s="129">
        <v>1</v>
      </c>
      <c r="E150" s="128"/>
      <c r="F150" s="129">
        <v>1</v>
      </c>
      <c r="G150" s="129">
        <v>1</v>
      </c>
      <c r="H150" s="129"/>
      <c r="I150" s="129">
        <v>1</v>
      </c>
      <c r="J150" s="129">
        <v>1</v>
      </c>
      <c r="K150" s="128"/>
    </row>
    <row r="151" spans="1:11" ht="28.5" customHeight="1">
      <c r="A151" s="230" t="s">
        <v>82</v>
      </c>
      <c r="B151" s="128"/>
      <c r="C151" s="129"/>
      <c r="D151" s="129"/>
      <c r="E151" s="129"/>
      <c r="F151" s="129"/>
      <c r="G151" s="129"/>
      <c r="H151" s="129"/>
      <c r="I151" s="129"/>
      <c r="J151" s="129"/>
      <c r="K151" s="128"/>
    </row>
    <row r="152" spans="1:11" ht="28.5" customHeight="1">
      <c r="A152" s="35" t="s">
        <v>290</v>
      </c>
      <c r="B152" s="128"/>
      <c r="C152" s="129">
        <f>C148/C150</f>
        <v>5058300</v>
      </c>
      <c r="D152" s="129">
        <f t="shared" ref="D152:J152" si="17">D148/D150</f>
        <v>5058300</v>
      </c>
      <c r="E152" s="129"/>
      <c r="F152" s="129">
        <f t="shared" si="17"/>
        <v>5366900</v>
      </c>
      <c r="G152" s="129">
        <f t="shared" si="17"/>
        <v>5366900</v>
      </c>
      <c r="H152" s="129"/>
      <c r="I152" s="129">
        <f t="shared" si="17"/>
        <v>5672800</v>
      </c>
      <c r="J152" s="129">
        <f t="shared" si="17"/>
        <v>5672800</v>
      </c>
      <c r="K152" s="128"/>
    </row>
    <row r="153" spans="1:11" ht="28.5" customHeight="1">
      <c r="A153" s="230" t="s">
        <v>83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8"/>
    </row>
    <row r="154" spans="1:11" ht="28.5" customHeight="1">
      <c r="A154" s="35" t="s">
        <v>238</v>
      </c>
      <c r="B154" s="129"/>
      <c r="C154" s="129">
        <v>100</v>
      </c>
      <c r="D154" s="129">
        <v>100</v>
      </c>
      <c r="E154" s="129"/>
      <c r="F154" s="129">
        <v>100</v>
      </c>
      <c r="G154" s="129">
        <v>100</v>
      </c>
      <c r="H154" s="129"/>
      <c r="I154" s="129">
        <v>100</v>
      </c>
      <c r="J154" s="129">
        <v>100</v>
      </c>
      <c r="K154" s="128"/>
    </row>
    <row r="155" spans="1:11" ht="75.75" customHeight="1">
      <c r="A155" s="35" t="s">
        <v>282</v>
      </c>
      <c r="B155" s="129"/>
      <c r="C155" s="129">
        <f>D155</f>
        <v>129.42260421829212</v>
      </c>
      <c r="D155" s="129">
        <f>D148/3908359*100</f>
        <v>129.42260421829212</v>
      </c>
      <c r="E155" s="129"/>
      <c r="F155" s="129">
        <f>G155</f>
        <v>106.10086392661566</v>
      </c>
      <c r="G155" s="129">
        <f>G148/D148*100</f>
        <v>106.10086392661566</v>
      </c>
      <c r="H155" s="129"/>
      <c r="I155" s="129">
        <f>J155</f>
        <v>105.69975218468761</v>
      </c>
      <c r="J155" s="129">
        <f>J148/G148*100</f>
        <v>105.69975218468761</v>
      </c>
      <c r="K155" s="128"/>
    </row>
    <row r="156" spans="1:11" ht="28.5" customHeight="1">
      <c r="A156" s="454" t="s">
        <v>366</v>
      </c>
      <c r="B156" s="455"/>
      <c r="C156" s="455"/>
      <c r="D156" s="455"/>
      <c r="E156" s="455"/>
      <c r="F156" s="455"/>
      <c r="G156" s="455"/>
      <c r="H156" s="455"/>
      <c r="I156" s="455"/>
      <c r="J156" s="455"/>
      <c r="K156" s="456"/>
    </row>
    <row r="157" spans="1:11" ht="28.5" customHeight="1">
      <c r="A157" s="457" t="s">
        <v>367</v>
      </c>
      <c r="B157" s="458"/>
      <c r="C157" s="458"/>
      <c r="D157" s="458"/>
      <c r="E157" s="458"/>
      <c r="F157" s="458"/>
      <c r="G157" s="458"/>
      <c r="H157" s="458"/>
      <c r="I157" s="458"/>
      <c r="J157" s="458"/>
      <c r="K157" s="459"/>
    </row>
    <row r="158" spans="1:11" ht="28.5" customHeight="1">
      <c r="A158" s="230" t="s">
        <v>79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</row>
    <row r="159" spans="1:11" ht="28.5" customHeight="1">
      <c r="A159" s="35" t="s">
        <v>301</v>
      </c>
      <c r="B159" s="128">
        <f>C159+F159+I159</f>
        <v>28153400</v>
      </c>
      <c r="C159" s="128">
        <f>D159+E159</f>
        <v>12063100</v>
      </c>
      <c r="D159" s="128">
        <f>'Додаток 3'!I80*1000</f>
        <v>12063100</v>
      </c>
      <c r="E159" s="128"/>
      <c r="F159" s="128">
        <f>G159+H159</f>
        <v>7786200</v>
      </c>
      <c r="G159" s="128">
        <f>'Додаток 3'!J80*1000</f>
        <v>7786200</v>
      </c>
      <c r="H159" s="128"/>
      <c r="I159" s="128">
        <f>J159+K159</f>
        <v>8304100</v>
      </c>
      <c r="J159" s="128">
        <f>'Додаток 3'!K80*1000</f>
        <v>8304100</v>
      </c>
      <c r="K159" s="128"/>
    </row>
    <row r="160" spans="1:11" ht="28.5" customHeight="1">
      <c r="A160" s="35" t="s">
        <v>218</v>
      </c>
      <c r="B160" s="128"/>
      <c r="C160" s="129">
        <v>1</v>
      </c>
      <c r="D160" s="129">
        <v>1</v>
      </c>
      <c r="E160" s="129"/>
      <c r="F160" s="129">
        <v>1</v>
      </c>
      <c r="G160" s="129">
        <v>1</v>
      </c>
      <c r="H160" s="129"/>
      <c r="I160" s="129">
        <v>1</v>
      </c>
      <c r="J160" s="129">
        <v>1</v>
      </c>
      <c r="K160" s="129"/>
    </row>
    <row r="161" spans="1:11" ht="28.5" customHeight="1">
      <c r="A161" s="35" t="s">
        <v>226</v>
      </c>
      <c r="B161" s="128"/>
      <c r="C161" s="131">
        <f>D161</f>
        <v>63.5</v>
      </c>
      <c r="D161" s="131">
        <v>63.5</v>
      </c>
      <c r="E161" s="129"/>
      <c r="F161" s="131">
        <f>G161</f>
        <v>63.5</v>
      </c>
      <c r="G161" s="131">
        <v>63.5</v>
      </c>
      <c r="H161" s="129"/>
      <c r="I161" s="131">
        <f>J161</f>
        <v>63.5</v>
      </c>
      <c r="J161" s="131">
        <v>63.5</v>
      </c>
      <c r="K161" s="129"/>
    </row>
    <row r="162" spans="1:11" ht="28.5" customHeight="1">
      <c r="A162" s="35" t="s">
        <v>264</v>
      </c>
      <c r="B162" s="128"/>
      <c r="C162" s="131">
        <f t="shared" ref="C162:C166" si="18">D162</f>
        <v>22.5</v>
      </c>
      <c r="D162" s="131">
        <v>22.5</v>
      </c>
      <c r="E162" s="129"/>
      <c r="F162" s="131">
        <f t="shared" ref="F162:F166" si="19">G162</f>
        <v>22.5</v>
      </c>
      <c r="G162" s="131">
        <v>22.5</v>
      </c>
      <c r="H162" s="129"/>
      <c r="I162" s="131">
        <f t="shared" ref="I162:I166" si="20">J162</f>
        <v>22.5</v>
      </c>
      <c r="J162" s="131">
        <v>22.5</v>
      </c>
      <c r="K162" s="129"/>
    </row>
    <row r="163" spans="1:11" ht="28.5" customHeight="1">
      <c r="A163" s="230" t="s">
        <v>129</v>
      </c>
      <c r="B163" s="128"/>
      <c r="C163" s="131"/>
      <c r="D163" s="134"/>
      <c r="E163" s="129"/>
      <c r="F163" s="129"/>
      <c r="G163" s="129"/>
      <c r="H163" s="129"/>
      <c r="I163" s="129">
        <f t="shared" si="20"/>
        <v>0</v>
      </c>
      <c r="J163" s="129"/>
      <c r="K163" s="129"/>
    </row>
    <row r="164" spans="1:11" ht="28.5" customHeight="1">
      <c r="A164" s="35" t="s">
        <v>219</v>
      </c>
      <c r="B164" s="128"/>
      <c r="C164" s="129">
        <f t="shared" si="18"/>
        <v>32550</v>
      </c>
      <c r="D164" s="129">
        <v>32550</v>
      </c>
      <c r="E164" s="129"/>
      <c r="F164" s="129">
        <f t="shared" si="19"/>
        <v>32850</v>
      </c>
      <c r="G164" s="129">
        <v>32850</v>
      </c>
      <c r="H164" s="129"/>
      <c r="I164" s="129">
        <f t="shared" si="20"/>
        <v>33000</v>
      </c>
      <c r="J164" s="129">
        <v>33000</v>
      </c>
      <c r="K164" s="129"/>
    </row>
    <row r="165" spans="1:11" ht="28.5" customHeight="1">
      <c r="A165" s="35" t="s">
        <v>265</v>
      </c>
      <c r="B165" s="128"/>
      <c r="C165" s="129">
        <f t="shared" si="18"/>
        <v>8600</v>
      </c>
      <c r="D165" s="129">
        <v>8600</v>
      </c>
      <c r="E165" s="129"/>
      <c r="F165" s="129">
        <f t="shared" si="19"/>
        <v>8700</v>
      </c>
      <c r="G165" s="129">
        <v>8700</v>
      </c>
      <c r="H165" s="129"/>
      <c r="I165" s="129">
        <f t="shared" si="20"/>
        <v>2790</v>
      </c>
      <c r="J165" s="129">
        <v>2790</v>
      </c>
      <c r="K165" s="129"/>
    </row>
    <row r="166" spans="1:11" ht="28.5" customHeight="1">
      <c r="A166" s="35" t="s">
        <v>231</v>
      </c>
      <c r="B166" s="128"/>
      <c r="C166" s="129">
        <f t="shared" si="18"/>
        <v>2670</v>
      </c>
      <c r="D166" s="129">
        <v>2670</v>
      </c>
      <c r="E166" s="129"/>
      <c r="F166" s="129">
        <f t="shared" si="19"/>
        <v>2730</v>
      </c>
      <c r="G166" s="129">
        <v>2730</v>
      </c>
      <c r="H166" s="129"/>
      <c r="I166" s="129">
        <f t="shared" si="20"/>
        <v>2780</v>
      </c>
      <c r="J166" s="129">
        <v>2780</v>
      </c>
      <c r="K166" s="129"/>
    </row>
    <row r="167" spans="1:11" ht="28.5" customHeight="1">
      <c r="A167" s="230" t="s">
        <v>128</v>
      </c>
      <c r="B167" s="129"/>
      <c r="C167" s="131"/>
      <c r="D167" s="129"/>
      <c r="E167" s="129"/>
      <c r="F167" s="129"/>
      <c r="G167" s="129"/>
      <c r="H167" s="129"/>
      <c r="I167" s="129"/>
      <c r="J167" s="129"/>
      <c r="K167" s="128"/>
    </row>
    <row r="168" spans="1:11" ht="39.75" customHeight="1">
      <c r="A168" s="35" t="s">
        <v>396</v>
      </c>
      <c r="B168" s="129"/>
      <c r="C168" s="129">
        <f t="shared" ref="C168" si="21">D168</f>
        <v>382</v>
      </c>
      <c r="D168" s="129">
        <v>382</v>
      </c>
      <c r="E168" s="129"/>
      <c r="F168" s="129">
        <f t="shared" ref="F168" si="22">G168</f>
        <v>387</v>
      </c>
      <c r="G168" s="129">
        <v>387</v>
      </c>
      <c r="H168" s="129"/>
      <c r="I168" s="129">
        <f t="shared" ref="I168" si="23">J168</f>
        <v>391</v>
      </c>
      <c r="J168" s="129">
        <v>391</v>
      </c>
      <c r="K168" s="128"/>
    </row>
    <row r="169" spans="1:11" ht="45.75" customHeight="1">
      <c r="A169" s="35" t="s">
        <v>303</v>
      </c>
      <c r="B169" s="129"/>
      <c r="C169" s="129">
        <f t="shared" ref="C169" si="24">C164/C162</f>
        <v>1446.6666666666667</v>
      </c>
      <c r="D169" s="129">
        <f>D164/D162</f>
        <v>1446.6666666666667</v>
      </c>
      <c r="E169" s="129"/>
      <c r="F169" s="129">
        <f t="shared" ref="F169:J169" si="25">F164/F162</f>
        <v>1460</v>
      </c>
      <c r="G169" s="129">
        <f t="shared" si="25"/>
        <v>1460</v>
      </c>
      <c r="H169" s="129"/>
      <c r="I169" s="129">
        <f t="shared" si="25"/>
        <v>1466.6666666666667</v>
      </c>
      <c r="J169" s="129">
        <f t="shared" si="25"/>
        <v>1466.6666666666667</v>
      </c>
      <c r="K169" s="128"/>
    </row>
    <row r="170" spans="1:11" ht="53.25" customHeight="1">
      <c r="A170" s="35" t="s">
        <v>302</v>
      </c>
      <c r="B170" s="129"/>
      <c r="C170" s="129">
        <f>(C159+C173)/C164</f>
        <v>398.1167434715822</v>
      </c>
      <c r="D170" s="129">
        <f>(D159+D173)/D164</f>
        <v>398.1167434715822</v>
      </c>
      <c r="E170" s="129"/>
      <c r="F170" s="129">
        <f>(F159+F173)/F164</f>
        <v>265.94824961948251</v>
      </c>
      <c r="G170" s="129">
        <f>(G159+G173)/G164</f>
        <v>265.94824961948251</v>
      </c>
      <c r="H170" s="129"/>
      <c r="I170" s="129">
        <f>(I159+I173)/I164</f>
        <v>282.07575757575756</v>
      </c>
      <c r="J170" s="129">
        <f>(J159+J173)/J164</f>
        <v>282.07575757575756</v>
      </c>
      <c r="K170" s="128"/>
    </row>
    <row r="171" spans="1:11" ht="28.5" customHeight="1">
      <c r="A171" s="457" t="s">
        <v>368</v>
      </c>
      <c r="B171" s="458"/>
      <c r="C171" s="458"/>
      <c r="D171" s="458"/>
      <c r="E171" s="458"/>
      <c r="F171" s="458"/>
      <c r="G171" s="458"/>
      <c r="H171" s="458"/>
      <c r="I171" s="458"/>
      <c r="J171" s="458"/>
      <c r="K171" s="459"/>
    </row>
    <row r="172" spans="1:11" ht="28.5" customHeight="1">
      <c r="A172" s="230" t="s">
        <v>79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</row>
    <row r="173" spans="1:11" ht="28.5" customHeight="1">
      <c r="A173" s="35" t="s">
        <v>217</v>
      </c>
      <c r="B173" s="135">
        <f>C173+F173+I173</f>
        <v>2850200</v>
      </c>
      <c r="C173" s="135">
        <f>D173+E173</f>
        <v>895599.99999999988</v>
      </c>
      <c r="D173" s="135">
        <f>'Додаток 3'!I81*1000</f>
        <v>895599.99999999988</v>
      </c>
      <c r="E173" s="135"/>
      <c r="F173" s="135">
        <f>G173+H173</f>
        <v>950200</v>
      </c>
      <c r="G173" s="135">
        <f>'Додаток 3'!J81*1000</f>
        <v>950200</v>
      </c>
      <c r="H173" s="135"/>
      <c r="I173" s="135">
        <f>J173+K173</f>
        <v>1004400</v>
      </c>
      <c r="J173" s="135">
        <f>'Додаток 3'!K81*1000</f>
        <v>1004400</v>
      </c>
      <c r="K173" s="132"/>
    </row>
    <row r="174" spans="1:11" ht="28.5" customHeight="1">
      <c r="A174" s="230" t="s">
        <v>129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1:11" ht="28.5" customHeight="1">
      <c r="A175" s="35" t="s">
        <v>218</v>
      </c>
      <c r="B175" s="132"/>
      <c r="C175" s="132">
        <v>1</v>
      </c>
      <c r="D175" s="132">
        <v>1</v>
      </c>
      <c r="E175" s="132"/>
      <c r="F175" s="132">
        <v>1</v>
      </c>
      <c r="G175" s="132">
        <v>1</v>
      </c>
      <c r="H175" s="132"/>
      <c r="I175" s="132">
        <v>1</v>
      </c>
      <c r="J175" s="132">
        <v>1</v>
      </c>
      <c r="K175" s="132"/>
    </row>
    <row r="176" spans="1:11" ht="28.5" customHeight="1">
      <c r="A176" s="230" t="s">
        <v>82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</row>
    <row r="177" spans="1:12" ht="28.5" customHeight="1">
      <c r="A177" s="35" t="s">
        <v>290</v>
      </c>
      <c r="B177" s="132"/>
      <c r="C177" s="132">
        <f t="shared" ref="C177" si="26">C173/C175</f>
        <v>895599.99999999988</v>
      </c>
      <c r="D177" s="132">
        <f>D173/D175</f>
        <v>895599.99999999988</v>
      </c>
      <c r="E177" s="132"/>
      <c r="F177" s="132">
        <f t="shared" ref="F177:J177" si="27">F173/F175</f>
        <v>950200</v>
      </c>
      <c r="G177" s="132">
        <f t="shared" si="27"/>
        <v>950200</v>
      </c>
      <c r="H177" s="132"/>
      <c r="I177" s="132">
        <f t="shared" si="27"/>
        <v>1004400</v>
      </c>
      <c r="J177" s="132">
        <f t="shared" si="27"/>
        <v>1004400</v>
      </c>
      <c r="K177" s="132"/>
    </row>
    <row r="178" spans="1:12" ht="28.5" customHeight="1">
      <c r="A178" s="230" t="s">
        <v>83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</row>
    <row r="179" spans="1:12" ht="28.5" customHeight="1">
      <c r="A179" s="35" t="s">
        <v>238</v>
      </c>
      <c r="B179" s="132"/>
      <c r="C179" s="132">
        <v>100</v>
      </c>
      <c r="D179" s="132">
        <v>100</v>
      </c>
      <c r="E179" s="132"/>
      <c r="F179" s="132">
        <v>100</v>
      </c>
      <c r="G179" s="132">
        <v>100</v>
      </c>
      <c r="H179" s="132"/>
      <c r="I179" s="132">
        <v>100</v>
      </c>
      <c r="J179" s="132">
        <v>100</v>
      </c>
      <c r="K179" s="132"/>
    </row>
    <row r="180" spans="1:12" ht="70.5" customHeight="1">
      <c r="A180" s="35" t="s">
        <v>397</v>
      </c>
      <c r="B180" s="132"/>
      <c r="C180" s="132">
        <f>D180</f>
        <v>150.31738518913872</v>
      </c>
      <c r="D180" s="132">
        <f>D173/595806*100</f>
        <v>150.31738518913872</v>
      </c>
      <c r="E180" s="132"/>
      <c r="F180" s="132">
        <f>G180</f>
        <v>106.09647163912462</v>
      </c>
      <c r="G180" s="132">
        <f>G173/D173*100</f>
        <v>106.09647163912462</v>
      </c>
      <c r="H180" s="132"/>
      <c r="I180" s="132">
        <f>J180</f>
        <v>105.70406230267312</v>
      </c>
      <c r="J180" s="132">
        <f>J173/G173*100</f>
        <v>105.70406230267312</v>
      </c>
      <c r="K180" s="132"/>
    </row>
    <row r="181" spans="1:12" ht="36" customHeight="1">
      <c r="A181" s="454" t="s">
        <v>398</v>
      </c>
      <c r="B181" s="455"/>
      <c r="C181" s="455"/>
      <c r="D181" s="455"/>
      <c r="E181" s="455"/>
      <c r="F181" s="455"/>
      <c r="G181" s="455"/>
      <c r="H181" s="455"/>
      <c r="I181" s="455"/>
      <c r="J181" s="455"/>
      <c r="K181" s="456"/>
    </row>
    <row r="182" spans="1:12" ht="36" customHeight="1">
      <c r="A182" s="34" t="s">
        <v>304</v>
      </c>
      <c r="B182" s="230">
        <f>B185+B194+B210+B219</f>
        <v>55408500</v>
      </c>
      <c r="C182" s="230">
        <f>D182+E182</f>
        <v>17597200</v>
      </c>
      <c r="D182" s="230">
        <f>D185+D194+D210+D219</f>
        <v>17597200</v>
      </c>
      <c r="E182" s="230"/>
      <c r="F182" s="230">
        <f>G182+H182</f>
        <v>18446000</v>
      </c>
      <c r="G182" s="230">
        <f>G185+G194+G210+G219</f>
        <v>18446000</v>
      </c>
      <c r="H182" s="230"/>
      <c r="I182" s="230">
        <f>J182+K182</f>
        <v>19365300</v>
      </c>
      <c r="J182" s="230">
        <f>J185+J194+J210+J219</f>
        <v>19365300</v>
      </c>
      <c r="K182" s="230"/>
      <c r="L182" s="30" t="e">
        <f>#REF!-B182</f>
        <v>#REF!</v>
      </c>
    </row>
    <row r="183" spans="1:12" ht="28.5" customHeight="1">
      <c r="A183" s="457" t="s">
        <v>259</v>
      </c>
      <c r="B183" s="458"/>
      <c r="C183" s="458"/>
      <c r="D183" s="458"/>
      <c r="E183" s="458"/>
      <c r="F183" s="458"/>
      <c r="G183" s="458"/>
      <c r="H183" s="458"/>
      <c r="I183" s="458"/>
      <c r="J183" s="458"/>
      <c r="K183" s="459"/>
    </row>
    <row r="184" spans="1:12" ht="28.5" customHeight="1">
      <c r="A184" s="230" t="s">
        <v>79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</row>
    <row r="185" spans="1:12" ht="28.5" customHeight="1">
      <c r="A185" s="35" t="s">
        <v>301</v>
      </c>
      <c r="B185" s="230">
        <f>C185+F185+I185</f>
        <v>41336700</v>
      </c>
      <c r="C185" s="230">
        <f>D185+E185</f>
        <v>13142200</v>
      </c>
      <c r="D185" s="230">
        <f>'Додаток 3'!I105*1000</f>
        <v>13142200</v>
      </c>
      <c r="E185" s="230"/>
      <c r="F185" s="230">
        <f>G185+H185</f>
        <v>13754900</v>
      </c>
      <c r="G185" s="230">
        <f>'Додаток 3'!J105*1000</f>
        <v>13754900</v>
      </c>
      <c r="H185" s="230"/>
      <c r="I185" s="230">
        <f>J185+K185</f>
        <v>14439600</v>
      </c>
      <c r="J185" s="230">
        <f>'Додаток 3'!K105*1000</f>
        <v>14439600</v>
      </c>
      <c r="K185" s="230"/>
    </row>
    <row r="186" spans="1:12" ht="28.5" customHeight="1">
      <c r="A186" s="230" t="s">
        <v>81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230"/>
    </row>
    <row r="187" spans="1:12" ht="54.75" customHeight="1">
      <c r="A187" s="35" t="s">
        <v>241</v>
      </c>
      <c r="B187" s="35"/>
      <c r="C187" s="35">
        <f>D187</f>
        <v>26112</v>
      </c>
      <c r="D187" s="35">
        <f>18554+7550+8</f>
        <v>26112</v>
      </c>
      <c r="E187" s="35"/>
      <c r="F187" s="35">
        <f>G187</f>
        <v>26112</v>
      </c>
      <c r="G187" s="35">
        <f>18554+7550+8</f>
        <v>26112</v>
      </c>
      <c r="H187" s="35"/>
      <c r="I187" s="35">
        <f>J187</f>
        <v>26112</v>
      </c>
      <c r="J187" s="35">
        <f>18554+7550+8</f>
        <v>26112</v>
      </c>
      <c r="K187" s="230"/>
    </row>
    <row r="188" spans="1:12" ht="28.5" customHeight="1">
      <c r="A188" s="230" t="s">
        <v>82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230"/>
    </row>
    <row r="189" spans="1:12" ht="28.5" customHeight="1">
      <c r="A189" s="120" t="s">
        <v>291</v>
      </c>
      <c r="B189" s="35"/>
      <c r="C189" s="35">
        <f>C185/C187</f>
        <v>503.3011642156863</v>
      </c>
      <c r="D189" s="35">
        <f>D185/D187</f>
        <v>503.3011642156863</v>
      </c>
      <c r="E189" s="35"/>
      <c r="F189" s="35">
        <f>F185/F187</f>
        <v>526.76547181372553</v>
      </c>
      <c r="G189" s="35">
        <f>G185/G187</f>
        <v>526.76547181372553</v>
      </c>
      <c r="H189" s="35"/>
      <c r="I189" s="35">
        <f>I185/I187</f>
        <v>552.98713235294122</v>
      </c>
      <c r="J189" s="35">
        <f>J185/J187</f>
        <v>552.98713235294122</v>
      </c>
      <c r="K189" s="35"/>
    </row>
    <row r="190" spans="1:12" ht="28.5" customHeight="1">
      <c r="A190" s="121" t="s">
        <v>83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230"/>
    </row>
    <row r="191" spans="1:12" ht="96.75" customHeight="1">
      <c r="A191" s="35" t="s">
        <v>242</v>
      </c>
      <c r="B191" s="35"/>
      <c r="C191" s="35">
        <f>D191</f>
        <v>105.22346234527373</v>
      </c>
      <c r="D191" s="35">
        <f>D185/12489800*100</f>
        <v>105.22346234527373</v>
      </c>
      <c r="E191" s="35"/>
      <c r="F191" s="35">
        <f>G191</f>
        <v>104.66208093013347</v>
      </c>
      <c r="G191" s="35">
        <f>G185/D185*100</f>
        <v>104.66208093013347</v>
      </c>
      <c r="H191" s="35"/>
      <c r="I191" s="35">
        <f>J191</f>
        <v>104.97786243447788</v>
      </c>
      <c r="J191" s="35">
        <f>J185/G185*100</f>
        <v>104.97786243447788</v>
      </c>
      <c r="K191" s="230"/>
    </row>
    <row r="192" spans="1:12" ht="28.5" customHeight="1">
      <c r="A192" s="461" t="s">
        <v>369</v>
      </c>
      <c r="B192" s="461"/>
      <c r="C192" s="461"/>
      <c r="D192" s="461"/>
      <c r="E192" s="461"/>
      <c r="F192" s="461"/>
      <c r="G192" s="461"/>
      <c r="H192" s="461"/>
      <c r="I192" s="461"/>
      <c r="J192" s="461"/>
      <c r="K192" s="461"/>
    </row>
    <row r="193" spans="1:11" ht="28.5" customHeight="1">
      <c r="A193" s="230" t="s">
        <v>79</v>
      </c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</row>
    <row r="194" spans="1:11" ht="28.5" customHeight="1">
      <c r="A194" s="35" t="s">
        <v>300</v>
      </c>
      <c r="B194" s="230">
        <f>C194+F194+I194</f>
        <v>4738000</v>
      </c>
      <c r="C194" s="230">
        <f>D194+E194</f>
        <v>1500000</v>
      </c>
      <c r="D194" s="230">
        <f>'Додаток 3'!I109*1000</f>
        <v>1500000</v>
      </c>
      <c r="E194" s="230"/>
      <c r="F194" s="230">
        <f>G194+H194</f>
        <v>1579500</v>
      </c>
      <c r="G194" s="230">
        <f>'Додаток 3'!J109*1000</f>
        <v>1579500</v>
      </c>
      <c r="H194" s="230"/>
      <c r="I194" s="230">
        <f>J194+K194</f>
        <v>1658500</v>
      </c>
      <c r="J194" s="230">
        <f>'Додаток 3'!K109*1000</f>
        <v>1658500</v>
      </c>
      <c r="K194" s="230"/>
    </row>
    <row r="195" spans="1:11" ht="28.5" customHeight="1">
      <c r="A195" s="35" t="s">
        <v>305</v>
      </c>
      <c r="B195" s="230"/>
      <c r="C195" s="35">
        <f>D195</f>
        <v>1039819</v>
      </c>
      <c r="D195" s="35">
        <f>581117+438702+20000</f>
        <v>1039819</v>
      </c>
      <c r="E195" s="230"/>
      <c r="F195" s="35">
        <f>G195</f>
        <v>1094910</v>
      </c>
      <c r="G195" s="35">
        <f>611960+461950+21000</f>
        <v>1094910</v>
      </c>
      <c r="H195" s="230"/>
      <c r="I195" s="35">
        <f>J195</f>
        <v>1148830</v>
      </c>
      <c r="J195" s="35">
        <f>645000+482730+21100</f>
        <v>1148830</v>
      </c>
      <c r="K195" s="230"/>
    </row>
    <row r="196" spans="1:11" ht="53.25" customHeight="1">
      <c r="A196" s="35" t="s">
        <v>306</v>
      </c>
      <c r="B196" s="230"/>
      <c r="C196" s="35">
        <f t="shared" ref="C196:C201" si="28">D196</f>
        <v>421479</v>
      </c>
      <c r="D196" s="35">
        <f>20000+178498+222981</f>
        <v>421479</v>
      </c>
      <c r="E196" s="230"/>
      <c r="F196" s="35">
        <f t="shared" ref="F196:F201" si="29">G196</f>
        <v>443850</v>
      </c>
      <c r="G196" s="35">
        <f>234800+188050+21000</f>
        <v>443850</v>
      </c>
      <c r="H196" s="230"/>
      <c r="I196" s="35">
        <f t="shared" ref="I196:I201" si="30">J196</f>
        <v>466350</v>
      </c>
      <c r="J196" s="35">
        <f>247480+196670+22200</f>
        <v>466350</v>
      </c>
      <c r="K196" s="230"/>
    </row>
    <row r="197" spans="1:11" ht="42" customHeight="1">
      <c r="A197" s="35" t="s">
        <v>307</v>
      </c>
      <c r="B197" s="230"/>
      <c r="C197" s="35">
        <f t="shared" si="28"/>
        <v>38702</v>
      </c>
      <c r="D197" s="35">
        <f>30902+7800</f>
        <v>38702</v>
      </c>
      <c r="E197" s="230"/>
      <c r="F197" s="35">
        <f t="shared" si="29"/>
        <v>40740</v>
      </c>
      <c r="G197" s="35">
        <f>32540+8200</f>
        <v>40740</v>
      </c>
      <c r="H197" s="230"/>
      <c r="I197" s="35">
        <f t="shared" si="30"/>
        <v>42320</v>
      </c>
      <c r="J197" s="35">
        <f>33720+8600</f>
        <v>42320</v>
      </c>
      <c r="K197" s="230"/>
    </row>
    <row r="198" spans="1:11" ht="28.5" customHeight="1">
      <c r="A198" s="230" t="s">
        <v>81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230"/>
    </row>
    <row r="199" spans="1:11" ht="28.5" customHeight="1">
      <c r="A199" s="35" t="s">
        <v>399</v>
      </c>
      <c r="B199" s="35"/>
      <c r="C199" s="35">
        <f t="shared" si="28"/>
        <v>284</v>
      </c>
      <c r="D199" s="35">
        <f>168+114+2</f>
        <v>284</v>
      </c>
      <c r="E199" s="35"/>
      <c r="F199" s="35">
        <f t="shared" si="29"/>
        <v>284</v>
      </c>
      <c r="G199" s="35">
        <f>168+114+2</f>
        <v>284</v>
      </c>
      <c r="H199" s="35"/>
      <c r="I199" s="35">
        <f t="shared" si="30"/>
        <v>284</v>
      </c>
      <c r="J199" s="35">
        <f>168+114+2</f>
        <v>284</v>
      </c>
      <c r="K199" s="230"/>
    </row>
    <row r="200" spans="1:11" ht="28.5" customHeight="1">
      <c r="A200" s="35" t="s">
        <v>400</v>
      </c>
      <c r="B200" s="35"/>
      <c r="C200" s="35">
        <f t="shared" si="28"/>
        <v>83</v>
      </c>
      <c r="D200" s="35">
        <f>50+30+3</f>
        <v>83</v>
      </c>
      <c r="E200" s="35"/>
      <c r="F200" s="35">
        <f t="shared" si="29"/>
        <v>83</v>
      </c>
      <c r="G200" s="35">
        <f>50+30+3</f>
        <v>83</v>
      </c>
      <c r="H200" s="35"/>
      <c r="I200" s="35">
        <f t="shared" si="30"/>
        <v>83</v>
      </c>
      <c r="J200" s="35">
        <f>50+30+3</f>
        <v>83</v>
      </c>
      <c r="K200" s="230"/>
    </row>
    <row r="201" spans="1:11" ht="28.5" customHeight="1">
      <c r="A201" s="35" t="s">
        <v>401</v>
      </c>
      <c r="B201" s="35"/>
      <c r="C201" s="35">
        <f t="shared" si="28"/>
        <v>37</v>
      </c>
      <c r="D201" s="35">
        <f>17+20</f>
        <v>37</v>
      </c>
      <c r="E201" s="35"/>
      <c r="F201" s="35">
        <f t="shared" si="29"/>
        <v>37</v>
      </c>
      <c r="G201" s="35">
        <f>17+20</f>
        <v>37</v>
      </c>
      <c r="H201" s="35"/>
      <c r="I201" s="35">
        <f t="shared" si="30"/>
        <v>37</v>
      </c>
      <c r="J201" s="35">
        <f>17+20</f>
        <v>37</v>
      </c>
      <c r="K201" s="230"/>
    </row>
    <row r="202" spans="1:11" ht="28.5" customHeight="1">
      <c r="A202" s="230" t="s">
        <v>82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230"/>
    </row>
    <row r="203" spans="1:11" ht="39.75" customHeight="1">
      <c r="A203" s="120" t="s">
        <v>308</v>
      </c>
      <c r="B203" s="35"/>
      <c r="C203" s="35">
        <f>C195/C199</f>
        <v>3661.3345070422533</v>
      </c>
      <c r="D203" s="35">
        <f>D195/D199</f>
        <v>3661.3345070422533</v>
      </c>
      <c r="E203" s="35"/>
      <c r="F203" s="35">
        <f t="shared" ref="F203:G205" si="31">F195/F199</f>
        <v>3855.3169014084506</v>
      </c>
      <c r="G203" s="35">
        <f t="shared" si="31"/>
        <v>3855.3169014084506</v>
      </c>
      <c r="H203" s="35"/>
      <c r="I203" s="35">
        <f t="shared" ref="I203:J205" si="32">I195/I199</f>
        <v>4045.176056338028</v>
      </c>
      <c r="J203" s="35">
        <f>J195/J199</f>
        <v>4045.176056338028</v>
      </c>
      <c r="K203" s="230"/>
    </row>
    <row r="204" spans="1:11" ht="54.75" customHeight="1">
      <c r="A204" s="120" t="s">
        <v>309</v>
      </c>
      <c r="B204" s="35"/>
      <c r="C204" s="35">
        <f t="shared" ref="C204:D205" si="33">C196/C200</f>
        <v>5078.060240963855</v>
      </c>
      <c r="D204" s="35">
        <f t="shared" si="33"/>
        <v>5078.060240963855</v>
      </c>
      <c r="E204" s="35"/>
      <c r="F204" s="35">
        <f t="shared" si="31"/>
        <v>5347.5903614457829</v>
      </c>
      <c r="G204" s="35">
        <f t="shared" si="31"/>
        <v>5347.5903614457829</v>
      </c>
      <c r="H204" s="35"/>
      <c r="I204" s="35">
        <f t="shared" si="32"/>
        <v>5618.674698795181</v>
      </c>
      <c r="J204" s="35">
        <f t="shared" si="32"/>
        <v>5618.674698795181</v>
      </c>
      <c r="K204" s="230"/>
    </row>
    <row r="205" spans="1:11" ht="60.75" customHeight="1">
      <c r="A205" s="120" t="s">
        <v>310</v>
      </c>
      <c r="B205" s="35"/>
      <c r="C205" s="35">
        <f t="shared" si="33"/>
        <v>1046</v>
      </c>
      <c r="D205" s="35">
        <f t="shared" si="33"/>
        <v>1046</v>
      </c>
      <c r="E205" s="35"/>
      <c r="F205" s="35">
        <f t="shared" si="31"/>
        <v>1101.081081081081</v>
      </c>
      <c r="G205" s="35">
        <f t="shared" si="31"/>
        <v>1101.081081081081</v>
      </c>
      <c r="H205" s="35"/>
      <c r="I205" s="35">
        <f t="shared" si="32"/>
        <v>1143.7837837837837</v>
      </c>
      <c r="J205" s="35">
        <f t="shared" si="32"/>
        <v>1143.7837837837837</v>
      </c>
      <c r="K205" s="230"/>
    </row>
    <row r="206" spans="1:11" ht="28.5" customHeight="1">
      <c r="A206" s="121" t="s">
        <v>83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230"/>
    </row>
    <row r="207" spans="1:11" ht="70.5" customHeight="1">
      <c r="A207" s="35" t="s">
        <v>402</v>
      </c>
      <c r="B207" s="35"/>
      <c r="C207" s="35">
        <f>D207</f>
        <v>166.47706778391276</v>
      </c>
      <c r="D207" s="35">
        <f>D194/901025*100</f>
        <v>166.47706778391276</v>
      </c>
      <c r="E207" s="35"/>
      <c r="F207" s="35">
        <f>G207</f>
        <v>105.3</v>
      </c>
      <c r="G207" s="35">
        <f>G194/D194*100</f>
        <v>105.3</v>
      </c>
      <c r="H207" s="35"/>
      <c r="I207" s="35">
        <f>J207</f>
        <v>105.00158277936056</v>
      </c>
      <c r="J207" s="35">
        <f>J194/G194*100</f>
        <v>105.00158277936056</v>
      </c>
      <c r="K207" s="230"/>
    </row>
    <row r="208" spans="1:11" ht="28.5" customHeight="1">
      <c r="A208" s="457" t="s">
        <v>370</v>
      </c>
      <c r="B208" s="458"/>
      <c r="C208" s="458"/>
      <c r="D208" s="458"/>
      <c r="E208" s="458"/>
      <c r="F208" s="458"/>
      <c r="G208" s="458"/>
      <c r="H208" s="458"/>
      <c r="I208" s="458"/>
      <c r="J208" s="458"/>
      <c r="K208" s="459"/>
    </row>
    <row r="209" spans="1:11" ht="28.5" customHeight="1">
      <c r="A209" s="230" t="s">
        <v>79</v>
      </c>
      <c r="B209" s="230"/>
      <c r="C209" s="230"/>
      <c r="D209" s="35"/>
      <c r="E209" s="230"/>
      <c r="F209" s="230"/>
      <c r="G209" s="230"/>
      <c r="H209" s="230"/>
      <c r="I209" s="230"/>
      <c r="J209" s="230"/>
      <c r="K209" s="230"/>
    </row>
    <row r="210" spans="1:11" ht="28.5" customHeight="1">
      <c r="A210" s="35" t="s">
        <v>311</v>
      </c>
      <c r="B210" s="128">
        <f>C210+F210+I210</f>
        <v>8386200</v>
      </c>
      <c r="C210" s="128">
        <f>D210+E210</f>
        <v>2655000</v>
      </c>
      <c r="D210" s="128">
        <f>'Додаток 3'!I113*1000</f>
        <v>2655000</v>
      </c>
      <c r="E210" s="128"/>
      <c r="F210" s="128">
        <f>G210+H210</f>
        <v>2795700</v>
      </c>
      <c r="G210" s="128">
        <f>'Додаток 3'!J113*1000</f>
        <v>2795700</v>
      </c>
      <c r="H210" s="128"/>
      <c r="I210" s="128">
        <f>J210+K210</f>
        <v>2935500</v>
      </c>
      <c r="J210" s="128">
        <f>'Додаток 3'!K113*1000</f>
        <v>2935500</v>
      </c>
      <c r="K210" s="128"/>
    </row>
    <row r="211" spans="1:11" ht="28.5" customHeight="1">
      <c r="A211" s="230" t="s">
        <v>81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8"/>
    </row>
    <row r="212" spans="1:11" ht="57" customHeight="1">
      <c r="A212" s="35" t="s">
        <v>245</v>
      </c>
      <c r="B212" s="129"/>
      <c r="C212" s="129">
        <f>D212</f>
        <v>742</v>
      </c>
      <c r="D212" s="129">
        <f>558+184</f>
        <v>742</v>
      </c>
      <c r="E212" s="129"/>
      <c r="F212" s="129">
        <f>G212</f>
        <v>742</v>
      </c>
      <c r="G212" s="129">
        <f>558+184</f>
        <v>742</v>
      </c>
      <c r="H212" s="129"/>
      <c r="I212" s="129">
        <f>J212</f>
        <v>742</v>
      </c>
      <c r="J212" s="129">
        <f>558+184</f>
        <v>742</v>
      </c>
      <c r="K212" s="128"/>
    </row>
    <row r="213" spans="1:11" ht="28.5" customHeight="1">
      <c r="A213" s="230" t="s">
        <v>82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8"/>
    </row>
    <row r="214" spans="1:11" ht="64.5" customHeight="1">
      <c r="A214" s="120" t="s">
        <v>244</v>
      </c>
      <c r="B214" s="129"/>
      <c r="C214" s="129">
        <f>D214</f>
        <v>3578.1671159029652</v>
      </c>
      <c r="D214" s="129">
        <f>D210/D212</f>
        <v>3578.1671159029652</v>
      </c>
      <c r="E214" s="129"/>
      <c r="F214" s="129">
        <f>G214</f>
        <v>3767.789757412399</v>
      </c>
      <c r="G214" s="129">
        <f>G210/G212</f>
        <v>3767.789757412399</v>
      </c>
      <c r="H214" s="129"/>
      <c r="I214" s="129">
        <f>J214</f>
        <v>3956.1994609164421</v>
      </c>
      <c r="J214" s="129">
        <f>J210/J212</f>
        <v>3956.1994609164421</v>
      </c>
      <c r="K214" s="128"/>
    </row>
    <row r="215" spans="1:11" ht="28.5" customHeight="1">
      <c r="A215" s="121" t="s">
        <v>83</v>
      </c>
      <c r="B215" s="129"/>
      <c r="C215" s="129"/>
      <c r="D215" s="129"/>
      <c r="E215" s="129"/>
      <c r="F215" s="129"/>
      <c r="G215" s="129"/>
      <c r="H215" s="129"/>
      <c r="I215" s="129"/>
      <c r="J215" s="129"/>
      <c r="K215" s="128"/>
    </row>
    <row r="216" spans="1:11" ht="72" customHeight="1">
      <c r="A216" s="35" t="s">
        <v>243</v>
      </c>
      <c r="B216" s="129"/>
      <c r="C216" s="129">
        <f>D216</f>
        <v>106.2</v>
      </c>
      <c r="D216" s="129">
        <f>D210/2500000*100</f>
        <v>106.2</v>
      </c>
      <c r="E216" s="129"/>
      <c r="F216" s="129">
        <f>G216</f>
        <v>105.2994350282486</v>
      </c>
      <c r="G216" s="129">
        <f>G210/D210*100</f>
        <v>105.2994350282486</v>
      </c>
      <c r="H216" s="129"/>
      <c r="I216" s="129">
        <f>J216</f>
        <v>105.00053653825519</v>
      </c>
      <c r="J216" s="129">
        <f>J210/G210*100</f>
        <v>105.00053653825519</v>
      </c>
      <c r="K216" s="128"/>
    </row>
    <row r="217" spans="1:11" ht="28.5" customHeight="1">
      <c r="A217" s="457" t="s">
        <v>371</v>
      </c>
      <c r="B217" s="458"/>
      <c r="C217" s="458"/>
      <c r="D217" s="458"/>
      <c r="E217" s="458"/>
      <c r="F217" s="458"/>
      <c r="G217" s="458"/>
      <c r="H217" s="458"/>
      <c r="I217" s="458"/>
      <c r="J217" s="458"/>
      <c r="K217" s="459"/>
    </row>
    <row r="218" spans="1:11" ht="28.5" customHeight="1">
      <c r="A218" s="230" t="s">
        <v>79</v>
      </c>
      <c r="B218" s="230"/>
      <c r="C218" s="230"/>
      <c r="D218" s="35"/>
      <c r="E218" s="230"/>
      <c r="F218" s="230"/>
      <c r="G218" s="230"/>
      <c r="H218" s="230"/>
      <c r="I218" s="230"/>
      <c r="J218" s="230"/>
      <c r="K218" s="230"/>
    </row>
    <row r="219" spans="1:11" ht="28.5" customHeight="1">
      <c r="A219" s="35" t="s">
        <v>311</v>
      </c>
      <c r="B219" s="128">
        <f>C219+F219+I219</f>
        <v>947600</v>
      </c>
      <c r="C219" s="128">
        <f>D219+E219</f>
        <v>300000</v>
      </c>
      <c r="D219" s="129">
        <f>'Додаток 3'!I116*1000</f>
        <v>300000</v>
      </c>
      <c r="E219" s="128"/>
      <c r="F219" s="128">
        <f>G219+H219</f>
        <v>315900</v>
      </c>
      <c r="G219" s="128">
        <f>'Додаток 3'!J116*1000</f>
        <v>315900</v>
      </c>
      <c r="H219" s="128"/>
      <c r="I219" s="128">
        <f>J219+K219</f>
        <v>331700</v>
      </c>
      <c r="J219" s="128">
        <f>'Додаток 3'!K116*1000</f>
        <v>331700</v>
      </c>
      <c r="K219" s="128"/>
    </row>
    <row r="220" spans="1:11" ht="28.5" customHeight="1">
      <c r="A220" s="230" t="s">
        <v>81</v>
      </c>
      <c r="B220" s="128"/>
      <c r="C220" s="128"/>
      <c r="D220" s="129"/>
      <c r="E220" s="128"/>
      <c r="F220" s="128"/>
      <c r="G220" s="128"/>
      <c r="H220" s="128"/>
      <c r="I220" s="128"/>
      <c r="J220" s="128"/>
      <c r="K220" s="128"/>
    </row>
    <row r="221" spans="1:11" ht="28.5" customHeight="1">
      <c r="A221" s="230" t="s">
        <v>81</v>
      </c>
      <c r="B221" s="129"/>
      <c r="C221" s="129">
        <f t="shared" ref="C221:C228" si="34">D221</f>
        <v>0</v>
      </c>
      <c r="D221" s="129"/>
      <c r="E221" s="129"/>
      <c r="F221" s="129"/>
      <c r="G221" s="129"/>
      <c r="H221" s="129"/>
      <c r="I221" s="129"/>
      <c r="J221" s="129"/>
      <c r="K221" s="128"/>
    </row>
    <row r="222" spans="1:11" ht="28.5" customHeight="1">
      <c r="A222" s="35" t="s">
        <v>80</v>
      </c>
      <c r="B222" s="129"/>
      <c r="C222" s="129">
        <f t="shared" si="34"/>
        <v>0</v>
      </c>
      <c r="D222" s="129"/>
      <c r="E222" s="129"/>
      <c r="F222" s="129">
        <f>C222</f>
        <v>0</v>
      </c>
      <c r="G222" s="129"/>
      <c r="H222" s="129"/>
      <c r="I222" s="129">
        <f>F222</f>
        <v>0</v>
      </c>
      <c r="J222" s="129"/>
      <c r="K222" s="128"/>
    </row>
    <row r="223" spans="1:11" ht="60.75" customHeight="1">
      <c r="A223" s="35" t="s">
        <v>86</v>
      </c>
      <c r="B223" s="129"/>
      <c r="C223" s="129">
        <f t="shared" si="34"/>
        <v>0</v>
      </c>
      <c r="D223" s="129"/>
      <c r="E223" s="129"/>
      <c r="F223" s="129"/>
      <c r="G223" s="129"/>
      <c r="H223" s="129"/>
      <c r="I223" s="129"/>
      <c r="J223" s="129"/>
      <c r="K223" s="128"/>
    </row>
    <row r="224" spans="1:11" ht="28.5" customHeight="1">
      <c r="A224" s="230" t="s">
        <v>82</v>
      </c>
      <c r="B224" s="129"/>
      <c r="C224" s="129">
        <f t="shared" si="34"/>
        <v>0</v>
      </c>
      <c r="D224" s="129"/>
      <c r="E224" s="129"/>
      <c r="F224" s="129"/>
      <c r="G224" s="129"/>
      <c r="H224" s="129"/>
      <c r="I224" s="129"/>
      <c r="J224" s="129"/>
      <c r="K224" s="128"/>
    </row>
    <row r="225" spans="1:12" ht="36.75" customHeight="1">
      <c r="A225" s="120" t="s">
        <v>87</v>
      </c>
      <c r="B225" s="129"/>
      <c r="C225" s="129">
        <f t="shared" si="34"/>
        <v>0</v>
      </c>
      <c r="D225" s="129"/>
      <c r="E225" s="129"/>
      <c r="F225" s="129"/>
      <c r="G225" s="129"/>
      <c r="H225" s="129"/>
      <c r="I225" s="129"/>
      <c r="J225" s="129"/>
      <c r="K225" s="128"/>
    </row>
    <row r="226" spans="1:12" ht="28.5" customHeight="1">
      <c r="A226" s="122" t="s">
        <v>83</v>
      </c>
      <c r="B226" s="129"/>
      <c r="C226" s="129">
        <f t="shared" si="34"/>
        <v>0</v>
      </c>
      <c r="D226" s="129"/>
      <c r="E226" s="129"/>
      <c r="F226" s="129"/>
      <c r="G226" s="129"/>
      <c r="H226" s="129"/>
      <c r="I226" s="129"/>
      <c r="J226" s="129"/>
      <c r="K226" s="128"/>
    </row>
    <row r="227" spans="1:12" ht="47.25" customHeight="1">
      <c r="A227" s="120" t="s">
        <v>88</v>
      </c>
      <c r="B227" s="129"/>
      <c r="C227" s="129">
        <f t="shared" si="34"/>
        <v>0</v>
      </c>
      <c r="D227" s="129"/>
      <c r="E227" s="129"/>
      <c r="F227" s="129"/>
      <c r="G227" s="129"/>
      <c r="H227" s="129"/>
      <c r="I227" s="129"/>
      <c r="J227" s="129"/>
      <c r="K227" s="128"/>
    </row>
    <row r="228" spans="1:12" ht="36" customHeight="1">
      <c r="A228" s="120" t="s">
        <v>246</v>
      </c>
      <c r="B228" s="129"/>
      <c r="C228" s="129">
        <f t="shared" si="34"/>
        <v>85</v>
      </c>
      <c r="D228" s="129">
        <v>85</v>
      </c>
      <c r="E228" s="129"/>
      <c r="F228" s="129">
        <f>G228</f>
        <v>85</v>
      </c>
      <c r="G228" s="129">
        <v>85</v>
      </c>
      <c r="H228" s="129"/>
      <c r="I228" s="129">
        <f>J228</f>
        <v>85</v>
      </c>
      <c r="J228" s="129">
        <v>85</v>
      </c>
      <c r="K228" s="128"/>
    </row>
    <row r="229" spans="1:12" ht="28.5" customHeight="1">
      <c r="A229" s="230" t="s">
        <v>82</v>
      </c>
      <c r="B229" s="129"/>
      <c r="C229" s="129"/>
      <c r="D229" s="129"/>
      <c r="E229" s="129"/>
      <c r="F229" s="129"/>
      <c r="G229" s="129"/>
      <c r="H229" s="129"/>
      <c r="I229" s="129"/>
      <c r="J229" s="129"/>
      <c r="K229" s="128"/>
    </row>
    <row r="230" spans="1:12" ht="58.5" customHeight="1">
      <c r="A230" s="35" t="s">
        <v>317</v>
      </c>
      <c r="B230" s="129"/>
      <c r="C230" s="129">
        <f>C219/C228</f>
        <v>3529.4117647058824</v>
      </c>
      <c r="D230" s="129">
        <f>D219/D228</f>
        <v>3529.4117647058824</v>
      </c>
      <c r="E230" s="129"/>
      <c r="F230" s="129">
        <f>F219/F228</f>
        <v>3716.4705882352941</v>
      </c>
      <c r="G230" s="129">
        <f>G219/G228</f>
        <v>3716.4705882352941</v>
      </c>
      <c r="H230" s="129"/>
      <c r="I230" s="129">
        <f>I219/I228</f>
        <v>3902.3529411764707</v>
      </c>
      <c r="J230" s="129">
        <f>J219/J228</f>
        <v>3902.3529411764707</v>
      </c>
      <c r="K230" s="128"/>
    </row>
    <row r="231" spans="1:12" ht="28.5" customHeight="1">
      <c r="A231" s="230" t="s">
        <v>83</v>
      </c>
      <c r="B231" s="129"/>
      <c r="C231" s="129"/>
      <c r="D231" s="129"/>
      <c r="E231" s="129"/>
      <c r="F231" s="129"/>
      <c r="G231" s="129"/>
      <c r="H231" s="129"/>
      <c r="I231" s="129"/>
      <c r="J231" s="129"/>
      <c r="K231" s="128"/>
    </row>
    <row r="232" spans="1:12" ht="81" customHeight="1">
      <c r="A232" s="35" t="s">
        <v>247</v>
      </c>
      <c r="B232" s="129"/>
      <c r="C232" s="129">
        <f>D232</f>
        <v>150</v>
      </c>
      <c r="D232" s="129">
        <f>D219/200000*100</f>
        <v>150</v>
      </c>
      <c r="E232" s="129"/>
      <c r="F232" s="129">
        <f>G232</f>
        <v>105.3</v>
      </c>
      <c r="G232" s="129">
        <f>G219/D219*100</f>
        <v>105.3</v>
      </c>
      <c r="H232" s="129"/>
      <c r="I232" s="129">
        <f>J232</f>
        <v>105.00158277936056</v>
      </c>
      <c r="J232" s="129">
        <f>J219/G219*100</f>
        <v>105.00158277936056</v>
      </c>
      <c r="K232" s="128"/>
    </row>
    <row r="233" spans="1:12" ht="43.5" customHeight="1">
      <c r="A233" s="461" t="s">
        <v>142</v>
      </c>
      <c r="B233" s="461"/>
      <c r="C233" s="461"/>
      <c r="D233" s="461"/>
      <c r="E233" s="461"/>
      <c r="F233" s="461"/>
      <c r="G233" s="461"/>
      <c r="H233" s="461"/>
      <c r="I233" s="461"/>
      <c r="J233" s="461"/>
      <c r="K233" s="461"/>
    </row>
    <row r="234" spans="1:12" ht="42" customHeight="1">
      <c r="A234" s="34" t="s">
        <v>312</v>
      </c>
      <c r="B234" s="128">
        <f>B238</f>
        <v>11255200</v>
      </c>
      <c r="C234" s="128">
        <f>D234+E234</f>
        <v>3518500</v>
      </c>
      <c r="D234" s="128">
        <f>D238</f>
        <v>3518500</v>
      </c>
      <c r="E234" s="128">
        <f>E237</f>
        <v>0</v>
      </c>
      <c r="F234" s="128">
        <f>G234+H234</f>
        <v>3743299.9999999995</v>
      </c>
      <c r="G234" s="128">
        <f>G238</f>
        <v>3743299.9999999995</v>
      </c>
      <c r="H234" s="128">
        <f>H237</f>
        <v>0</v>
      </c>
      <c r="I234" s="128">
        <f>J234+K234</f>
        <v>3993400</v>
      </c>
      <c r="J234" s="128">
        <f>J238</f>
        <v>3993400</v>
      </c>
      <c r="K234" s="128">
        <f>K237</f>
        <v>0</v>
      </c>
      <c r="L234" s="30" t="e">
        <f>#REF!-B234</f>
        <v>#REF!</v>
      </c>
    </row>
    <row r="235" spans="1:12" ht="28.5" customHeight="1">
      <c r="A235" s="237" t="s">
        <v>372</v>
      </c>
      <c r="B235" s="228"/>
      <c r="C235" s="228"/>
      <c r="D235" s="228"/>
      <c r="E235" s="228"/>
      <c r="F235" s="228"/>
      <c r="G235" s="228"/>
      <c r="H235" s="228"/>
      <c r="I235" s="228"/>
      <c r="J235" s="228"/>
      <c r="K235" s="229"/>
    </row>
    <row r="236" spans="1:12" ht="28.5" customHeight="1">
      <c r="A236" s="457" t="s">
        <v>261</v>
      </c>
      <c r="B236" s="458"/>
      <c r="C236" s="458"/>
      <c r="D236" s="458"/>
      <c r="E236" s="458"/>
      <c r="F236" s="458"/>
      <c r="G236" s="458"/>
      <c r="H236" s="458"/>
      <c r="I236" s="458"/>
      <c r="J236" s="458"/>
      <c r="K236" s="459"/>
    </row>
    <row r="237" spans="1:12" ht="28.5" customHeight="1">
      <c r="A237" s="230" t="s">
        <v>79</v>
      </c>
      <c r="B237" s="230"/>
      <c r="C237" s="230"/>
      <c r="D237" s="230"/>
      <c r="E237" s="230"/>
      <c r="F237" s="35"/>
      <c r="G237" s="35"/>
      <c r="H237" s="230"/>
      <c r="I237" s="230"/>
      <c r="J237" s="230"/>
      <c r="K237" s="230"/>
    </row>
    <row r="238" spans="1:12" ht="28.5" customHeight="1">
      <c r="A238" s="35" t="s">
        <v>313</v>
      </c>
      <c r="B238" s="128">
        <f>C238+F238+I238</f>
        <v>11255200</v>
      </c>
      <c r="C238" s="128">
        <f>D238+E238</f>
        <v>3518500</v>
      </c>
      <c r="D238" s="128">
        <f>'Додаток 3'!I127*1000</f>
        <v>3518500</v>
      </c>
      <c r="E238" s="128"/>
      <c r="F238" s="128">
        <f>G238+H238</f>
        <v>3743299.9999999995</v>
      </c>
      <c r="G238" s="128">
        <f>'Додаток 3'!J127*1000</f>
        <v>3743299.9999999995</v>
      </c>
      <c r="H238" s="128"/>
      <c r="I238" s="128">
        <f>J238+K238</f>
        <v>3993400</v>
      </c>
      <c r="J238" s="128">
        <f>'Додаток 3'!K127*1000</f>
        <v>3993400</v>
      </c>
      <c r="K238" s="128"/>
    </row>
    <row r="239" spans="1:12" ht="28.5" customHeight="1">
      <c r="A239" s="35" t="s">
        <v>233</v>
      </c>
      <c r="B239" s="128"/>
      <c r="C239" s="128">
        <v>2</v>
      </c>
      <c r="D239" s="128">
        <v>2</v>
      </c>
      <c r="E239" s="128"/>
      <c r="F239" s="128">
        <v>2</v>
      </c>
      <c r="G239" s="128">
        <v>2</v>
      </c>
      <c r="H239" s="128"/>
      <c r="I239" s="128">
        <v>2</v>
      </c>
      <c r="J239" s="128">
        <v>2</v>
      </c>
      <c r="K239" s="128"/>
    </row>
    <row r="240" spans="1:12" ht="28.5" customHeight="1">
      <c r="A240" s="238" t="s">
        <v>403</v>
      </c>
      <c r="B240" s="128"/>
      <c r="C240" s="129">
        <f>D240</f>
        <v>1</v>
      </c>
      <c r="D240" s="129">
        <v>1</v>
      </c>
      <c r="E240" s="128"/>
      <c r="F240" s="129">
        <f>G240</f>
        <v>1</v>
      </c>
      <c r="G240" s="129">
        <v>1</v>
      </c>
      <c r="H240" s="128"/>
      <c r="I240" s="129">
        <f>J240</f>
        <v>1</v>
      </c>
      <c r="J240" s="129">
        <v>1</v>
      </c>
      <c r="K240" s="128"/>
    </row>
    <row r="241" spans="1:12" ht="28.5" customHeight="1">
      <c r="A241" s="238" t="s">
        <v>404</v>
      </c>
      <c r="B241" s="128"/>
      <c r="C241" s="129">
        <v>1</v>
      </c>
      <c r="D241" s="129">
        <v>1</v>
      </c>
      <c r="E241" s="128"/>
      <c r="F241" s="129">
        <v>1</v>
      </c>
      <c r="G241" s="129">
        <v>1</v>
      </c>
      <c r="H241" s="128"/>
      <c r="I241" s="129">
        <v>1</v>
      </c>
      <c r="J241" s="129">
        <v>1</v>
      </c>
      <c r="K241" s="128"/>
    </row>
    <row r="242" spans="1:12" ht="28.5" customHeight="1">
      <c r="A242" s="35" t="s">
        <v>314</v>
      </c>
      <c r="B242" s="128"/>
      <c r="C242" s="129">
        <f>C243+C244</f>
        <v>21</v>
      </c>
      <c r="D242" s="129">
        <f>D243+D244</f>
        <v>21</v>
      </c>
      <c r="E242" s="129"/>
      <c r="F242" s="129">
        <f t="shared" ref="F242:J242" si="35">F243+F244</f>
        <v>21</v>
      </c>
      <c r="G242" s="129">
        <f t="shared" si="35"/>
        <v>21</v>
      </c>
      <c r="H242" s="129"/>
      <c r="I242" s="129">
        <f t="shared" si="35"/>
        <v>21</v>
      </c>
      <c r="J242" s="129">
        <f t="shared" si="35"/>
        <v>21</v>
      </c>
      <c r="K242" s="128"/>
    </row>
    <row r="243" spans="1:12" ht="28.5" customHeight="1">
      <c r="A243" s="238" t="s">
        <v>266</v>
      </c>
      <c r="B243" s="128"/>
      <c r="C243" s="129">
        <f t="shared" ref="C243:C253" si="36">D243</f>
        <v>10</v>
      </c>
      <c r="D243" s="129">
        <v>10</v>
      </c>
      <c r="E243" s="128"/>
      <c r="F243" s="129">
        <f t="shared" ref="F243:F253" si="37">G243</f>
        <v>10</v>
      </c>
      <c r="G243" s="129">
        <v>10</v>
      </c>
      <c r="H243" s="128"/>
      <c r="I243" s="129">
        <f t="shared" ref="I243:I253" si="38">J243</f>
        <v>10</v>
      </c>
      <c r="J243" s="129">
        <v>10</v>
      </c>
      <c r="K243" s="128"/>
    </row>
    <row r="244" spans="1:12" ht="28.5" customHeight="1">
      <c r="A244" s="238" t="s">
        <v>267</v>
      </c>
      <c r="B244" s="128"/>
      <c r="C244" s="129">
        <f t="shared" si="36"/>
        <v>11</v>
      </c>
      <c r="D244" s="129">
        <v>11</v>
      </c>
      <c r="E244" s="128"/>
      <c r="F244" s="129">
        <f t="shared" si="37"/>
        <v>11</v>
      </c>
      <c r="G244" s="129">
        <v>11</v>
      </c>
      <c r="H244" s="128"/>
      <c r="I244" s="129">
        <f t="shared" si="38"/>
        <v>11</v>
      </c>
      <c r="J244" s="129">
        <v>11</v>
      </c>
      <c r="K244" s="128"/>
    </row>
    <row r="245" spans="1:12" ht="28.5" customHeight="1">
      <c r="A245" s="230" t="s">
        <v>81</v>
      </c>
      <c r="B245" s="129"/>
      <c r="C245" s="129"/>
      <c r="D245" s="129"/>
      <c r="E245" s="129"/>
      <c r="F245" s="129"/>
      <c r="G245" s="129"/>
      <c r="H245" s="129"/>
      <c r="I245" s="129"/>
      <c r="J245" s="129"/>
      <c r="K245" s="128"/>
    </row>
    <row r="246" spans="1:12" ht="54.75" customHeight="1">
      <c r="A246" s="35" t="s">
        <v>405</v>
      </c>
      <c r="B246" s="129"/>
      <c r="C246" s="129">
        <f t="shared" si="36"/>
        <v>9</v>
      </c>
      <c r="D246" s="132">
        <v>9</v>
      </c>
      <c r="E246" s="129"/>
      <c r="F246" s="129">
        <f t="shared" si="37"/>
        <v>9</v>
      </c>
      <c r="G246" s="132">
        <v>9</v>
      </c>
      <c r="H246" s="129"/>
      <c r="I246" s="129">
        <f t="shared" si="38"/>
        <v>9</v>
      </c>
      <c r="J246" s="132">
        <v>9</v>
      </c>
      <c r="K246" s="128"/>
    </row>
    <row r="247" spans="1:12" ht="53.25" customHeight="1">
      <c r="A247" s="35" t="s">
        <v>406</v>
      </c>
      <c r="B247" s="129"/>
      <c r="C247" s="129">
        <f t="shared" si="36"/>
        <v>800</v>
      </c>
      <c r="D247" s="132">
        <v>800</v>
      </c>
      <c r="E247" s="129"/>
      <c r="F247" s="129">
        <f t="shared" si="37"/>
        <v>800</v>
      </c>
      <c r="G247" s="132">
        <v>800</v>
      </c>
      <c r="H247" s="129"/>
      <c r="I247" s="129">
        <f t="shared" si="38"/>
        <v>800</v>
      </c>
      <c r="J247" s="132">
        <v>800</v>
      </c>
      <c r="K247" s="128"/>
    </row>
    <row r="248" spans="1:12" ht="28.5" customHeight="1">
      <c r="A248" s="35" t="s">
        <v>407</v>
      </c>
      <c r="B248" s="129"/>
      <c r="C248" s="129">
        <f t="shared" si="36"/>
        <v>42</v>
      </c>
      <c r="D248" s="132">
        <v>42</v>
      </c>
      <c r="E248" s="129"/>
      <c r="F248" s="129">
        <f t="shared" si="37"/>
        <v>42</v>
      </c>
      <c r="G248" s="132">
        <v>42</v>
      </c>
      <c r="H248" s="129"/>
      <c r="I248" s="129">
        <f t="shared" si="38"/>
        <v>42</v>
      </c>
      <c r="J248" s="132">
        <v>42</v>
      </c>
      <c r="K248" s="128"/>
    </row>
    <row r="249" spans="1:12" ht="83.25" customHeight="1">
      <c r="A249" s="35" t="s">
        <v>248</v>
      </c>
      <c r="B249" s="129"/>
      <c r="C249" s="129">
        <f t="shared" si="36"/>
        <v>220</v>
      </c>
      <c r="D249" s="132">
        <v>220</v>
      </c>
      <c r="E249" s="129"/>
      <c r="F249" s="129">
        <f t="shared" si="37"/>
        <v>220</v>
      </c>
      <c r="G249" s="132">
        <v>220</v>
      </c>
      <c r="H249" s="129"/>
      <c r="I249" s="129">
        <f t="shared" si="38"/>
        <v>220</v>
      </c>
      <c r="J249" s="132">
        <v>220</v>
      </c>
      <c r="K249" s="128"/>
    </row>
    <row r="250" spans="1:12" ht="28.5" customHeight="1">
      <c r="A250" s="230" t="s">
        <v>82</v>
      </c>
      <c r="B250" s="129"/>
      <c r="C250" s="129"/>
      <c r="D250" s="129"/>
      <c r="E250" s="129"/>
      <c r="F250" s="129"/>
      <c r="G250" s="129"/>
      <c r="H250" s="129"/>
      <c r="I250" s="129"/>
      <c r="J250" s="129"/>
      <c r="K250" s="128"/>
    </row>
    <row r="251" spans="1:12" ht="58.5" customHeight="1">
      <c r="A251" s="35" t="s">
        <v>250</v>
      </c>
      <c r="B251" s="129"/>
      <c r="C251" s="129">
        <f t="shared" si="36"/>
        <v>80</v>
      </c>
      <c r="D251" s="129">
        <f>D247/D243</f>
        <v>80</v>
      </c>
      <c r="E251" s="129"/>
      <c r="F251" s="129">
        <f t="shared" si="37"/>
        <v>80</v>
      </c>
      <c r="G251" s="129">
        <f>G247/G243</f>
        <v>80</v>
      </c>
      <c r="H251" s="129"/>
      <c r="I251" s="129">
        <f t="shared" si="38"/>
        <v>80</v>
      </c>
      <c r="J251" s="129">
        <f>J247/J243</f>
        <v>80</v>
      </c>
      <c r="K251" s="128"/>
      <c r="L251" s="460"/>
    </row>
    <row r="252" spans="1:12" ht="60.75" customHeight="1">
      <c r="A252" s="35" t="s">
        <v>249</v>
      </c>
      <c r="B252" s="129"/>
      <c r="C252" s="129">
        <f t="shared" si="36"/>
        <v>4.2</v>
      </c>
      <c r="D252" s="129">
        <f>D248/D243</f>
        <v>4.2</v>
      </c>
      <c r="E252" s="129"/>
      <c r="F252" s="129">
        <f t="shared" si="37"/>
        <v>4.2</v>
      </c>
      <c r="G252" s="129">
        <f>G248/G243</f>
        <v>4.2</v>
      </c>
      <c r="H252" s="129"/>
      <c r="I252" s="129">
        <f t="shared" si="38"/>
        <v>4.2</v>
      </c>
      <c r="J252" s="129">
        <f>J248/J243</f>
        <v>4.2</v>
      </c>
      <c r="K252" s="128"/>
      <c r="L252" s="460"/>
    </row>
    <row r="253" spans="1:12" ht="79.5" customHeight="1">
      <c r="A253" s="35" t="s">
        <v>251</v>
      </c>
      <c r="B253" s="129"/>
      <c r="C253" s="129">
        <f t="shared" si="36"/>
        <v>20</v>
      </c>
      <c r="D253" s="129">
        <f>D249/D244</f>
        <v>20</v>
      </c>
      <c r="E253" s="129"/>
      <c r="F253" s="129">
        <f t="shared" si="37"/>
        <v>20</v>
      </c>
      <c r="G253" s="129">
        <f>G249/G244</f>
        <v>20</v>
      </c>
      <c r="H253" s="129"/>
      <c r="I253" s="129">
        <f t="shared" si="38"/>
        <v>20</v>
      </c>
      <c r="J253" s="129">
        <f>J249/J244</f>
        <v>20</v>
      </c>
      <c r="K253" s="128"/>
      <c r="L253" s="460"/>
    </row>
    <row r="254" spans="1:12" ht="47.25" customHeight="1">
      <c r="A254" s="457" t="s">
        <v>107</v>
      </c>
      <c r="B254" s="458"/>
      <c r="C254" s="458"/>
      <c r="D254" s="458"/>
      <c r="E254" s="458"/>
      <c r="F254" s="458"/>
      <c r="G254" s="458"/>
      <c r="H254" s="458"/>
      <c r="I254" s="458"/>
      <c r="J254" s="458"/>
      <c r="K254" s="459"/>
    </row>
    <row r="255" spans="1:12" ht="43.5" customHeight="1">
      <c r="A255" s="34" t="s">
        <v>315</v>
      </c>
      <c r="B255" s="128">
        <f>B260+B261+B267</f>
        <v>341790000</v>
      </c>
      <c r="C255" s="128">
        <f>D255+E255</f>
        <v>125130000</v>
      </c>
      <c r="D255" s="128">
        <f>D260+D261</f>
        <v>0</v>
      </c>
      <c r="E255" s="128">
        <f>E260+E261+E267</f>
        <v>125130000</v>
      </c>
      <c r="F255" s="128">
        <f>G255+H255</f>
        <v>108330000</v>
      </c>
      <c r="G255" s="128">
        <f>G260+G261</f>
        <v>0</v>
      </c>
      <c r="H255" s="128">
        <f>H260+H261+H267</f>
        <v>108330000</v>
      </c>
      <c r="I255" s="128">
        <f>J255+K255</f>
        <v>108330000</v>
      </c>
      <c r="J255" s="128">
        <f>J260+J261</f>
        <v>0</v>
      </c>
      <c r="K255" s="128">
        <f>K260+K261+K267</f>
        <v>108330000</v>
      </c>
    </row>
    <row r="256" spans="1:12" ht="28.5" customHeight="1">
      <c r="A256" s="463" t="s">
        <v>373</v>
      </c>
      <c r="B256" s="464"/>
      <c r="C256" s="464"/>
      <c r="D256" s="464"/>
      <c r="E256" s="464"/>
      <c r="F256" s="464"/>
      <c r="G256" s="464"/>
      <c r="H256" s="464"/>
      <c r="I256" s="464"/>
      <c r="J256" s="464"/>
      <c r="K256" s="465"/>
    </row>
    <row r="257" spans="1:11" ht="28.5" customHeight="1">
      <c r="A257" s="454" t="s">
        <v>374</v>
      </c>
      <c r="B257" s="455"/>
      <c r="C257" s="455"/>
      <c r="D257" s="455"/>
      <c r="E257" s="455"/>
      <c r="F257" s="455"/>
      <c r="G257" s="455"/>
      <c r="H257" s="455"/>
      <c r="I257" s="455"/>
      <c r="J257" s="455"/>
      <c r="K257" s="456"/>
    </row>
    <row r="258" spans="1:11" ht="28.5" customHeight="1">
      <c r="A258" s="230" t="s">
        <v>79</v>
      </c>
      <c r="B258" s="118"/>
      <c r="C258" s="118"/>
      <c r="D258" s="233"/>
      <c r="E258" s="118"/>
      <c r="F258" s="118"/>
      <c r="G258" s="118"/>
      <c r="H258" s="118"/>
      <c r="I258" s="118"/>
      <c r="J258" s="118"/>
      <c r="K258" s="118"/>
    </row>
    <row r="259" spans="1:11" ht="28.5" customHeight="1">
      <c r="A259" s="35" t="s">
        <v>313</v>
      </c>
      <c r="B259" s="118">
        <f>C259+F259+I259</f>
        <v>341790000</v>
      </c>
      <c r="C259" s="118">
        <f>E259</f>
        <v>125130000</v>
      </c>
      <c r="D259" s="233"/>
      <c r="E259" s="118">
        <f>'Додаток 3'!I155*1000</f>
        <v>125130000</v>
      </c>
      <c r="F259" s="118">
        <f>H259</f>
        <v>108330000</v>
      </c>
      <c r="G259" s="118"/>
      <c r="H259" s="118">
        <f>'Додаток 3'!J155*1000</f>
        <v>108330000</v>
      </c>
      <c r="I259" s="118">
        <f>K259</f>
        <v>108330000</v>
      </c>
      <c r="J259" s="118"/>
      <c r="K259" s="118">
        <f>'Додаток 3'!K155*1000</f>
        <v>108330000</v>
      </c>
    </row>
    <row r="260" spans="1:11" ht="28.5" customHeight="1">
      <c r="A260" s="35" t="s">
        <v>316</v>
      </c>
      <c r="B260" s="233">
        <f>C260+F260+I260</f>
        <v>240090000</v>
      </c>
      <c r="C260" s="233">
        <f>E260+D260</f>
        <v>80030000</v>
      </c>
      <c r="D260" s="233"/>
      <c r="E260" s="233">
        <f>'Додаток 3'!I129*1000</f>
        <v>80030000</v>
      </c>
      <c r="F260" s="233">
        <f>H260</f>
        <v>80030000</v>
      </c>
      <c r="G260" s="233"/>
      <c r="H260" s="233">
        <f>'Додаток 3'!J129*1000</f>
        <v>80030000</v>
      </c>
      <c r="I260" s="233">
        <f>J260+K260</f>
        <v>80030000</v>
      </c>
      <c r="J260" s="233"/>
      <c r="K260" s="233">
        <f>'Додаток 3'!K129*1000</f>
        <v>80030000</v>
      </c>
    </row>
    <row r="261" spans="1:11" ht="53.25" customHeight="1">
      <c r="A261" s="35" t="s">
        <v>321</v>
      </c>
      <c r="B261" s="233">
        <f>C261+F261+I261</f>
        <v>84900000</v>
      </c>
      <c r="C261" s="233">
        <f>E261+D261</f>
        <v>28300000</v>
      </c>
      <c r="D261" s="233"/>
      <c r="E261" s="233">
        <f>'Додаток 3'!I140*1000</f>
        <v>28300000</v>
      </c>
      <c r="F261" s="233">
        <f>H261</f>
        <v>28300000</v>
      </c>
      <c r="G261" s="233"/>
      <c r="H261" s="233">
        <f>('Додаток 3'!J140+'Додаток 3'!J152)*1000</f>
        <v>28300000</v>
      </c>
      <c r="I261" s="233">
        <f>J261+K261</f>
        <v>28300000</v>
      </c>
      <c r="J261" s="233"/>
      <c r="K261" s="233">
        <f>('Додаток 3'!K140+'Додаток 3'!K152)*1000</f>
        <v>28300000</v>
      </c>
    </row>
    <row r="262" spans="1:11" ht="28.5" customHeight="1">
      <c r="A262" s="238" t="s">
        <v>220</v>
      </c>
      <c r="B262" s="233"/>
      <c r="C262" s="233">
        <f t="shared" ref="C262:C266" si="39">E262+D262</f>
        <v>5800</v>
      </c>
      <c r="D262" s="233"/>
      <c r="E262" s="233">
        <v>5800</v>
      </c>
      <c r="F262" s="233">
        <f t="shared" ref="F262:F266" si="40">H262</f>
        <v>5800</v>
      </c>
      <c r="G262" s="233"/>
      <c r="H262" s="233">
        <v>5800</v>
      </c>
      <c r="I262" s="233">
        <f t="shared" ref="I262:I266" si="41">J262+K262</f>
        <v>5800</v>
      </c>
      <c r="J262" s="233"/>
      <c r="K262" s="233">
        <v>5800</v>
      </c>
    </row>
    <row r="263" spans="1:11" ht="28.5" customHeight="1">
      <c r="A263" s="238" t="s">
        <v>221</v>
      </c>
      <c r="B263" s="233"/>
      <c r="C263" s="233">
        <f t="shared" si="39"/>
        <v>2640</v>
      </c>
      <c r="D263" s="233"/>
      <c r="E263" s="233">
        <v>2640</v>
      </c>
      <c r="F263" s="233">
        <f t="shared" si="40"/>
        <v>2640</v>
      </c>
      <c r="G263" s="233"/>
      <c r="H263" s="233">
        <v>2640</v>
      </c>
      <c r="I263" s="233">
        <f t="shared" si="41"/>
        <v>2640</v>
      </c>
      <c r="J263" s="233"/>
      <c r="K263" s="233">
        <v>2640</v>
      </c>
    </row>
    <row r="264" spans="1:11" ht="28.5" customHeight="1">
      <c r="A264" s="238" t="s">
        <v>222</v>
      </c>
      <c r="B264" s="233"/>
      <c r="C264" s="233">
        <f t="shared" si="39"/>
        <v>9360</v>
      </c>
      <c r="D264" s="233"/>
      <c r="E264" s="233">
        <v>9360</v>
      </c>
      <c r="F264" s="233">
        <f t="shared" si="40"/>
        <v>9360</v>
      </c>
      <c r="G264" s="233"/>
      <c r="H264" s="233">
        <v>9360</v>
      </c>
      <c r="I264" s="233">
        <f t="shared" si="41"/>
        <v>9360</v>
      </c>
      <c r="J264" s="233"/>
      <c r="K264" s="233">
        <v>9360</v>
      </c>
    </row>
    <row r="265" spans="1:11" ht="28.5" customHeight="1">
      <c r="A265" s="238" t="s">
        <v>252</v>
      </c>
      <c r="B265" s="233"/>
      <c r="C265" s="233">
        <f t="shared" si="39"/>
        <v>2500</v>
      </c>
      <c r="D265" s="233"/>
      <c r="E265" s="233">
        <v>2500</v>
      </c>
      <c r="F265" s="233">
        <f t="shared" si="40"/>
        <v>2500</v>
      </c>
      <c r="G265" s="233"/>
      <c r="H265" s="233">
        <v>2500</v>
      </c>
      <c r="I265" s="233">
        <f t="shared" si="41"/>
        <v>2500</v>
      </c>
      <c r="J265" s="233"/>
      <c r="K265" s="233">
        <v>2500</v>
      </c>
    </row>
    <row r="266" spans="1:11" ht="28.5" customHeight="1">
      <c r="A266" s="238" t="s">
        <v>224</v>
      </c>
      <c r="B266" s="233"/>
      <c r="C266" s="233">
        <f t="shared" si="39"/>
        <v>8000</v>
      </c>
      <c r="D266" s="233"/>
      <c r="E266" s="233">
        <v>8000</v>
      </c>
      <c r="F266" s="233">
        <f t="shared" si="40"/>
        <v>8000</v>
      </c>
      <c r="G266" s="233"/>
      <c r="H266" s="233">
        <v>8000</v>
      </c>
      <c r="I266" s="233">
        <f t="shared" si="41"/>
        <v>8000</v>
      </c>
      <c r="J266" s="233"/>
      <c r="K266" s="233">
        <v>8000</v>
      </c>
    </row>
    <row r="267" spans="1:11" ht="54.75" customHeight="1">
      <c r="A267" s="35" t="s">
        <v>318</v>
      </c>
      <c r="B267" s="233">
        <f>C267+F267+I267</f>
        <v>16800000</v>
      </c>
      <c r="C267" s="233">
        <f>'Додаток 3'!H151*1000</f>
        <v>16800000</v>
      </c>
      <c r="D267" s="233"/>
      <c r="E267" s="233">
        <f>'Додаток 3'!I151*1000</f>
        <v>16800000</v>
      </c>
      <c r="F267" s="233"/>
      <c r="G267" s="233"/>
      <c r="H267" s="233">
        <f>'Додаток 3'!J152*1000</f>
        <v>0</v>
      </c>
      <c r="I267" s="233"/>
      <c r="J267" s="233"/>
      <c r="K267" s="233">
        <f>'Додаток 3'!K152*1000</f>
        <v>0</v>
      </c>
    </row>
    <row r="268" spans="1:11" ht="28.5" customHeight="1">
      <c r="A268" s="230" t="s">
        <v>81</v>
      </c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</row>
    <row r="269" spans="1:11" ht="28.5" customHeight="1">
      <c r="A269" s="120" t="s">
        <v>253</v>
      </c>
      <c r="B269" s="118"/>
      <c r="C269" s="233">
        <f>E269</f>
        <v>63</v>
      </c>
      <c r="D269" s="233"/>
      <c r="E269" s="233">
        <f>5+15+1+12+6+7+2+5+6+4</f>
        <v>63</v>
      </c>
      <c r="F269" s="233">
        <f>H269</f>
        <v>63</v>
      </c>
      <c r="G269" s="119"/>
      <c r="H269" s="233">
        <v>63</v>
      </c>
      <c r="I269" s="233">
        <f>K269</f>
        <v>63</v>
      </c>
      <c r="J269" s="233"/>
      <c r="K269" s="233">
        <v>63</v>
      </c>
    </row>
    <row r="270" spans="1:11" ht="57" customHeight="1">
      <c r="A270" s="120" t="s">
        <v>320</v>
      </c>
      <c r="B270" s="118"/>
      <c r="C270" s="233">
        <f t="shared" ref="C270:C275" si="42">E270</f>
        <v>19</v>
      </c>
      <c r="D270" s="233"/>
      <c r="E270" s="233">
        <v>19</v>
      </c>
      <c r="F270" s="233">
        <f t="shared" ref="F270:F275" si="43">H270</f>
        <v>19</v>
      </c>
      <c r="G270" s="119"/>
      <c r="H270" s="233">
        <v>19</v>
      </c>
      <c r="I270" s="233">
        <f t="shared" ref="I270:I275" si="44">K270</f>
        <v>19</v>
      </c>
      <c r="J270" s="233"/>
      <c r="K270" s="233">
        <v>19</v>
      </c>
    </row>
    <row r="271" spans="1:11" ht="28.5" customHeight="1">
      <c r="A271" s="238" t="s">
        <v>220</v>
      </c>
      <c r="B271" s="118"/>
      <c r="C271" s="233">
        <f t="shared" si="42"/>
        <v>5</v>
      </c>
      <c r="D271" s="233"/>
      <c r="E271" s="233">
        <v>5</v>
      </c>
      <c r="F271" s="233">
        <f t="shared" si="43"/>
        <v>5</v>
      </c>
      <c r="G271" s="119"/>
      <c r="H271" s="233">
        <v>5</v>
      </c>
      <c r="I271" s="233">
        <f t="shared" si="44"/>
        <v>5</v>
      </c>
      <c r="J271" s="233"/>
      <c r="K271" s="233">
        <v>5</v>
      </c>
    </row>
    <row r="272" spans="1:11" ht="28.5" customHeight="1">
      <c r="A272" s="238" t="s">
        <v>221</v>
      </c>
      <c r="B272" s="118"/>
      <c r="C272" s="233">
        <f t="shared" si="42"/>
        <v>5</v>
      </c>
      <c r="D272" s="233"/>
      <c r="E272" s="233">
        <v>5</v>
      </c>
      <c r="F272" s="233">
        <f t="shared" si="43"/>
        <v>5</v>
      </c>
      <c r="G272" s="119"/>
      <c r="H272" s="233">
        <v>5</v>
      </c>
      <c r="I272" s="233">
        <f t="shared" si="44"/>
        <v>5</v>
      </c>
      <c r="J272" s="233"/>
      <c r="K272" s="233">
        <v>5</v>
      </c>
    </row>
    <row r="273" spans="1:11" ht="28.5" customHeight="1">
      <c r="A273" s="238" t="s">
        <v>222</v>
      </c>
      <c r="B273" s="118"/>
      <c r="C273" s="233">
        <f t="shared" si="42"/>
        <v>6</v>
      </c>
      <c r="D273" s="233"/>
      <c r="E273" s="233">
        <v>6</v>
      </c>
      <c r="F273" s="233">
        <f t="shared" si="43"/>
        <v>6</v>
      </c>
      <c r="G273" s="119"/>
      <c r="H273" s="233">
        <v>6</v>
      </c>
      <c r="I273" s="233">
        <f t="shared" si="44"/>
        <v>6</v>
      </c>
      <c r="J273" s="233"/>
      <c r="K273" s="233">
        <v>6</v>
      </c>
    </row>
    <row r="274" spans="1:11" ht="28.5" customHeight="1">
      <c r="A274" s="238" t="s">
        <v>223</v>
      </c>
      <c r="B274" s="118"/>
      <c r="C274" s="233">
        <f t="shared" si="42"/>
        <v>1</v>
      </c>
      <c r="D274" s="233"/>
      <c r="E274" s="233">
        <v>1</v>
      </c>
      <c r="F274" s="233">
        <f t="shared" si="43"/>
        <v>1</v>
      </c>
      <c r="G274" s="119"/>
      <c r="H274" s="233">
        <v>1</v>
      </c>
      <c r="I274" s="233">
        <f t="shared" si="44"/>
        <v>1</v>
      </c>
      <c r="J274" s="233"/>
      <c r="K274" s="233">
        <v>1</v>
      </c>
    </row>
    <row r="275" spans="1:11" ht="28.5" customHeight="1">
      <c r="A275" s="238" t="s">
        <v>224</v>
      </c>
      <c r="B275" s="118"/>
      <c r="C275" s="233">
        <f t="shared" si="42"/>
        <v>2</v>
      </c>
      <c r="D275" s="233"/>
      <c r="E275" s="233">
        <v>2</v>
      </c>
      <c r="F275" s="233">
        <f t="shared" si="43"/>
        <v>2</v>
      </c>
      <c r="G275" s="119"/>
      <c r="H275" s="233">
        <v>2</v>
      </c>
      <c r="I275" s="233">
        <f t="shared" si="44"/>
        <v>2</v>
      </c>
      <c r="J275" s="233"/>
      <c r="K275" s="233">
        <v>2</v>
      </c>
    </row>
    <row r="276" spans="1:11" ht="28.5" customHeight="1">
      <c r="A276" s="120" t="s">
        <v>254</v>
      </c>
      <c r="B276" s="118"/>
      <c r="C276" s="233">
        <v>1</v>
      </c>
      <c r="D276" s="233"/>
      <c r="E276" s="233">
        <v>1</v>
      </c>
      <c r="F276" s="233">
        <v>1</v>
      </c>
      <c r="G276" s="119"/>
      <c r="H276" s="233">
        <v>1</v>
      </c>
      <c r="I276" s="233">
        <v>1</v>
      </c>
      <c r="J276" s="233"/>
      <c r="K276" s="233">
        <v>1</v>
      </c>
    </row>
    <row r="277" spans="1:11" ht="28.5" customHeight="1">
      <c r="A277" s="230" t="s">
        <v>82</v>
      </c>
      <c r="B277" s="118"/>
      <c r="C277" s="233"/>
      <c r="D277" s="233"/>
      <c r="E277" s="233"/>
      <c r="F277" s="233"/>
      <c r="G277" s="233"/>
      <c r="H277" s="233"/>
      <c r="I277" s="233"/>
      <c r="J277" s="233"/>
      <c r="K277" s="233"/>
    </row>
    <row r="278" spans="1:11" ht="39.75" customHeight="1">
      <c r="A278" s="120" t="s">
        <v>269</v>
      </c>
      <c r="B278" s="118"/>
      <c r="C278" s="233"/>
      <c r="D278" s="233"/>
      <c r="E278" s="233">
        <f>E260/E269</f>
        <v>1270317.4603174604</v>
      </c>
      <c r="F278" s="233"/>
      <c r="G278" s="233"/>
      <c r="H278" s="233">
        <f>H260/H269</f>
        <v>1270317.4603174604</v>
      </c>
      <c r="I278" s="233"/>
      <c r="J278" s="233"/>
      <c r="K278" s="233">
        <f>K260/K269</f>
        <v>1270317.4603174604</v>
      </c>
    </row>
    <row r="279" spans="1:11" ht="43.5" customHeight="1">
      <c r="A279" s="120" t="s">
        <v>319</v>
      </c>
      <c r="B279" s="118"/>
      <c r="C279" s="233"/>
      <c r="D279" s="233"/>
      <c r="E279" s="233"/>
      <c r="F279" s="233"/>
      <c r="G279" s="233"/>
      <c r="H279" s="233"/>
      <c r="I279" s="233"/>
      <c r="J279" s="233"/>
      <c r="K279" s="233"/>
    </row>
    <row r="280" spans="1:11" ht="28.5" customHeight="1">
      <c r="A280" s="238" t="s">
        <v>220</v>
      </c>
      <c r="B280" s="118"/>
      <c r="C280" s="233"/>
      <c r="D280" s="233"/>
      <c r="E280" s="233">
        <f>E262/E271</f>
        <v>1160</v>
      </c>
      <c r="F280" s="233"/>
      <c r="G280" s="233"/>
      <c r="H280" s="233">
        <f>H262/H271</f>
        <v>1160</v>
      </c>
      <c r="I280" s="233"/>
      <c r="J280" s="233"/>
      <c r="K280" s="233">
        <f>K262/K271</f>
        <v>1160</v>
      </c>
    </row>
    <row r="281" spans="1:11" ht="28.5" customHeight="1">
      <c r="A281" s="238" t="s">
        <v>221</v>
      </c>
      <c r="B281" s="118"/>
      <c r="C281" s="233"/>
      <c r="D281" s="233"/>
      <c r="E281" s="233">
        <f t="shared" ref="E281:E284" si="45">E263/E272</f>
        <v>528</v>
      </c>
      <c r="F281" s="233"/>
      <c r="G281" s="233"/>
      <c r="H281" s="233">
        <f t="shared" ref="H281:H284" si="46">H263/H272</f>
        <v>528</v>
      </c>
      <c r="I281" s="233"/>
      <c r="J281" s="233"/>
      <c r="K281" s="233">
        <f>K263/K272</f>
        <v>528</v>
      </c>
    </row>
    <row r="282" spans="1:11" ht="28.5" customHeight="1">
      <c r="A282" s="238" t="s">
        <v>222</v>
      </c>
      <c r="B282" s="118"/>
      <c r="C282" s="233"/>
      <c r="D282" s="233"/>
      <c r="E282" s="233">
        <f t="shared" si="45"/>
        <v>1560</v>
      </c>
      <c r="F282" s="233"/>
      <c r="G282" s="233"/>
      <c r="H282" s="233">
        <f t="shared" si="46"/>
        <v>1560</v>
      </c>
      <c r="I282" s="233"/>
      <c r="J282" s="233"/>
      <c r="K282" s="233">
        <f t="shared" ref="K282:K284" si="47">K264/K273</f>
        <v>1560</v>
      </c>
    </row>
    <row r="283" spans="1:11" ht="28.5" customHeight="1">
      <c r="A283" s="238" t="s">
        <v>223</v>
      </c>
      <c r="B283" s="118"/>
      <c r="C283" s="233"/>
      <c r="D283" s="233"/>
      <c r="E283" s="233">
        <f t="shared" si="45"/>
        <v>2500</v>
      </c>
      <c r="F283" s="233"/>
      <c r="G283" s="233"/>
      <c r="H283" s="233">
        <f t="shared" si="46"/>
        <v>2500</v>
      </c>
      <c r="I283" s="233"/>
      <c r="J283" s="233"/>
      <c r="K283" s="233">
        <f t="shared" si="47"/>
        <v>2500</v>
      </c>
    </row>
    <row r="284" spans="1:11" ht="28.5" customHeight="1">
      <c r="A284" s="238" t="s">
        <v>224</v>
      </c>
      <c r="B284" s="118"/>
      <c r="C284" s="233"/>
      <c r="D284" s="233"/>
      <c r="E284" s="233">
        <f t="shared" si="45"/>
        <v>4000</v>
      </c>
      <c r="F284" s="233"/>
      <c r="G284" s="233"/>
      <c r="H284" s="233">
        <f t="shared" si="46"/>
        <v>4000</v>
      </c>
      <c r="I284" s="233"/>
      <c r="J284" s="233"/>
      <c r="K284" s="233">
        <f t="shared" si="47"/>
        <v>4000</v>
      </c>
    </row>
    <row r="285" spans="1:11" ht="28.5" customHeight="1">
      <c r="A285" s="120" t="s">
        <v>268</v>
      </c>
      <c r="B285" s="118"/>
      <c r="C285" s="233"/>
      <c r="D285" s="233"/>
      <c r="E285" s="233">
        <f>E267/E276</f>
        <v>16800000</v>
      </c>
      <c r="F285" s="233"/>
      <c r="G285" s="233"/>
      <c r="H285" s="233"/>
      <c r="I285" s="233"/>
      <c r="J285" s="233"/>
      <c r="K285" s="233"/>
    </row>
    <row r="286" spans="1:11" s="36" customFormat="1" ht="28.5" customHeight="1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s="36" customFormat="1" ht="28.5" customHeight="1">
      <c r="A287" s="49" t="s">
        <v>167</v>
      </c>
      <c r="B287" s="38"/>
      <c r="C287" s="39"/>
      <c r="D287" s="39"/>
      <c r="E287" s="39"/>
      <c r="F287" s="39"/>
      <c r="G287" s="39"/>
      <c r="H287" s="39"/>
      <c r="I287" s="53" t="s">
        <v>416</v>
      </c>
      <c r="J287" s="39"/>
      <c r="K287" s="39"/>
    </row>
    <row r="288" spans="1:11" s="36" customFormat="1" ht="28.5" customHeight="1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s="36" customFormat="1" ht="28.5" customHeight="1">
      <c r="A289" s="47" t="s">
        <v>25</v>
      </c>
      <c r="B289" s="49"/>
      <c r="C289" s="50"/>
      <c r="D289" s="51"/>
      <c r="E289" s="49"/>
      <c r="F289" s="52"/>
      <c r="G289" s="52"/>
      <c r="H289" s="52"/>
      <c r="J289" s="43"/>
      <c r="K289" s="45"/>
    </row>
    <row r="290" spans="1:11" s="36" customFormat="1" ht="28.5" customHeight="1">
      <c r="A290" s="40"/>
      <c r="B290" s="40"/>
      <c r="C290" s="41"/>
      <c r="D290" s="42"/>
      <c r="E290" s="40"/>
      <c r="F290" s="43"/>
      <c r="G290" s="43"/>
      <c r="H290" s="43"/>
      <c r="I290" s="44"/>
      <c r="J290" s="43"/>
      <c r="K290" s="45"/>
    </row>
    <row r="291" spans="1:11" ht="28.5" customHeight="1">
      <c r="B291" s="40"/>
      <c r="C291" s="48"/>
      <c r="D291" s="42"/>
      <c r="E291" s="40"/>
      <c r="F291" s="43"/>
      <c r="G291" s="43"/>
      <c r="H291" s="43"/>
      <c r="I291" s="43"/>
      <c r="J291" s="43"/>
      <c r="K291" s="46"/>
    </row>
    <row r="292" spans="1:11" ht="28.5" customHeight="1">
      <c r="A292" s="40"/>
      <c r="B292" s="40"/>
      <c r="C292" s="40"/>
      <c r="D292" s="42"/>
      <c r="E292" s="40"/>
      <c r="F292" s="43"/>
      <c r="G292" s="43"/>
      <c r="H292" s="43"/>
      <c r="I292" s="43"/>
      <c r="J292" s="43"/>
      <c r="K292" s="46"/>
    </row>
    <row r="293" spans="1:11" ht="28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</row>
  </sheetData>
  <mergeCells count="47">
    <mergeCell ref="L108:T109"/>
    <mergeCell ref="A171:K171"/>
    <mergeCell ref="A183:K183"/>
    <mergeCell ref="A192:K192"/>
    <mergeCell ref="A208:K208"/>
    <mergeCell ref="A217:K217"/>
    <mergeCell ref="A118:K118"/>
    <mergeCell ref="A129:K129"/>
    <mergeCell ref="A145:K145"/>
    <mergeCell ref="A146:K146"/>
    <mergeCell ref="A157:K157"/>
    <mergeCell ref="A156:K156"/>
    <mergeCell ref="A93:K93"/>
    <mergeCell ref="B17:K17"/>
    <mergeCell ref="A22:K22"/>
    <mergeCell ref="A32:K32"/>
    <mergeCell ref="A41:K41"/>
    <mergeCell ref="A58:K58"/>
    <mergeCell ref="A57:K57"/>
    <mergeCell ref="H2:K2"/>
    <mergeCell ref="A14:K14"/>
    <mergeCell ref="A13:K13"/>
    <mergeCell ref="H3:K3"/>
    <mergeCell ref="A5:K5"/>
    <mergeCell ref="A7:A10"/>
    <mergeCell ref="B7:B10"/>
    <mergeCell ref="C7:E8"/>
    <mergeCell ref="F7:H8"/>
    <mergeCell ref="I7:K8"/>
    <mergeCell ref="C9:C10"/>
    <mergeCell ref="G9:H9"/>
    <mergeCell ref="A257:K257"/>
    <mergeCell ref="A254:K254"/>
    <mergeCell ref="L251:L253"/>
    <mergeCell ref="A233:K233"/>
    <mergeCell ref="I9:I10"/>
    <mergeCell ref="J9:K9"/>
    <mergeCell ref="A181:K181"/>
    <mergeCell ref="A236:K236"/>
    <mergeCell ref="A256:K256"/>
    <mergeCell ref="B16:K16"/>
    <mergeCell ref="D9:E9"/>
    <mergeCell ref="F9:F10"/>
    <mergeCell ref="A21:K21"/>
    <mergeCell ref="A68:K68"/>
    <mergeCell ref="A77:K77"/>
    <mergeCell ref="A84:K84"/>
  </mergeCells>
  <pageMargins left="0.5" right="0.43307086614173229" top="0.78740157480314965" bottom="0.39370078740157483" header="0.31496062992125984" footer="0.31496062992125984"/>
  <pageSetup paperSize="9" scale="41" fitToHeight="11" orientation="landscape" r:id="rId1"/>
  <rowBreaks count="3" manualBreakCount="3">
    <brk id="60" max="10" man="1"/>
    <brk id="91" max="10" man="1"/>
    <brk id="1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Додаток 1</vt:lpstr>
      <vt:lpstr>Додаток 2</vt:lpstr>
      <vt:lpstr>Додаток 3</vt:lpstr>
      <vt:lpstr>Додаток 4</vt:lpstr>
      <vt:lpstr>'Додаток 3'!Заголовки_для_печати</vt:lpstr>
      <vt:lpstr>'Додаток 4'!Заголовки_для_печати</vt:lpstr>
      <vt:lpstr>'Додаток 1'!Область_печати</vt:lpstr>
      <vt:lpstr>'Додаток 2'!Область_печати</vt:lpstr>
      <vt:lpstr>'Додаток 3'!Область_печати</vt:lpstr>
      <vt:lpstr>'Додаток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2022-01-27T13:27:29Z</cp:lastPrinted>
  <dcterms:created xsi:type="dcterms:W3CDTF">1996-10-08T23:32:33Z</dcterms:created>
  <dcterms:modified xsi:type="dcterms:W3CDTF">2022-01-27T13:27:32Z</dcterms:modified>
</cp:coreProperties>
</file>