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КОНОМИКА\Програма ПСЕР\Програма\2021 рік\Серпень\Доопрацьовано СМР\ДРУК\"/>
    </mc:Choice>
  </mc:AlternateContent>
  <bookViews>
    <workbookView xWindow="-120" yWindow="-120" windowWidth="29040" windowHeight="15840" tabRatio="605"/>
  </bookViews>
  <sheets>
    <sheet name="dodatok" sheetId="20" r:id="rId1"/>
  </sheets>
  <definedNames>
    <definedName name="_xlnm._FilterDatabase" localSheetId="0" hidden="1">dodatok!$A$15:$G$15</definedName>
    <definedName name="_xlnm.Print_Titles" localSheetId="0">dodatok!$13:$15</definedName>
    <definedName name="_xlnm.Print_Area" localSheetId="0">dodatok!$A$1:$G$414</definedName>
  </definedNames>
  <calcPr calcId="162913"/>
</workbook>
</file>

<file path=xl/calcChain.xml><?xml version="1.0" encoding="utf-8"?>
<calcChain xmlns="http://schemas.openxmlformats.org/spreadsheetml/2006/main">
  <c r="F83" i="20" l="1"/>
  <c r="F378" i="20" l="1"/>
  <c r="F180" i="20"/>
  <c r="F335" i="20" l="1"/>
  <c r="F337" i="20"/>
  <c r="F322" i="20"/>
  <c r="F84" i="20"/>
  <c r="F41" i="20" s="1"/>
  <c r="F158" i="20"/>
  <c r="F334" i="20" l="1"/>
  <c r="F220" i="20"/>
  <c r="F291" i="20" l="1"/>
  <c r="F254" i="20"/>
  <c r="F249" i="20"/>
  <c r="F209" i="20"/>
  <c r="F43" i="20" l="1"/>
  <c r="F333" i="20"/>
  <c r="F262" i="20"/>
  <c r="F261" i="20"/>
  <c r="F164" i="20"/>
  <c r="F23" i="20"/>
  <c r="F24" i="20"/>
  <c r="F358" i="20"/>
  <c r="F259" i="20"/>
  <c r="F105" i="20"/>
  <c r="F272" i="20"/>
  <c r="F384" i="20"/>
  <c r="F369" i="20"/>
  <c r="F340" i="20"/>
  <c r="F342" i="20"/>
  <c r="F290" i="20"/>
  <c r="F252" i="20"/>
  <c r="F229" i="20"/>
  <c r="F205" i="20"/>
  <c r="F136" i="20"/>
  <c r="F339" i="20" l="1"/>
  <c r="F256" i="20"/>
  <c r="F75" i="20" l="1"/>
  <c r="F77" i="20"/>
  <c r="F76" i="20"/>
  <c r="F74" i="20"/>
  <c r="F72" i="20" l="1"/>
  <c r="F42" i="20"/>
  <c r="F375" i="20"/>
  <c r="F360" i="20"/>
  <c r="F356" i="20" s="1"/>
  <c r="F299" i="20"/>
  <c r="F297" i="20"/>
  <c r="F283" i="20"/>
  <c r="F282" i="20" s="1"/>
  <c r="F292" i="20" l="1"/>
  <c r="F80" i="20" l="1"/>
  <c r="F78" i="20"/>
  <c r="F50" i="20"/>
  <c r="F44" i="20"/>
  <c r="F248" i="20"/>
  <c r="F176" i="20"/>
  <c r="F203" i="20"/>
  <c r="F319" i="20"/>
  <c r="F320" i="20"/>
  <c r="F318" i="20" s="1"/>
  <c r="F188" i="20"/>
  <c r="F183" i="20"/>
  <c r="F181" i="20"/>
  <c r="F177" i="20"/>
  <c r="F179" i="20" l="1"/>
  <c r="F175" i="20" s="1"/>
  <c r="F109" i="20"/>
  <c r="F234" i="20"/>
  <c r="F194" i="20"/>
  <c r="F190" i="20" s="1"/>
  <c r="F119" i="20" l="1"/>
  <c r="F69" i="20" l="1"/>
  <c r="F68" i="20"/>
  <c r="F66" i="20"/>
  <c r="F73" i="20" l="1"/>
  <c r="F65" i="20"/>
  <c r="F63" i="20" l="1"/>
  <c r="F70" i="20"/>
  <c r="F71" i="20" s="1"/>
  <c r="F223" i="20"/>
  <c r="F222" i="20"/>
  <c r="F208" i="20" l="1"/>
  <c r="F39" i="20"/>
  <c r="F79" i="20"/>
  <c r="F40" i="20" l="1"/>
  <c r="F347" i="20"/>
  <c r="F226" i="20" l="1"/>
  <c r="F224" i="20"/>
  <c r="F368" i="20"/>
  <c r="F301" i="20" l="1"/>
  <c r="F267" i="20" l="1"/>
  <c r="F376" i="20"/>
  <c r="F238" i="20"/>
  <c r="F56" i="20" l="1"/>
  <c r="F54" i="20"/>
  <c r="F51" i="20" l="1"/>
  <c r="F233" i="20" l="1"/>
  <c r="F311" i="20" l="1"/>
  <c r="F215" i="20"/>
  <c r="F214" i="20"/>
  <c r="F309" i="20" l="1"/>
  <c r="F213" i="20"/>
  <c r="F212" i="20"/>
  <c r="F310" i="20"/>
  <c r="F308" i="20" l="1"/>
  <c r="F247" i="20"/>
  <c r="F202" i="20"/>
  <c r="F38" i="20"/>
  <c r="F81" i="20" l="1"/>
  <c r="F58" i="20" l="1"/>
  <c r="F60" i="20"/>
  <c r="F52" i="20" l="1"/>
  <c r="F46" i="20"/>
  <c r="F48" i="20"/>
  <c r="F36" i="20" l="1"/>
  <c r="F29" i="20"/>
  <c r="F197" i="20"/>
  <c r="F271" i="20"/>
  <c r="F325" i="20" l="1"/>
  <c r="F172" i="20"/>
  <c r="F85" i="20"/>
  <c r="F47" i="20" l="1"/>
  <c r="F37" i="20" l="1"/>
  <c r="F403" i="20" s="1"/>
  <c r="F399" i="20"/>
  <c r="F35" i="20" l="1"/>
  <c r="F404" i="20" s="1"/>
  <c r="F45" i="20" l="1"/>
  <c r="F395" i="20" l="1"/>
  <c r="F392" i="20"/>
  <c r="F389" i="20"/>
  <c r="F388" i="20"/>
  <c r="F383" i="20"/>
  <c r="F381" i="20"/>
  <c r="F352" i="20"/>
  <c r="F350" i="20"/>
  <c r="F345" i="20"/>
  <c r="F326" i="20"/>
  <c r="F305" i="20"/>
  <c r="F279" i="20"/>
  <c r="F250" i="20"/>
  <c r="F243" i="20"/>
  <c r="F230" i="20"/>
  <c r="F221" i="20" s="1"/>
  <c r="F210" i="20"/>
  <c r="F201" i="20"/>
  <c r="F31" i="20"/>
  <c r="F27" i="20"/>
  <c r="F25" i="20"/>
  <c r="F21" i="20"/>
  <c r="F16" i="20" l="1"/>
  <c r="F200" i="20"/>
  <c r="F235" i="20"/>
  <c r="F332" i="20"/>
  <c r="F246" i="20"/>
  <c r="F255" i="20"/>
  <c r="F281" i="20"/>
  <c r="F349" i="20"/>
  <c r="F387" i="20"/>
  <c r="F394" i="20"/>
  <c r="F355" i="20"/>
  <c r="F245" i="20" l="1"/>
  <c r="F34" i="20"/>
  <c r="F405" i="20"/>
  <c r="F386" i="20"/>
  <c r="F331" i="20" s="1"/>
  <c r="D274" i="20" l="1"/>
  <c r="F402" i="20" l="1"/>
</calcChain>
</file>

<file path=xl/sharedStrings.xml><?xml version="1.0" encoding="utf-8"?>
<sst xmlns="http://schemas.openxmlformats.org/spreadsheetml/2006/main" count="606" uniqueCount="348">
  <si>
    <t>Будівництво об'єктів житлово-комунального господарства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</si>
  <si>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</si>
  <si>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</si>
  <si>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</si>
  <si>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</si>
  <si>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</si>
  <si>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</si>
  <si>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</si>
  <si>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</si>
  <si>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</si>
  <si>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</si>
  <si>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</si>
  <si>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</si>
  <si>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</si>
  <si>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</si>
  <si>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</si>
  <si>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</si>
  <si>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</si>
  <si>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</si>
  <si>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</si>
  <si>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</si>
  <si>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</si>
  <si>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</si>
  <si>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Внески до статутного капіталу суб’єктів господарювання</t>
  </si>
  <si>
    <t>Інші заходи у сфері соціального захисту і соціального забезпечення</t>
  </si>
  <si>
    <t>Відділ культури Сумської міської ради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</si>
  <si>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</si>
  <si>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</si>
  <si>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</si>
  <si>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</si>
  <si>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Інші субвенції з місцевого бюджету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</si>
  <si>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</si>
  <si>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</si>
  <si>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</si>
  <si>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</si>
  <si>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Капітальний ремонт житлового фонду (приміщень)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</si>
  <si>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</si>
  <si>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</si>
  <si>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</si>
  <si>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</si>
  <si>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</si>
  <si>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</si>
  <si>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</si>
  <si>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Капітальний ремонт інших об`єктів, у т.ч. за рахунок:</t>
  </si>
  <si>
    <t>місцевого запозичення</t>
  </si>
  <si>
    <t>Всього видатків, у т.ч. за рахунок: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</si>
  <si>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</si>
  <si>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</si>
  <si>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</si>
  <si>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</si>
  <si>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</si>
  <si>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</si>
  <si>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</si>
  <si>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>КП «Центр догляду за тваринами» Сумської міської ради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</si>
  <si>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</si>
  <si>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</si>
  <si>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</si>
  <si>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</si>
  <si>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</si>
  <si>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</si>
  <si>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</si>
  <si>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</si>
  <si>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</si>
  <si>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</si>
  <si>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</si>
  <si>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</si>
  <si>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</si>
  <si>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</si>
  <si>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</si>
  <si>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</si>
  <si>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</si>
  <si>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</si>
  <si>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</si>
  <si>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</si>
  <si>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</si>
  <si>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</si>
  <si>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</si>
  <si>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</si>
  <si>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</si>
  <si>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</si>
  <si>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</si>
  <si>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</si>
  <si>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</si>
  <si>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</si>
  <si>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</si>
  <si>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</si>
  <si>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</si>
  <si>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</si>
  <si>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</si>
  <si>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</si>
  <si>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</si>
  <si>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</si>
  <si>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</si>
  <si>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</si>
  <si>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</si>
  <si>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</si>
  <si>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</si>
  <si>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</si>
  <si>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</si>
  <si>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</si>
  <si>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</si>
  <si>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</si>
  <si>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</si>
  <si>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</si>
  <si>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</si>
  <si>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</si>
  <si>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</si>
  <si>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</si>
  <si>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дошкільних навчальних закладів в м. Суми, у т.ч. за рахунок:</t>
  </si>
  <si>
    <t xml:space="preserve">місцевого запозичення </t>
  </si>
  <si>
    <t xml:space="preserve">Внески до статутного капіталу суб’єктів господарювання, в т. ч. за рахунок:                          </t>
  </si>
  <si>
    <t>КП «Міськводоканал» Сумської міської ради, в тому числі за рахунок:</t>
  </si>
  <si>
    <t>Капітальний ремонт по утепленню фасаду (спорткомплекс Авангард) по вулиці  Праці, 5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</si>
  <si>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</si>
  <si>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</si>
  <si>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</si>
  <si>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приміщення Центру реінтеграції бездомних осіб за адресою: м. Суми, вул. Робітниче селище, 14</t>
  </si>
  <si>
    <t>Капітальний ремонт будівлі по вул. Герасима Кондратьєва, 157 в м. Суми</t>
  </si>
  <si>
    <t xml:space="preserve">КП СМР «Електроавтотранс»                                        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</si>
  <si>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</si>
  <si>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Нове будівництво дитячого майданчика в районі житлового будинку № 89 по вул. Роменській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</si>
  <si>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</si>
  <si>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</si>
  <si>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</si>
  <si>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</si>
  <si>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</si>
  <si>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</si>
  <si>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</si>
  <si>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>Капітальний ремонт будівлі Комунального закладу Сумський Палац дітей та юнацтва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</si>
  <si>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</si>
  <si>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</si>
  <si>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</si>
  <si>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Капітальне будівництво (придбання) інших об'єктів</t>
  </si>
  <si>
    <t>Реконструкція житлового фонду (приміщень)</t>
  </si>
  <si>
    <t>Реконструкція зовнішніх теплових мереж та мереж водовідведення на площі Незалежності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</si>
  <si>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</si>
  <si>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Субвенція з місцевого бюджету на співфінансування інвестиційних проектів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</si>
  <si>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</si>
  <si>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1-го поверху КУ «ССШ № 3» по вул. 20 років Перемоги, 9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</si>
  <si>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</si>
  <si>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</si>
  <si>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</si>
  <si>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</si>
  <si>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</si>
  <si>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Нове будівництво тепломережі від ТК-208/1 до ТК-214/5 по вул. Юрія Вєтрова, 4 в м. Суми</t>
  </si>
  <si>
    <t>Будівництво  освітніх установ та закладів</t>
  </si>
  <si>
    <t>субвенцій з державного бюджету місцевим бюджетам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</si>
  <si>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</si>
  <si>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</si>
  <si>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</si>
  <si>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2020-2022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</si>
  <si>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</si>
  <si>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</si>
  <si>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</si>
  <si>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</si>
  <si>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</si>
  <si>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Сумської міської ради – Сумський міський центр еколого - натуралістичної творчості учнівської молоді</t>
  </si>
  <si>
    <t xml:space="preserve">Реконструкція стадіону «Авангард» 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</si>
  <si>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</si>
  <si>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</si>
  <si>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</si>
  <si>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</si>
  <si>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 xml:space="preserve">Капітальний ремонт сходинок на центральному вході в будівлю Сумського дошкільного навчального закладу (ясла - садок) № 6 «Метелик» м.Суми, Сумської області </t>
  </si>
  <si>
    <t>Інші заходи у сфері зв'язку, телекомунікації та інформатики</t>
  </si>
  <si>
    <t>Нове будівництво комплексної системи відеоспостереження в Сумській міській територіальній громаді</t>
  </si>
  <si>
    <t>Загальна тривалість будівництва (рік початку і завершення)</t>
  </si>
  <si>
    <t>Разом видатків на поточний рік, гривень</t>
  </si>
  <si>
    <t>Управління  освіти і науки Сумської міської ради, в т.ч. за рахунок:</t>
  </si>
  <si>
    <t xml:space="preserve">Управління охорони здоров’я Сумської міської ради, в т.ч. за рахунок:  </t>
  </si>
  <si>
    <t xml:space="preserve">Департамент інфраструктури міста Сумської міської ради, в т.ч. за рахунок: </t>
  </si>
  <si>
    <t>Управління капітального будівництва та дорожнього господарства Сумської міської ради, в т.ч. за рахунок:</t>
  </si>
  <si>
    <t>Надання загальної середньої освіти закладами загальної середньої освіти, в т.ч. за рахунок:</t>
  </si>
  <si>
    <t>Капітальний ремонт закладів дошкільної освіти, в т.ч.:</t>
  </si>
  <si>
    <t>Капітальний ремонт закладів загальної середньої освіти (у тому числі дошкільні підрозділи НВК), в т.ч.:</t>
  </si>
  <si>
    <t>Капітальний ремонт закладів позашкільної освіти, в т.ч.:</t>
  </si>
  <si>
    <r>
      <t xml:space="preserve">Заходи з енергозбереження, в т.ч. за рахунок: </t>
    </r>
    <r>
      <rPr>
        <sz val="14"/>
        <color rgb="FFFF0000"/>
        <rFont val="Times New Roman"/>
        <family val="1"/>
        <charset val="204"/>
      </rPr>
      <t/>
    </r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</si>
  <si>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</si>
  <si>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</si>
  <si>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</si>
  <si>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</si>
  <si>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Керівництво і управління у відповідній сфері у містах (місті Києві), селищах, селах, територіальних громадах</t>
  </si>
  <si>
    <t>Придбання обладнання і предметів довгострокового користування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</si>
  <si>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</si>
  <si>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</si>
  <si>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</si>
  <si>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</si>
  <si>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</si>
  <si>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дошкільної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</si>
  <si>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</si>
  <si>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</si>
  <si>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</si>
  <si>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в т.ч. за рахунок:</t>
  </si>
  <si>
    <t>Лікарсько-акушерська допомога вагітним, породіллям та новонародженим</t>
  </si>
  <si>
    <t>Інші програми та заходи у сфері охорони здоров’я</t>
  </si>
  <si>
    <t>Забезпечення діяльності інших закладів у сфері соціального захисту і соціального забезпечення</t>
  </si>
  <si>
    <t>Забезпечення діяльності бібліотек</t>
  </si>
  <si>
    <t xml:space="preserve">субвенцій з місцевих бюджетів іншим місцевим бюджетам </t>
  </si>
  <si>
    <t>Надання загальної середньої освіти закладами загальної середньої освіти</t>
  </si>
  <si>
    <t xml:space="preserve">Перелік об’єктів будівництва, реконструкції, реставрації, капітального ремонту та інших видатків за рахунок коштів бюджету розвитку бюджету Сумської міської територіальної громади у 2021 році </t>
  </si>
  <si>
    <t>Придбання обладнання і предметів довгострокового користування, в т.ч. за рахунок:</t>
  </si>
  <si>
    <t>Капітальний ремонт інших об'єктів, у т.ч. за рахунок: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</si>
  <si>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в т.ч. за рахунок: </t>
  </si>
  <si>
    <t xml:space="preserve">Капітальний ремонт харчоблоку Великочернеччинського закладу загальної освіти І-ІІІ ступенів Сумської міської ради, в т.ч. за рахунок: </t>
  </si>
  <si>
    <t xml:space="preserve">Капітальний ремонт харчоблоку та їдальні Стецьківського закладу загальної освіти І-ІІІ ступенів Сумської міської ради, в т.ч. за рахунок </t>
  </si>
  <si>
    <t>Субвенція з місцевого бюджету за рахунок залишку коштів освітньої субвенції, що утворився на початок бюджетного періоду, в т.ч. за рахунок:</t>
  </si>
  <si>
    <t>2021-2022</t>
  </si>
  <si>
    <t>Капітальний ремонт інших об'єктів</t>
  </si>
  <si>
    <t>Реставрація пам'яток культури, історії та архітектури</t>
  </si>
  <si>
    <t>Нове будівництво дитячого майданчика в районі житлового будинку № 45 по вул. Прокоф'єва</t>
  </si>
  <si>
    <t>2020-2023</t>
  </si>
  <si>
    <t>Найменування кодів економічної класифікації видатків бюджету /об'єкта будівництва / вид будівельних робіт, у тому числі проектні роботи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</si>
  <si>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    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</si>
  <si>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   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</si>
  <si>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                                              ім. Героя Радянського союзу О.А.Бутка, м. 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</si>
  <si>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                                              м. Суми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</si>
  <si>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                                              ім. Б.Берестовського м. Суми, Сумської області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</si>
  <si>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 І-ІІІ ступенів № 19                                                                          ім. М.С. Нестеровського Сумської міської ради</t>
  </si>
  <si>
    <t>Капітальний ремонт покрівлі Піщанського клубу «Супутник» за адресою:                           с. В.Піщане, вул. Парнянського, 7</t>
  </si>
  <si>
    <t>Капітальний ремонт діючого каналізаційного колектора Д-500 мм по                                      вул. Ремісничій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</si>
  <si>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                                            в м. Суми</t>
  </si>
  <si>
    <t>Реконструкція каналізаційного самопливного колектору Д-1000 мм по                                     вул. 1-ша Набережна р. Стрілка м. Суми (Коригування)</t>
  </si>
  <si>
    <t>Нове будівництво ділянки водогону за адресою: м. Суми, с. Піщане,                                     вул. Вишнева</t>
  </si>
  <si>
    <t>Нове будівництво ділянки водогону за адресою: м. Суми, с.Піщане,                                       вул. Шкільна від будинку № 29</t>
  </si>
  <si>
    <t>Реконструкція стадіону КУ ССШ І-ІІІ ступенів № 25 за адресою: м. Суми,                              вул. Декабристів, 80</t>
  </si>
  <si>
    <t>Реконструкція неврологічного відділення КУ  «СМКЛ № 4»                                                       по вул. Металургів, 38</t>
  </si>
  <si>
    <t>Нове будівництво стадіону з хокею на траві по вул. Героїв Крут, 1/1,  1/2                                            в м. Суми</t>
  </si>
  <si>
    <t xml:space="preserve">Реконструкція футбольного поля в районі будинку № 43 по вул. Люблінська                        в м. Суми </t>
  </si>
  <si>
    <t>Реконструкція спортивного центру «Єдність нації» по вул. Люблінська                            в м. Суми</t>
  </si>
  <si>
    <t>Реконструкція п'ятого поверху адмінбудівлі по вул. Першотравнева, 21                              в м. Суми</t>
  </si>
  <si>
    <t xml:space="preserve">Нове будівництво дитячого садка у 12 мікрорайоні за адресою: м. Суми,                              вул. Інтернаціоналістів, 35 </t>
  </si>
  <si>
    <t>Капітальний ремонт системи освітлення КУ Сумська ЗОШ № 20                                    по вул. Металургів, 71 в м. Суми</t>
  </si>
  <si>
    <t>Реконструкція - термомодернізація будівлі КУ Сумська СШ № 9                                         по вул. Даргомижського, 3 в м. Суми</t>
  </si>
  <si>
    <t>Капітальний ремонт даху Сумського дошкільного навчального закладу                                         (ясла - садок) № 8 «Космічний» м.Суми, Сумської області, проспект Михайла Лушпи, 34</t>
  </si>
  <si>
    <t xml:space="preserve">Капітальний ремонт покрівлі Сумського закладу загальної середньої освіти                                І-ІІІ ступенів № 21 Сумської міської ради </t>
  </si>
  <si>
    <t xml:space="preserve">Капітальний ремонт приміщення майстерні Комунальної установи                                     В. Піщанська загальноосвітня школа I-II ступенів м. Суми, Сумської області </t>
  </si>
  <si>
    <t>Реконструкція (санація) самотічного каналізаційного колектора Д-500                                  від вул. 1-ої Замостянської по вул.Черкаській до перехрестя вул.Черкаської із вул.Лінійною в м.Суми</t>
  </si>
  <si>
    <t>Нове будівництво тротуару вздовж дороги в селі Верхнє Піщане                                           по вул. Парнянській (з обох сторін проїзної частини)</t>
  </si>
  <si>
    <t>Капітальний ремонт приміщення за адресою м. Суми вул. Горького, 21                            (3 поверх)</t>
  </si>
  <si>
    <t>Реставрація покрівлі та фасаду житлового будинку по вул.Соборна, 32                                  в м. Суми (пам'ятка архітектури місцевого значення 1951 р. (охор. №166 - См (коригування)</t>
  </si>
  <si>
    <t>Реставрація покрівлі та фасаду житлового будинку по вул.Соборна, 27                              в м. Суми (пам'ятка архітектури місцевого значення 1948 р. (охор. №167-См)</t>
  </si>
  <si>
    <t>субвенції з місцевого бюджету за рахунок залишку коштів освітньої субвенції, що утворився на початок бюджетного періоду</t>
  </si>
  <si>
    <t xml:space="preserve">Капітальний ремонт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</si>
  <si>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 19 ім. М.С.Нестеровського Сумської міської ради 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</si>
  <si>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</si>
  <si>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вимощення Сумського спеціального дошкільного навчального закладу (ясла - садок) № 20 «Посмішка» м.Суми, Сумської області</t>
  </si>
  <si>
    <t>Капітальний ремонт спортивного майданчика Комунальної установи Сумська спеціалізована школа І-ІІІ ступенів № 17 м. Суми Сумської області</t>
  </si>
  <si>
    <t>Капітальний ремонт споруди 5-го блоку Комунальної установи Сумська загальноосвітня школа І-ІІІ ступенів № 24</t>
  </si>
  <si>
    <t>Капітальний ремонт даху 5-го блоку Комунальної установи Сумська загальноосвітня школа І-ІІІ ступенів № 24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</si>
  <si>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</si>
  <si>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</si>
  <si>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Капітальні трансферти підприємствам (установам, організаціям), у т.ч. за рахунок: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</si>
  <si>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- дошкільний навчальний заклад № 34» Сумської міської ради за адресою: м. Суми, вул. Раскової, 130, у т.ч. за рахунок:</t>
  </si>
  <si>
    <t>Капітальний ремонт пішохідного переходу на перехресті вул. Харківська та Героїв Сумщини, Сумська область, м. Суми, в т.ч. за рахунок:</t>
  </si>
  <si>
    <t>Капітальний ремонт об’єкта благоустрою - капремонт фонтана та прилеглої території по вул. Харківській в районі будинку № 3 у м. Суми, в т.ч. за рахунок:</t>
  </si>
  <si>
    <t>Капітальний ремонт пішохідної зони мосту через річку Псел по вул. Харківській у м. Суми, в т.ч. за рахунок:</t>
  </si>
  <si>
    <t>Управління  «Служба у справах дітей» Сумської міської ради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</si>
  <si>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</si>
  <si>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2019-2022</t>
  </si>
  <si>
    <t xml:space="preserve">Капітальний ремонт пральні Сумського дошкільного навчального закладу (ясла - садок) № 32 «Ластівка» м.Суми, Сумської області   </t>
  </si>
  <si>
    <t>Капітальний ремонт будівель Комунального некомерційного підприємства «Клінічна лікарня Святого Пантелеймона» Сумської міської ради з  утепленням стін, покрівлі, заміною покриття, заміною системи опалення за адресою м. Суми, вул. М. Вовчок, 2, у т.ч. за рахунок:</t>
  </si>
  <si>
    <t>Капітальний ремонт систем опалення, водопостачання та водовідведення в будівлі Сумського спеціального дошкільного начального закладу (ясла-садок) № 20 «Посмішка» м. Суми, Сумської області, за адресою: м. Суми, вул. Лучанська, 27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</si>
  <si>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області, в т.ч. за рахунок: </t>
  </si>
  <si>
    <t>Капітальний ремонт будівлі КНП «Дитяча клінічна лікарня Святої Зінаїди» Сумської міської ради за адресою: м. Суми, вул. Троїцька, 28 (стаціонар,                                          2-х поверхова будівля)</t>
  </si>
  <si>
    <t>Капітальний ремонт туалетної кімнати групи «Грибочки» Сумського дошкільного навчального закладу (ясла - садок) № 17 «Радість» м.Суми, Сумської області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</si>
  <si>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</si>
  <si>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Капітальний ремонт вхідної групи з облаштування пандусу, сходинок, водовідведення, замощення, заміни вхідних дверей бібліотеки – філії № 4 Сумської міської централізованої бібліотечної системи за адресою: м. Суми, провулок Веретенівський, 8  </t>
  </si>
  <si>
    <t xml:space="preserve">Реконструкція об’єктів житлово-комунального господарства: влаштування пандусу до житлового будинку за адресою: просп. М. Лушпи, 15 п.2, м. Суми </t>
  </si>
  <si>
    <t xml:space="preserve">Реконструкція спортивного майданчика по вул. Криничній </t>
  </si>
  <si>
    <t>Виконавчий комітет Сумської міської ради</t>
  </si>
  <si>
    <t>Капітальний ремонт фасаду нежитлового приміщення за адресою: м. Суми,                                      вул. Покровська, б.9</t>
  </si>
  <si>
    <t xml:space="preserve">Капітальний ремонт  нежитлового підвального приміщення по                                     вул. Петропавлівська, 91 в м. Суми </t>
  </si>
  <si>
    <t>________________</t>
  </si>
  <si>
    <t xml:space="preserve">до рішення  Сумської міської ради «Про внесення змін до рішення   </t>
  </si>
  <si>
    <t xml:space="preserve">Сумської   міської   ради  від  24   грудня   2020   року   №  63 - МР </t>
  </si>
  <si>
    <t xml:space="preserve">«Про  Програму  економічного  і  соціального  розвитку  Сумської </t>
  </si>
  <si>
    <t xml:space="preserve">міської  територіальної  громади  на  2021  рік  та основні напрями </t>
  </si>
  <si>
    <t>розвитку  на  2022 - 2023  роки» (зі змінами)»</t>
  </si>
  <si>
    <t xml:space="preserve">                               Додаток </t>
  </si>
  <si>
    <t>Нове будівництво дитячого та спортивного майданчика за адресою: м. Суми, навпроти житлового будинку № 61 по вул. Вигонопоселенська</t>
  </si>
  <si>
    <t>Капітальний ремонт нежитлового приміщення: заміна вікна нежитлового будинку № 4 по вул. Катерини Зеленко в м. Суми</t>
  </si>
  <si>
    <t>Капітальний ремонт подвір’я із облаштуванням огорожі Комунальної установи Сумська загальноосвітня школа І-ІІІ ступенів № 15 ім. Д.Турбіна, м. Суми, Сумської області, вул. Пушкіна, 56</t>
  </si>
  <si>
    <t>Капітальний ремонт приміщень Сумської початкової школи № 32 Сумської міської ради</t>
  </si>
  <si>
    <t>Капітальний ремонт приміщення Сумської початкової школи № 11 Сумської міської ради</t>
  </si>
  <si>
    <t>Капітальний ремонт будівлі із заміною вікон Сумської початкової школи № 14 Сумської міської ради</t>
  </si>
  <si>
    <t>Капітальний ремонт туалетних кімнат Сумської початкової школи № 28 Сумської міської ради</t>
  </si>
  <si>
    <t xml:space="preserve">Капітальний ремонт покрівлі з утепленням Сумського дошкільного навчального закладу (ясла-садок) №6 «Метелик» м. Суми, Сумської області  </t>
  </si>
  <si>
    <t>Капітальний ремонт покрівлі з утепленням Сумського дошкільного навчального закладу (ясла-садок) №2 «Ясочка» м. Суми, Сумської області</t>
  </si>
  <si>
    <t>Співфінансування заходів, що реалізуються за рахунок субвенції з державного бюджету місцевим бюджетам на реалізацію програми «Спроможна школа для кращих результатів»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</si>
  <si>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   </t>
  </si>
  <si>
    <t>субвенції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</si>
  <si>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Департамент соціального захисту населення Сумської міської ради, в т.ч. за рахунок: 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</si>
  <si>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</si>
  <si>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умов, у т.ч. за рахунок:</t>
  </si>
  <si>
    <t xml:space="preserve">Реконструкція скверу «Дружба» в м. Суми </t>
  </si>
  <si>
    <t xml:space="preserve">Капітальний ремонт стадіону Комунальної установи Сумська спеціалізована школа І-ІІІ ступенів № 2 ім. Д.Косаренка, м. Суми, Сумської області </t>
  </si>
  <si>
    <t>Будівництво  установ та закладів культури</t>
  </si>
  <si>
    <t xml:space="preserve">Реконструкція будівлі Великочернеччинського будинку культури за адресою: Сумська область, Сумський район, с. В. Чернеччина, вул. Центральна, 3  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</si>
  <si>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</si>
  <si>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Капітальні трансферти населенню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</si>
  <si>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умов, у т.ч. за рахунок: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</si>
  <si>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</si>
  <si>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1 імені В.Стрельченка,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</si>
  <si>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</si>
  <si>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                                      м. Суми, Сумської області   </t>
  </si>
  <si>
    <t>Капітальний ремонт спортивного майданчика Комунальної установи Сумська загальноосвітня школа І-ІІІ ступенів № 23, м. Суми, Сумської області</t>
  </si>
  <si>
    <t>Капітальний ремонт харчоблоку Комунальної установи Сумської загальноосвітньої школи І-ІІІ ступенів № 4 імені Героя України Олександра Аніщенка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</si>
  <si>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Сумської початкової школи № 11 Сумської міської ради» за адресою: м. Суми, вул. Харківська, будинок 66, у т.ч. за рахунок: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</si>
  <si>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(центр розвитку дитини) № 13 «Купава» Сумської міської ради за адресою: м. Суми, площа Пришибська, 23, у т.ч. за рахунок:</t>
  </si>
  <si>
    <t>Реконструкція підпірної гідроспоруди під Шевченківським мостом</t>
  </si>
  <si>
    <t>Капітальний ремонт покрівлі з утепленням будівлі комунальної установи Сумська гімназія № 1 м. Суми Сумської області, за адресою: вул. Засумська, 3, м. Суми Сумської області, в т.ч. за рахунок:</t>
  </si>
  <si>
    <t>Багатопрофільна стаціонарна медична допомога населенню, в т.ч. за рахунок:</t>
  </si>
  <si>
    <t>іншої субвенції з місцевого бюджету</t>
  </si>
  <si>
    <t>Реставрація пам'яток культури, історії та архітектури, в т.ч. за рахунок:</t>
  </si>
  <si>
    <t>Реставрація споруди «Альтанка» в м. Суми (пам’ятки архітектури місцевого значення, охор. № 21-См) за адресою: м. Суми, пл. Покровська, в т.ч. за рахунок:</t>
  </si>
  <si>
    <t>Нове будівництво дитячого та спортивного майданчика на території біля озера Чеха в м. Суми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</si>
  <si>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бюджетам, у т.ч. за рахунок:</t>
  </si>
  <si>
    <t>Виконання заходів в рамках реалізації програми «Спроможна школа для кращих результатів» за рахунок субвенції з державного бюджету місцевим бюджетам, у т.ч. за рахунок:</t>
  </si>
  <si>
    <t xml:space="preserve">субвенції з державного бюджету місцевим бюджетам на реалізацію програми «Спроможна школа для кращих результатів»  </t>
  </si>
  <si>
    <t>Капітальний ремонт будівлі (утеплення фасаду) закладу дошкільної освіти (ясла-садок) № 21 «Волошка» Сумської міської ради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</si>
  <si>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</si>
  <si>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Нове будівництво  зовнішньої водопровідної мережі Д-110 мм по вул. Г.Кондратьєва,158/4 з кільцюванням  у діючі  водопровідні  мережі Д-100 мм та Д-150 мм в м. Суми</t>
  </si>
  <si>
    <t>Реконструкція схилу від пров. Монастирський до вул.Нижньособорна в м.Суми</t>
  </si>
  <si>
    <t xml:space="preserve">Нове будівництво дитячого майданчика за адресою: м. Суми, вул. Івана Сірка, буд. 7/2 (біля Церкви Сергія Радонежського)  </t>
  </si>
  <si>
    <t>Нове будівництво ділянки водогону за адресою: м. Суми, с. Піщане, вул. Слобідська</t>
  </si>
  <si>
    <t>Нове будівництво дитячого та спортивного майданчика за адресою:  м. Суми, вул. Береста, буд. 2-4</t>
  </si>
  <si>
    <t>Нове будівництво елементів благоустрою території дитячого садка по вул. Інтернаціоналістів, 35 в м. Суми</t>
  </si>
  <si>
    <t>Будівництво інженерних мереж селища Ганнівка (2 черга)</t>
  </si>
  <si>
    <t>Реконструкція теплових мереж КНП «Міська клінічна лікарня № 4» СМР за адресою: м. Суми, вул. Металургів, 38</t>
  </si>
  <si>
    <t xml:space="preserve">Реконструкція пішохідної доріжки по вул. Шкільна в с. Стецьківка, Сумська область, Сумський район   </t>
  </si>
  <si>
    <t>Нове будівництво дитячого майданчика по вул. Шкільна в с. Стецьківка, Сумська область, Сумський район</t>
  </si>
  <si>
    <t>Нове будівництво дитячого майданчика в районі житлових будинків № 36, 36в, 38 по вул. Героїв Крут в м. Суми</t>
  </si>
  <si>
    <t>Нове будівництво підземного контейнерного майданчика за адресою: м.Суми,                                                   вул. Леваневського, б. 22</t>
  </si>
  <si>
    <t>Реконструкція скверу «Щастя»</t>
  </si>
  <si>
    <t>Капітальний ремонт вимощення Сумського дошкільного навчального закладу (центр розвитку дитини) № 26 «Ласкавушка» Сумської міської ради</t>
  </si>
  <si>
    <t>Капітальний ремонт системи опалення Великочернеччинського закладу загальної середньої освіти І-ІІІ ступенів Сумської міської ради</t>
  </si>
  <si>
    <t>Виконавець: Співакова Л.І.</t>
  </si>
  <si>
    <t>Секретар Сумської міської ради</t>
  </si>
  <si>
    <t>від  29  вересня  2021  року  № 1922 - МР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</si>
  <si>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ради, в т.ч. за рахунок:    </t>
  </si>
  <si>
    <t>Виконання інвестиційних проектів за рахунок субвенцій з інших бюджетів, у т.ч. за рахунок:</t>
  </si>
  <si>
    <t>Реконструкція  фонтану «Садко» по вул. Героїв Сумщини в місті Суми</t>
  </si>
  <si>
    <t>2019-2020</t>
  </si>
  <si>
    <t xml:space="preserve">Капітальний ремонт фасаду Будинку ветеранів за адресою: м. Суми, вул. Г.Кондратьєва, 165, буд. 20 </t>
  </si>
  <si>
    <t>Олег РЄЗНІК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</si>
  <si>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</si>
  <si>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                                     м. Суми, Сумської області   </t>
  </si>
  <si>
    <t>Капітальний ремонт харчоблоку Комунальної установи Сумської загальноосвітньої школи І-ІІІ ступенів №4 імені Героя України Олександра Аніщенка Сумської міської ради</t>
  </si>
  <si>
    <t>Капітальний ремонт їдальні Комунальної установи Сумська спеціалізована школа І-ІІІ ступенів № 17, м.  Суми Сумської області за адресою: м. Суми, проспект Михайла Лушпи,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</si>
</sst>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i/>
      <sz val="1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b/>
      <sz val="36"/>
      <name val="Times New Roman"/>
      <family val="1"/>
      <charset val="204"/>
    </font>
    <font>
      <sz val="24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Calibri"/>
      <family val="2"/>
      <charset val="204"/>
      <scheme val="minor"/>
    </font>
    <font>
      <i/>
      <sz val="18"/>
      <name val="Times New Roman"/>
      <family val="1"/>
      <charset val="204"/>
    </font>
    <font>
      <i/>
      <sz val="1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6" fillId="0" borderId="0" xfId="0" applyFont="1" applyFill="1"/>
    <xf numFmtId="0" fontId="24" fillId="0" borderId="0" xfId="0" applyNumberFormat="1" applyFont="1" applyFill="1" applyAlignment="1" applyProtection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20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3" fontId="15" fillId="0" borderId="1" xfId="0" applyNumberFormat="1" applyFont="1" applyFill="1" applyBorder="1" applyAlignment="1" applyProtection="1">
      <alignment horizontal="left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/>
    <xf numFmtId="0" fontId="22" fillId="0" borderId="0" xfId="0" applyFont="1" applyFill="1" applyBorder="1"/>
    <xf numFmtId="0" fontId="22" fillId="0" borderId="0" xfId="0" applyFont="1" applyFill="1"/>
    <xf numFmtId="0" fontId="23" fillId="0" borderId="1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/>
    <xf numFmtId="4" fontId="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/>
    <xf numFmtId="3" fontId="26" fillId="0" borderId="0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3" fontId="18" fillId="0" borderId="1" xfId="2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/>
    <xf numFmtId="0" fontId="27" fillId="0" borderId="0" xfId="0" applyFont="1" applyFill="1"/>
    <xf numFmtId="0" fontId="16" fillId="0" borderId="1" xfId="0" applyFont="1" applyFill="1" applyBorder="1"/>
    <xf numFmtId="0" fontId="30" fillId="0" borderId="1" xfId="0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/>
    <xf numFmtId="0" fontId="3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left"/>
    </xf>
    <xf numFmtId="0" fontId="26" fillId="0" borderId="0" xfId="0" applyNumberFormat="1" applyFont="1" applyFill="1" applyAlignment="1" applyProtection="1">
      <alignment horizontal="left"/>
    </xf>
    <xf numFmtId="3" fontId="28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FF99FF"/>
      <color rgb="FF66CCFF"/>
      <color rgb="FFFFFFCC"/>
      <color rgb="FF00FF00"/>
      <color rgb="FFCC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2"/>
  <sheetViews>
    <sheetView showZeros="0" tabSelected="1" view="pageBreakPreview" zoomScale="64" zoomScaleNormal="100" zoomScaleSheetLayoutView="64" workbookViewId="0">
      <selection activeCell="B7" sqref="B7"/>
    </sheetView>
  </sheetViews>
  <sheetFormatPr defaultColWidth="8.85546875" defaultRowHeight="12.75" x14ac:dyDescent="0.2"/>
  <cols>
    <col min="1" max="1" width="102.140625" style="1" customWidth="1"/>
    <col min="2" max="2" width="109" style="1" customWidth="1"/>
    <col min="3" max="3" width="28" style="1" customWidth="1"/>
    <col min="4" max="4" width="27.7109375" style="1" customWidth="1"/>
    <col min="5" max="5" width="26.42578125" style="1" customWidth="1"/>
    <col min="6" max="6" width="33.7109375" style="1" customWidth="1"/>
    <col min="7" max="7" width="26.42578125" style="1" customWidth="1"/>
    <col min="8" max="19" width="8.85546875" style="3"/>
    <col min="20" max="16384" width="8.85546875" style="1"/>
  </cols>
  <sheetData>
    <row r="1" spans="1:19" ht="40.5" customHeight="1" x14ac:dyDescent="0.45">
      <c r="C1" s="102" t="s">
        <v>277</v>
      </c>
      <c r="D1" s="102"/>
      <c r="E1" s="102"/>
      <c r="F1" s="102"/>
      <c r="G1" s="102"/>
    </row>
    <row r="2" spans="1:19" ht="39" customHeight="1" x14ac:dyDescent="0.45">
      <c r="C2" s="102" t="s">
        <v>272</v>
      </c>
      <c r="D2" s="102"/>
      <c r="E2" s="102"/>
      <c r="F2" s="102"/>
      <c r="G2" s="102"/>
    </row>
    <row r="3" spans="1:19" ht="39" customHeight="1" x14ac:dyDescent="0.45">
      <c r="C3" s="102" t="s">
        <v>273</v>
      </c>
      <c r="D3" s="102"/>
      <c r="E3" s="102"/>
      <c r="F3" s="102"/>
      <c r="G3" s="102"/>
    </row>
    <row r="4" spans="1:19" ht="39" customHeight="1" x14ac:dyDescent="0.45">
      <c r="C4" s="102" t="s">
        <v>274</v>
      </c>
      <c r="D4" s="102"/>
      <c r="E4" s="102"/>
      <c r="F4" s="102"/>
      <c r="G4" s="102"/>
    </row>
    <row r="5" spans="1:19" ht="39" customHeight="1" x14ac:dyDescent="0.45">
      <c r="C5" s="102" t="s">
        <v>275</v>
      </c>
      <c r="D5" s="102"/>
      <c r="E5" s="102"/>
      <c r="F5" s="102"/>
      <c r="G5" s="102"/>
    </row>
    <row r="6" spans="1:19" ht="39" customHeight="1" x14ac:dyDescent="0.45">
      <c r="C6" s="102" t="s">
        <v>276</v>
      </c>
      <c r="D6" s="102"/>
      <c r="E6" s="102"/>
      <c r="F6" s="102"/>
      <c r="G6" s="102"/>
    </row>
    <row r="7" spans="1:19" ht="39" customHeight="1" x14ac:dyDescent="0.45">
      <c r="C7" s="102" t="s">
        <v>337</v>
      </c>
      <c r="D7" s="102"/>
      <c r="E7" s="102"/>
      <c r="F7" s="102"/>
      <c r="G7" s="102"/>
    </row>
    <row r="8" spans="1:19" ht="39" customHeight="1" x14ac:dyDescent="0.6">
      <c r="C8" s="2"/>
      <c r="D8" s="101"/>
      <c r="E8" s="101"/>
      <c r="F8" s="101"/>
      <c r="G8" s="101"/>
    </row>
    <row r="11" spans="1:19" ht="70.5" customHeight="1" x14ac:dyDescent="0.2">
      <c r="A11" s="104" t="s">
        <v>198</v>
      </c>
      <c r="B11" s="104"/>
      <c r="C11" s="104"/>
      <c r="D11" s="104"/>
      <c r="E11" s="104"/>
      <c r="F11" s="104"/>
      <c r="G11" s="104"/>
    </row>
    <row r="12" spans="1:19" ht="24" customHeight="1" x14ac:dyDescent="0.25">
      <c r="A12" s="4"/>
      <c r="B12" s="4"/>
      <c r="C12" s="4"/>
      <c r="D12" s="4"/>
      <c r="E12" s="4"/>
      <c r="F12" s="4"/>
      <c r="G12" s="5"/>
    </row>
    <row r="13" spans="1:19" s="7" customFormat="1" ht="31.5" customHeight="1" x14ac:dyDescent="0.35">
      <c r="A13" s="105" t="s">
        <v>5</v>
      </c>
      <c r="B13" s="105" t="s">
        <v>210</v>
      </c>
      <c r="C13" s="105" t="s">
        <v>165</v>
      </c>
      <c r="D13" s="105" t="s">
        <v>6</v>
      </c>
      <c r="E13" s="105" t="s">
        <v>7</v>
      </c>
      <c r="F13" s="105" t="s">
        <v>166</v>
      </c>
      <c r="G13" s="105" t="s">
        <v>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7" customFormat="1" ht="114" customHeight="1" x14ac:dyDescent="0.35">
      <c r="A14" s="105"/>
      <c r="B14" s="105"/>
      <c r="C14" s="105"/>
      <c r="D14" s="105"/>
      <c r="E14" s="105"/>
      <c r="F14" s="105"/>
      <c r="G14" s="10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10" customFormat="1" ht="33" customHeight="1" x14ac:dyDescent="0.3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5" customFormat="1" ht="44.25" customHeight="1" x14ac:dyDescent="0.35">
      <c r="A16" s="11" t="s">
        <v>268</v>
      </c>
      <c r="B16" s="12"/>
      <c r="C16" s="12"/>
      <c r="D16" s="12"/>
      <c r="E16" s="12"/>
      <c r="F16" s="13">
        <f>F21+F25+F27+F31+F29+F17+F18+F19+F20+F33</f>
        <v>37386964.659999996</v>
      </c>
      <c r="G16" s="12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s="15" customFormat="1" ht="54.75" customHeight="1" x14ac:dyDescent="0.35">
      <c r="A17" s="16" t="s">
        <v>182</v>
      </c>
      <c r="B17" s="17" t="s">
        <v>181</v>
      </c>
      <c r="C17" s="12"/>
      <c r="D17" s="12"/>
      <c r="E17" s="12"/>
      <c r="F17" s="83">
        <v>65000</v>
      </c>
      <c r="G17" s="12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15" customFormat="1" ht="54" customHeight="1" x14ac:dyDescent="0.35">
      <c r="A18" s="16" t="s">
        <v>183</v>
      </c>
      <c r="B18" s="17" t="s">
        <v>181</v>
      </c>
      <c r="C18" s="12"/>
      <c r="D18" s="12"/>
      <c r="E18" s="12"/>
      <c r="F18" s="83">
        <v>200700</v>
      </c>
      <c r="G18" s="12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s="15" customFormat="1" ht="51.75" customHeight="1" x14ac:dyDescent="0.35">
      <c r="A19" s="16" t="s">
        <v>184</v>
      </c>
      <c r="B19" s="17" t="s">
        <v>104</v>
      </c>
      <c r="C19" s="12"/>
      <c r="D19" s="12"/>
      <c r="E19" s="12"/>
      <c r="F19" s="83">
        <v>372100</v>
      </c>
      <c r="G19" s="12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15" customFormat="1" ht="79.5" customHeight="1" x14ac:dyDescent="0.35">
      <c r="A20" s="16" t="s">
        <v>185</v>
      </c>
      <c r="B20" s="17" t="s">
        <v>181</v>
      </c>
      <c r="C20" s="12"/>
      <c r="D20" s="12"/>
      <c r="E20" s="12"/>
      <c r="F20" s="83">
        <v>1530000</v>
      </c>
      <c r="G20" s="12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7" customFormat="1" ht="63" customHeight="1" x14ac:dyDescent="0.35">
      <c r="A21" s="18" t="s">
        <v>39</v>
      </c>
      <c r="B21" s="17" t="s">
        <v>34</v>
      </c>
      <c r="C21" s="100"/>
      <c r="D21" s="100"/>
      <c r="E21" s="100"/>
      <c r="F21" s="83">
        <f>SUM(F22:F24)</f>
        <v>9790000</v>
      </c>
      <c r="G21" s="100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s="10" customFormat="1" ht="66.75" customHeight="1" x14ac:dyDescent="0.35">
      <c r="A22" s="19"/>
      <c r="B22" s="19" t="s">
        <v>63</v>
      </c>
      <c r="C22" s="20">
        <v>2021</v>
      </c>
      <c r="D22" s="21"/>
      <c r="E22" s="21">
        <v>0</v>
      </c>
      <c r="F22" s="22">
        <v>840000</v>
      </c>
      <c r="G22" s="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 ht="66.75" customHeight="1" x14ac:dyDescent="0.35">
      <c r="A23" s="19"/>
      <c r="B23" s="19" t="s">
        <v>112</v>
      </c>
      <c r="C23" s="20">
        <v>2021</v>
      </c>
      <c r="D23" s="21">
        <v>6999965</v>
      </c>
      <c r="E23" s="21">
        <v>0</v>
      </c>
      <c r="F23" s="22">
        <f>5000000+1999965</f>
        <v>6999965</v>
      </c>
      <c r="G23" s="24">
        <v>100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s="10" customFormat="1" ht="66.75" customHeight="1" x14ac:dyDescent="0.35">
      <c r="A24" s="19"/>
      <c r="B24" s="19" t="s">
        <v>62</v>
      </c>
      <c r="C24" s="20">
        <v>2021</v>
      </c>
      <c r="D24" s="21"/>
      <c r="E24" s="21">
        <v>0</v>
      </c>
      <c r="F24" s="22">
        <f>1950000+35</f>
        <v>1950035</v>
      </c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7" customFormat="1" ht="46.5" customHeight="1" x14ac:dyDescent="0.35">
      <c r="A25" s="16" t="s">
        <v>9</v>
      </c>
      <c r="B25" s="17" t="s">
        <v>206</v>
      </c>
      <c r="C25" s="23"/>
      <c r="D25" s="82"/>
      <c r="E25" s="84"/>
      <c r="F25" s="83">
        <f>F26</f>
        <v>400000</v>
      </c>
      <c r="G25" s="84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s="10" customFormat="1" ht="55.5" customHeight="1" x14ac:dyDescent="0.35">
      <c r="A26" s="19"/>
      <c r="B26" s="19" t="s">
        <v>64</v>
      </c>
      <c r="C26" s="20" t="s">
        <v>17</v>
      </c>
      <c r="D26" s="21">
        <v>1493136</v>
      </c>
      <c r="E26" s="24">
        <v>36</v>
      </c>
      <c r="F26" s="22">
        <v>400000</v>
      </c>
      <c r="G26" s="24">
        <v>62.8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s="7" customFormat="1" ht="45" customHeight="1" x14ac:dyDescent="0.35">
      <c r="A27" s="16" t="s">
        <v>163</v>
      </c>
      <c r="B27" s="17" t="s">
        <v>132</v>
      </c>
      <c r="C27" s="23"/>
      <c r="D27" s="82"/>
      <c r="E27" s="84"/>
      <c r="F27" s="83">
        <f>F28</f>
        <v>3150000</v>
      </c>
      <c r="G27" s="84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s="10" customFormat="1" ht="55.5" customHeight="1" x14ac:dyDescent="0.35">
      <c r="A28" s="19"/>
      <c r="B28" s="19" t="s">
        <v>164</v>
      </c>
      <c r="C28" s="20" t="s">
        <v>65</v>
      </c>
      <c r="D28" s="21"/>
      <c r="E28" s="24"/>
      <c r="F28" s="22">
        <v>3150000</v>
      </c>
      <c r="G28" s="24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7" customFormat="1" ht="43.5" customHeight="1" x14ac:dyDescent="0.35">
      <c r="A29" s="16" t="s">
        <v>23</v>
      </c>
      <c r="B29" s="17" t="s">
        <v>104</v>
      </c>
      <c r="C29" s="100"/>
      <c r="D29" s="100"/>
      <c r="E29" s="100"/>
      <c r="F29" s="83">
        <f>F30</f>
        <v>18997900</v>
      </c>
      <c r="G29" s="100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7" customFormat="1" ht="43.5" customHeight="1" x14ac:dyDescent="0.35">
      <c r="A30" s="16"/>
      <c r="B30" s="19" t="s">
        <v>118</v>
      </c>
      <c r="C30" s="100"/>
      <c r="D30" s="100"/>
      <c r="E30" s="100"/>
      <c r="F30" s="22">
        <v>18997900</v>
      </c>
      <c r="G30" s="100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s="7" customFormat="1" ht="58.5" customHeight="1" x14ac:dyDescent="0.35">
      <c r="A31" s="16" t="s">
        <v>4</v>
      </c>
      <c r="B31" s="17" t="s">
        <v>132</v>
      </c>
      <c r="C31" s="100"/>
      <c r="D31" s="82"/>
      <c r="E31" s="100"/>
      <c r="F31" s="83">
        <f>F32</f>
        <v>1398264.66</v>
      </c>
      <c r="G31" s="100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s="7" customFormat="1" ht="58.5" customHeight="1" x14ac:dyDescent="0.35">
      <c r="A32" s="19"/>
      <c r="B32" s="19" t="s">
        <v>56</v>
      </c>
      <c r="C32" s="8" t="s">
        <v>14</v>
      </c>
      <c r="D32" s="21">
        <v>4174146.72</v>
      </c>
      <c r="E32" s="8">
        <v>65.7</v>
      </c>
      <c r="F32" s="22">
        <v>1398264.66</v>
      </c>
      <c r="G32" s="24">
        <v>100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s="7" customFormat="1" ht="58.5" customHeight="1" x14ac:dyDescent="0.35">
      <c r="A33" s="35" t="s">
        <v>264</v>
      </c>
      <c r="B33" s="17" t="s">
        <v>105</v>
      </c>
      <c r="C33" s="8"/>
      <c r="D33" s="21"/>
      <c r="E33" s="8"/>
      <c r="F33" s="83">
        <v>1483000</v>
      </c>
      <c r="G33" s="24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15" customFormat="1" ht="60" customHeight="1" x14ac:dyDescent="0.35">
      <c r="A34" s="25" t="s">
        <v>167</v>
      </c>
      <c r="B34" s="25"/>
      <c r="C34" s="12"/>
      <c r="D34" s="13"/>
      <c r="E34" s="12"/>
      <c r="F34" s="13">
        <f>F45+F83+F190+F42+F61+F62+F81+F197+F43+F44+F175+F63+F78+F199+F70+F79</f>
        <v>67115021.180000007</v>
      </c>
      <c r="G34" s="12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s="15" customFormat="1" ht="78" customHeight="1" x14ac:dyDescent="0.35">
      <c r="A35" s="26" t="s">
        <v>186</v>
      </c>
      <c r="B35" s="25"/>
      <c r="C35" s="12"/>
      <c r="D35" s="13"/>
      <c r="E35" s="12"/>
      <c r="F35" s="28">
        <f>F82</f>
        <v>72000</v>
      </c>
      <c r="G35" s="12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s="15" customFormat="1" ht="78" customHeight="1" x14ac:dyDescent="0.35">
      <c r="A36" s="17" t="s">
        <v>240</v>
      </c>
      <c r="B36" s="25"/>
      <c r="C36" s="12"/>
      <c r="D36" s="13"/>
      <c r="E36" s="12"/>
      <c r="F36" s="28">
        <f>F46</f>
        <v>1754000</v>
      </c>
      <c r="G36" s="12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s="7" customFormat="1" ht="63" customHeight="1" x14ac:dyDescent="0.35">
      <c r="A37" s="26" t="s">
        <v>142</v>
      </c>
      <c r="B37" s="16"/>
      <c r="C37" s="100"/>
      <c r="D37" s="83"/>
      <c r="E37" s="100"/>
      <c r="F37" s="28">
        <f>F47+F198</f>
        <v>7663725.1799999997</v>
      </c>
      <c r="G37" s="100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s="7" customFormat="1" ht="63" customHeight="1" x14ac:dyDescent="0.35">
      <c r="A38" s="26" t="s">
        <v>248</v>
      </c>
      <c r="B38" s="16"/>
      <c r="C38" s="100"/>
      <c r="D38" s="83"/>
      <c r="E38" s="100"/>
      <c r="F38" s="28">
        <f>F176</f>
        <v>6006486</v>
      </c>
      <c r="G38" s="100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s="7" customFormat="1" ht="91.5" customHeight="1" x14ac:dyDescent="0.35">
      <c r="A39" s="26" t="s">
        <v>297</v>
      </c>
      <c r="B39" s="16"/>
      <c r="C39" s="100"/>
      <c r="D39" s="83"/>
      <c r="E39" s="100"/>
      <c r="F39" s="28">
        <f>F80</f>
        <v>797367</v>
      </c>
      <c r="G39" s="100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s="7" customFormat="1" ht="100.5" customHeight="1" x14ac:dyDescent="0.35">
      <c r="A40" s="26" t="s">
        <v>317</v>
      </c>
      <c r="B40" s="16"/>
      <c r="C40" s="100"/>
      <c r="D40" s="83"/>
      <c r="E40" s="100"/>
      <c r="F40" s="28">
        <f>F71</f>
        <v>2859728</v>
      </c>
      <c r="G40" s="100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s="7" customFormat="1" ht="53.25" customHeight="1" x14ac:dyDescent="0.35">
      <c r="A41" s="26" t="s">
        <v>311</v>
      </c>
      <c r="B41" s="16"/>
      <c r="C41" s="100"/>
      <c r="D41" s="83"/>
      <c r="E41" s="100"/>
      <c r="F41" s="28">
        <f>F84</f>
        <v>250000</v>
      </c>
      <c r="G41" s="100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s="7" customFormat="1" ht="63" customHeight="1" x14ac:dyDescent="0.35">
      <c r="A42" s="16" t="s">
        <v>187</v>
      </c>
      <c r="B42" s="17" t="s">
        <v>181</v>
      </c>
      <c r="C42" s="100"/>
      <c r="D42" s="83"/>
      <c r="E42" s="100"/>
      <c r="F42" s="83">
        <f>582280-10800+500000</f>
        <v>1071480</v>
      </c>
      <c r="G42" s="100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s="7" customFormat="1" ht="63" customHeight="1" x14ac:dyDescent="0.35">
      <c r="A43" s="16" t="s">
        <v>197</v>
      </c>
      <c r="B43" s="17" t="s">
        <v>181</v>
      </c>
      <c r="C43" s="100"/>
      <c r="D43" s="83"/>
      <c r="E43" s="100"/>
      <c r="F43" s="83">
        <f>938036+102068+94000+99000+60000</f>
        <v>1293104</v>
      </c>
      <c r="G43" s="100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s="7" customFormat="1" ht="63" customHeight="1" x14ac:dyDescent="0.35">
      <c r="A44" s="16" t="s">
        <v>188</v>
      </c>
      <c r="B44" s="17" t="s">
        <v>181</v>
      </c>
      <c r="C44" s="100"/>
      <c r="D44" s="83"/>
      <c r="E44" s="100"/>
      <c r="F44" s="83">
        <f>153030-56030</f>
        <v>97000</v>
      </c>
      <c r="G44" s="100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s="7" customFormat="1" ht="60" customHeight="1" x14ac:dyDescent="0.35">
      <c r="A45" s="16" t="s">
        <v>171</v>
      </c>
      <c r="B45" s="16"/>
      <c r="C45" s="100"/>
      <c r="D45" s="100"/>
      <c r="E45" s="100"/>
      <c r="F45" s="83">
        <f>F51+F48</f>
        <v>6110725.1799999997</v>
      </c>
      <c r="G45" s="100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s="7" customFormat="1" ht="60" customHeight="1" x14ac:dyDescent="0.35">
      <c r="A46" s="29" t="s">
        <v>240</v>
      </c>
      <c r="B46" s="16"/>
      <c r="C46" s="100"/>
      <c r="D46" s="100"/>
      <c r="E46" s="100"/>
      <c r="F46" s="30">
        <f>F49</f>
        <v>1754000</v>
      </c>
      <c r="G46" s="100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s="10" customFormat="1" ht="60" customHeight="1" x14ac:dyDescent="0.35">
      <c r="A47" s="31" t="s">
        <v>142</v>
      </c>
      <c r="B47" s="19"/>
      <c r="C47" s="8"/>
      <c r="D47" s="8"/>
      <c r="E47" s="8"/>
      <c r="F47" s="30">
        <f>F50+F52</f>
        <v>4356725.18</v>
      </c>
      <c r="G47" s="8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s="10" customFormat="1" ht="60" customHeight="1" x14ac:dyDescent="0.35">
      <c r="A48" s="31"/>
      <c r="B48" s="17" t="s">
        <v>199</v>
      </c>
      <c r="C48" s="8"/>
      <c r="D48" s="8"/>
      <c r="E48" s="8"/>
      <c r="F48" s="83">
        <f>F50+F49</f>
        <v>2431318</v>
      </c>
      <c r="G48" s="8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s="10" customFormat="1" ht="60" customHeight="1" x14ac:dyDescent="0.35">
      <c r="A49" s="31"/>
      <c r="B49" s="29" t="s">
        <v>240</v>
      </c>
      <c r="C49" s="8"/>
      <c r="D49" s="8"/>
      <c r="E49" s="8"/>
      <c r="F49" s="30">
        <v>1754000</v>
      </c>
      <c r="G49" s="8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s="10" customFormat="1" ht="60" customHeight="1" x14ac:dyDescent="0.35">
      <c r="A50" s="31"/>
      <c r="B50" s="31" t="s">
        <v>142</v>
      </c>
      <c r="C50" s="8"/>
      <c r="D50" s="8"/>
      <c r="E50" s="8"/>
      <c r="F50" s="30">
        <f>709326-32008</f>
        <v>677318</v>
      </c>
      <c r="G50" s="8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s="10" customFormat="1" ht="60" customHeight="1" x14ac:dyDescent="0.35">
      <c r="A51" s="31"/>
      <c r="B51" s="17" t="s">
        <v>200</v>
      </c>
      <c r="C51" s="8"/>
      <c r="D51" s="8"/>
      <c r="E51" s="8"/>
      <c r="F51" s="83">
        <f>F53+F57+F59+F55</f>
        <v>3679407.18</v>
      </c>
      <c r="G51" s="8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s="10" customFormat="1" ht="60" customHeight="1" x14ac:dyDescent="0.35">
      <c r="A52" s="31"/>
      <c r="B52" s="31" t="s">
        <v>142</v>
      </c>
      <c r="C52" s="8"/>
      <c r="D52" s="8"/>
      <c r="E52" s="8"/>
      <c r="F52" s="30">
        <f>F54+F58+F60+F56</f>
        <v>3679407.18</v>
      </c>
      <c r="G52" s="8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s="10" customFormat="1" ht="93.75" customHeight="1" x14ac:dyDescent="0.35">
      <c r="A53" s="19"/>
      <c r="B53" s="19" t="s">
        <v>201</v>
      </c>
      <c r="C53" s="8">
        <v>2021</v>
      </c>
      <c r="D53" s="8"/>
      <c r="E53" s="8"/>
      <c r="F53" s="22">
        <v>377160</v>
      </c>
      <c r="G53" s="8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s="34" customFormat="1" ht="54" customHeight="1" x14ac:dyDescent="0.35">
      <c r="A54" s="31"/>
      <c r="B54" s="31" t="s">
        <v>142</v>
      </c>
      <c r="C54" s="8"/>
      <c r="D54" s="32"/>
      <c r="E54" s="32"/>
      <c r="F54" s="30">
        <f>F53</f>
        <v>377160</v>
      </c>
      <c r="G54" s="32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s="34" customFormat="1" ht="91.5" customHeight="1" x14ac:dyDescent="0.35">
      <c r="A55" s="31"/>
      <c r="B55" s="85" t="s">
        <v>261</v>
      </c>
      <c r="C55" s="8">
        <v>2021</v>
      </c>
      <c r="D55" s="32"/>
      <c r="E55" s="32"/>
      <c r="F55" s="22">
        <v>761910.18</v>
      </c>
      <c r="G55" s="32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s="34" customFormat="1" ht="54" customHeight="1" x14ac:dyDescent="0.35">
      <c r="A56" s="31"/>
      <c r="B56" s="31" t="s">
        <v>142</v>
      </c>
      <c r="C56" s="8"/>
      <c r="D56" s="32"/>
      <c r="E56" s="32"/>
      <c r="F56" s="30">
        <f>F55</f>
        <v>761910.18</v>
      </c>
      <c r="G56" s="32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s="10" customFormat="1" ht="70.5" customHeight="1" x14ac:dyDescent="0.35">
      <c r="A57" s="19"/>
      <c r="B57" s="19" t="s">
        <v>202</v>
      </c>
      <c r="C57" s="8">
        <v>2021</v>
      </c>
      <c r="D57" s="8"/>
      <c r="E57" s="8"/>
      <c r="F57" s="22">
        <v>1251372</v>
      </c>
      <c r="G57" s="8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s="34" customFormat="1" ht="55.5" customHeight="1" x14ac:dyDescent="0.35">
      <c r="A58" s="31"/>
      <c r="B58" s="31" t="s">
        <v>142</v>
      </c>
      <c r="C58" s="8"/>
      <c r="D58" s="32"/>
      <c r="E58" s="32"/>
      <c r="F58" s="30">
        <f>F57</f>
        <v>1251372</v>
      </c>
      <c r="G58" s="32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s="10" customFormat="1" ht="57" customHeight="1" x14ac:dyDescent="0.35">
      <c r="A59" s="19"/>
      <c r="B59" s="19" t="s">
        <v>203</v>
      </c>
      <c r="C59" s="8">
        <v>2021</v>
      </c>
      <c r="D59" s="8"/>
      <c r="E59" s="8"/>
      <c r="F59" s="22">
        <v>1288965</v>
      </c>
      <c r="G59" s="8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s="34" customFormat="1" ht="55.5" customHeight="1" x14ac:dyDescent="0.35">
      <c r="A60" s="31"/>
      <c r="B60" s="31" t="s">
        <v>142</v>
      </c>
      <c r="C60" s="8"/>
      <c r="D60" s="32"/>
      <c r="E60" s="32"/>
      <c r="F60" s="30">
        <f>F59</f>
        <v>1288965</v>
      </c>
      <c r="G60" s="32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s="34" customFormat="1" ht="84" customHeight="1" x14ac:dyDescent="0.35">
      <c r="A61" s="16" t="s">
        <v>189</v>
      </c>
      <c r="B61" s="17" t="s">
        <v>181</v>
      </c>
      <c r="C61" s="8"/>
      <c r="D61" s="32"/>
      <c r="E61" s="32"/>
      <c r="F61" s="83">
        <v>112500</v>
      </c>
      <c r="G61" s="32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s="34" customFormat="1" ht="84" customHeight="1" x14ac:dyDescent="0.35">
      <c r="A62" s="16" t="s">
        <v>190</v>
      </c>
      <c r="B62" s="17" t="s">
        <v>181</v>
      </c>
      <c r="C62" s="8"/>
      <c r="D62" s="32"/>
      <c r="E62" s="32"/>
      <c r="F62" s="83">
        <v>50000</v>
      </c>
      <c r="G62" s="32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s="34" customFormat="1" ht="91.5" customHeight="1" x14ac:dyDescent="0.35">
      <c r="A63" s="16" t="s">
        <v>287</v>
      </c>
      <c r="B63" s="17"/>
      <c r="C63" s="8"/>
      <c r="D63" s="32"/>
      <c r="E63" s="32"/>
      <c r="F63" s="83">
        <f>F64+F65</f>
        <v>1610670</v>
      </c>
      <c r="G63" s="32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s="34" customFormat="1" ht="52.5" customHeight="1" x14ac:dyDescent="0.35">
      <c r="A64" s="16"/>
      <c r="B64" s="17" t="s">
        <v>181</v>
      </c>
      <c r="C64" s="8"/>
      <c r="D64" s="32"/>
      <c r="E64" s="32"/>
      <c r="F64" s="83">
        <v>300709</v>
      </c>
      <c r="G64" s="32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s="34" customFormat="1" ht="63" customHeight="1" x14ac:dyDescent="0.35">
      <c r="A65" s="16"/>
      <c r="B65" s="17" t="s">
        <v>206</v>
      </c>
      <c r="C65" s="8"/>
      <c r="D65" s="32"/>
      <c r="E65" s="32"/>
      <c r="F65" s="83">
        <f>SUM(F66:F69)</f>
        <v>1309961</v>
      </c>
      <c r="G65" s="32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s="34" customFormat="1" ht="100.5" customHeight="1" x14ac:dyDescent="0.35">
      <c r="A66" s="16"/>
      <c r="B66" s="19" t="s">
        <v>301</v>
      </c>
      <c r="C66" s="8">
        <v>2021</v>
      </c>
      <c r="D66" s="21">
        <v>1165804</v>
      </c>
      <c r="E66" s="32"/>
      <c r="F66" s="22">
        <f>334861+53880</f>
        <v>388741</v>
      </c>
      <c r="G66" s="24">
        <v>33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s="34" customFormat="1" ht="100.5" customHeight="1" x14ac:dyDescent="0.35">
      <c r="A67" s="16"/>
      <c r="B67" s="19" t="s">
        <v>305</v>
      </c>
      <c r="C67" s="8">
        <v>2021</v>
      </c>
      <c r="D67" s="21">
        <v>1048441</v>
      </c>
      <c r="E67" s="32"/>
      <c r="F67" s="22">
        <v>400000</v>
      </c>
      <c r="G67" s="24">
        <v>30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s="34" customFormat="1" ht="100.5" customHeight="1" x14ac:dyDescent="0.35">
      <c r="A68" s="16"/>
      <c r="B68" s="19" t="s">
        <v>302</v>
      </c>
      <c r="C68" s="8">
        <v>2021</v>
      </c>
      <c r="D68" s="21">
        <v>287515</v>
      </c>
      <c r="E68" s="32"/>
      <c r="F68" s="22">
        <f>74250+53880</f>
        <v>128130</v>
      </c>
      <c r="G68" s="24">
        <v>39.700000000000003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s="34" customFormat="1" ht="114" customHeight="1" x14ac:dyDescent="0.35">
      <c r="A69" s="16"/>
      <c r="B69" s="19" t="s">
        <v>303</v>
      </c>
      <c r="C69" s="8">
        <v>2021</v>
      </c>
      <c r="D69" s="21">
        <v>1096553</v>
      </c>
      <c r="E69" s="32"/>
      <c r="F69" s="22">
        <f>339210+53880</f>
        <v>393090</v>
      </c>
      <c r="G69" s="8">
        <v>30.9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s="34" customFormat="1" ht="91.5" customHeight="1" x14ac:dyDescent="0.35">
      <c r="A70" s="16" t="s">
        <v>316</v>
      </c>
      <c r="B70" s="17"/>
      <c r="C70" s="8"/>
      <c r="D70" s="32"/>
      <c r="E70" s="32"/>
      <c r="F70" s="83">
        <f>F72+F73</f>
        <v>2859728</v>
      </c>
      <c r="G70" s="32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s="34" customFormat="1" ht="91.5" customHeight="1" x14ac:dyDescent="0.35">
      <c r="A71" s="29" t="s">
        <v>317</v>
      </c>
      <c r="B71" s="29"/>
      <c r="C71" s="32"/>
      <c r="D71" s="32"/>
      <c r="E71" s="32"/>
      <c r="F71" s="30">
        <f>F70</f>
        <v>2859728</v>
      </c>
      <c r="G71" s="32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s="34" customFormat="1" ht="91.5" customHeight="1" x14ac:dyDescent="0.35">
      <c r="A72" s="29"/>
      <c r="B72" s="17" t="s">
        <v>181</v>
      </c>
      <c r="C72" s="32"/>
      <c r="D72" s="32"/>
      <c r="E72" s="32"/>
      <c r="F72" s="83">
        <f>413881+47</f>
        <v>413928</v>
      </c>
      <c r="G72" s="32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s="34" customFormat="1" ht="91.5" customHeight="1" x14ac:dyDescent="0.35">
      <c r="A73" s="29"/>
      <c r="B73" s="17" t="s">
        <v>206</v>
      </c>
      <c r="C73" s="32"/>
      <c r="D73" s="32"/>
      <c r="E73" s="32"/>
      <c r="F73" s="83">
        <f>F74+F75+F76+F77</f>
        <v>2445800</v>
      </c>
      <c r="G73" s="32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s="10" customFormat="1" ht="91.5" customHeight="1" x14ac:dyDescent="0.35">
      <c r="A74" s="19"/>
      <c r="B74" s="19" t="s">
        <v>301</v>
      </c>
      <c r="C74" s="8">
        <v>2021</v>
      </c>
      <c r="D74" s="21">
        <v>1165804</v>
      </c>
      <c r="E74" s="8"/>
      <c r="F74" s="22">
        <f>781342-42</f>
        <v>781300</v>
      </c>
      <c r="G74" s="24">
        <v>67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s="34" customFormat="1" ht="91.5" customHeight="1" x14ac:dyDescent="0.35">
      <c r="A75" s="29"/>
      <c r="B75" s="19" t="s">
        <v>344</v>
      </c>
      <c r="C75" s="8">
        <v>2021</v>
      </c>
      <c r="D75" s="21">
        <v>287515</v>
      </c>
      <c r="E75" s="32"/>
      <c r="F75" s="22">
        <f>173252+48</f>
        <v>173300</v>
      </c>
      <c r="G75" s="24">
        <v>60.3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s="34" customFormat="1" ht="91.5" customHeight="1" x14ac:dyDescent="0.35">
      <c r="A76" s="29"/>
      <c r="B76" s="19" t="s">
        <v>345</v>
      </c>
      <c r="C76" s="8">
        <v>2021</v>
      </c>
      <c r="D76" s="21">
        <v>1096553</v>
      </c>
      <c r="E76" s="32"/>
      <c r="F76" s="22">
        <f>757343-43</f>
        <v>757300</v>
      </c>
      <c r="G76" s="8">
        <v>69.099999999999994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s="34" customFormat="1" ht="91.5" customHeight="1" x14ac:dyDescent="0.35">
      <c r="A77" s="29"/>
      <c r="B77" s="19" t="s">
        <v>346</v>
      </c>
      <c r="C77" s="8">
        <v>2021</v>
      </c>
      <c r="D77" s="21">
        <v>1048441</v>
      </c>
      <c r="E77" s="32"/>
      <c r="F77" s="22">
        <f>733908-8</f>
        <v>733900</v>
      </c>
      <c r="G77" s="24">
        <v>70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1:19" s="34" customFormat="1" ht="102" customHeight="1" x14ac:dyDescent="0.35">
      <c r="A78" s="16" t="s">
        <v>300</v>
      </c>
      <c r="B78" s="17" t="s">
        <v>181</v>
      </c>
      <c r="C78" s="8"/>
      <c r="D78" s="32"/>
      <c r="E78" s="32"/>
      <c r="F78" s="83">
        <f>417966-87539</f>
        <v>330427</v>
      </c>
      <c r="G78" s="32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s="34" customFormat="1" ht="102" customHeight="1" x14ac:dyDescent="0.35">
      <c r="A79" s="16" t="s">
        <v>315</v>
      </c>
      <c r="B79" s="17" t="s">
        <v>181</v>
      </c>
      <c r="C79" s="8"/>
      <c r="D79" s="32"/>
      <c r="E79" s="32"/>
      <c r="F79" s="83">
        <f>F80</f>
        <v>797367</v>
      </c>
      <c r="G79" s="32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s="34" customFormat="1" ht="102" customHeight="1" x14ac:dyDescent="0.35">
      <c r="A80" s="29" t="s">
        <v>297</v>
      </c>
      <c r="B80" s="29"/>
      <c r="C80" s="32"/>
      <c r="D80" s="32"/>
      <c r="E80" s="32"/>
      <c r="F80" s="30">
        <f>1095855-298488</f>
        <v>797367</v>
      </c>
      <c r="G80" s="32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1:19" s="34" customFormat="1" ht="84" customHeight="1" x14ac:dyDescent="0.35">
      <c r="A81" s="16" t="s">
        <v>191</v>
      </c>
      <c r="B81" s="17" t="s">
        <v>181</v>
      </c>
      <c r="C81" s="8"/>
      <c r="D81" s="32"/>
      <c r="E81" s="32"/>
      <c r="F81" s="83">
        <f>F82</f>
        <v>72000</v>
      </c>
      <c r="G81" s="32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1:19" s="34" customFormat="1" ht="84" customHeight="1" x14ac:dyDescent="0.35">
      <c r="A82" s="31" t="s">
        <v>186</v>
      </c>
      <c r="B82" s="19"/>
      <c r="C82" s="8"/>
      <c r="D82" s="32"/>
      <c r="E82" s="32"/>
      <c r="F82" s="30">
        <v>72000</v>
      </c>
      <c r="G82" s="32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1:19" s="7" customFormat="1" ht="51" customHeight="1" x14ac:dyDescent="0.35">
      <c r="A83" s="16" t="s">
        <v>41</v>
      </c>
      <c r="B83" s="17" t="s">
        <v>206</v>
      </c>
      <c r="C83" s="100"/>
      <c r="D83" s="83"/>
      <c r="E83" s="100"/>
      <c r="F83" s="83">
        <f>F85+F119+F172</f>
        <v>24799566</v>
      </c>
      <c r="G83" s="100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s="34" customFormat="1" ht="51" customHeight="1" x14ac:dyDescent="0.35">
      <c r="A84" s="29" t="s">
        <v>311</v>
      </c>
      <c r="B84" s="29"/>
      <c r="C84" s="32"/>
      <c r="D84" s="30"/>
      <c r="E84" s="32"/>
      <c r="F84" s="30">
        <f>F160</f>
        <v>250000</v>
      </c>
      <c r="G84" s="32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1:19" s="7" customFormat="1" ht="63" customHeight="1" x14ac:dyDescent="0.35">
      <c r="A85" s="17"/>
      <c r="B85" s="17" t="s">
        <v>172</v>
      </c>
      <c r="C85" s="100"/>
      <c r="D85" s="83"/>
      <c r="E85" s="100"/>
      <c r="F85" s="28">
        <f>SUM(F86:F118)</f>
        <v>8000431</v>
      </c>
      <c r="G85" s="100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s="10" customFormat="1" ht="57" customHeight="1" x14ac:dyDescent="0.35">
      <c r="A86" s="29"/>
      <c r="B86" s="19" t="s">
        <v>82</v>
      </c>
      <c r="C86" s="20" t="s">
        <v>65</v>
      </c>
      <c r="D86" s="21"/>
      <c r="E86" s="8"/>
      <c r="F86" s="22">
        <v>100000</v>
      </c>
      <c r="G86" s="8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s="10" customFormat="1" ht="78.75" customHeight="1" x14ac:dyDescent="0.35">
      <c r="A87" s="29"/>
      <c r="B87" s="19" t="s">
        <v>162</v>
      </c>
      <c r="C87" s="20" t="s">
        <v>65</v>
      </c>
      <c r="D87" s="21"/>
      <c r="E87" s="8"/>
      <c r="F87" s="22">
        <v>100000</v>
      </c>
      <c r="G87" s="8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s="10" customFormat="1" ht="132.6" customHeight="1" x14ac:dyDescent="0.35">
      <c r="A88" s="29"/>
      <c r="B88" s="19" t="s">
        <v>211</v>
      </c>
      <c r="C88" s="20" t="s">
        <v>65</v>
      </c>
      <c r="D88" s="21"/>
      <c r="E88" s="8"/>
      <c r="F88" s="22">
        <v>46465</v>
      </c>
      <c r="G88" s="8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s="10" customFormat="1" ht="109.5" customHeight="1" x14ac:dyDescent="0.35">
      <c r="A89" s="29"/>
      <c r="B89" s="19" t="s">
        <v>83</v>
      </c>
      <c r="C89" s="20" t="s">
        <v>65</v>
      </c>
      <c r="D89" s="21"/>
      <c r="E89" s="8"/>
      <c r="F89" s="22">
        <v>500000</v>
      </c>
      <c r="G89" s="8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s="10" customFormat="1" ht="90.75" customHeight="1" x14ac:dyDescent="0.35">
      <c r="A90" s="29"/>
      <c r="B90" s="19" t="s">
        <v>232</v>
      </c>
      <c r="C90" s="20" t="s">
        <v>65</v>
      </c>
      <c r="D90" s="21"/>
      <c r="E90" s="8"/>
      <c r="F90" s="22">
        <v>49950</v>
      </c>
      <c r="G90" s="8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s="10" customFormat="1" ht="55.5" customHeight="1" x14ac:dyDescent="0.35">
      <c r="A91" s="29"/>
      <c r="B91" s="19" t="s">
        <v>176</v>
      </c>
      <c r="C91" s="20" t="s">
        <v>65</v>
      </c>
      <c r="D91" s="21"/>
      <c r="E91" s="8"/>
      <c r="F91" s="22">
        <v>100000</v>
      </c>
      <c r="G91" s="8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s="10" customFormat="1" ht="82.5" customHeight="1" x14ac:dyDescent="0.35">
      <c r="A92" s="29"/>
      <c r="B92" s="19" t="s">
        <v>77</v>
      </c>
      <c r="C92" s="20" t="s">
        <v>65</v>
      </c>
      <c r="D92" s="21"/>
      <c r="E92" s="8"/>
      <c r="F92" s="22">
        <v>100000</v>
      </c>
      <c r="G92" s="8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s="10" customFormat="1" ht="80.25" customHeight="1" x14ac:dyDescent="0.35">
      <c r="A93" s="100"/>
      <c r="B93" s="19" t="s">
        <v>78</v>
      </c>
      <c r="C93" s="20" t="s">
        <v>65</v>
      </c>
      <c r="D93" s="21"/>
      <c r="E93" s="8"/>
      <c r="F93" s="22">
        <v>100000</v>
      </c>
      <c r="G93" s="8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s="10" customFormat="1" ht="52.5" customHeight="1" x14ac:dyDescent="0.35">
      <c r="A94" s="29"/>
      <c r="B94" s="19" t="s">
        <v>151</v>
      </c>
      <c r="C94" s="20" t="s">
        <v>65</v>
      </c>
      <c r="D94" s="21"/>
      <c r="E94" s="8"/>
      <c r="F94" s="22">
        <v>100000</v>
      </c>
      <c r="G94" s="8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s="10" customFormat="1" ht="67.5" customHeight="1" x14ac:dyDescent="0.35">
      <c r="A95" s="29"/>
      <c r="B95" s="19" t="s">
        <v>263</v>
      </c>
      <c r="C95" s="20" t="s">
        <v>65</v>
      </c>
      <c r="D95" s="21"/>
      <c r="E95" s="8"/>
      <c r="F95" s="22">
        <v>100000</v>
      </c>
      <c r="G95" s="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s="10" customFormat="1" ht="93" customHeight="1" x14ac:dyDescent="0.35">
      <c r="A96" s="29"/>
      <c r="B96" s="19" t="s">
        <v>212</v>
      </c>
      <c r="C96" s="20" t="s">
        <v>65</v>
      </c>
      <c r="D96" s="21"/>
      <c r="E96" s="8"/>
      <c r="F96" s="22">
        <v>46460</v>
      </c>
      <c r="G96" s="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s="10" customFormat="1" ht="84.75" customHeight="1" x14ac:dyDescent="0.35">
      <c r="A97" s="29"/>
      <c r="B97" s="19" t="s">
        <v>84</v>
      </c>
      <c r="C97" s="20" t="s">
        <v>65</v>
      </c>
      <c r="D97" s="21"/>
      <c r="E97" s="8"/>
      <c r="F97" s="22">
        <v>100000</v>
      </c>
      <c r="G97" s="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s="10" customFormat="1" ht="83.25" customHeight="1" x14ac:dyDescent="0.35">
      <c r="A98" s="29"/>
      <c r="B98" s="19" t="s">
        <v>244</v>
      </c>
      <c r="C98" s="20" t="s">
        <v>65</v>
      </c>
      <c r="D98" s="21"/>
      <c r="E98" s="8"/>
      <c r="F98" s="22">
        <v>500000</v>
      </c>
      <c r="G98" s="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s="10" customFormat="1" ht="83.25" customHeight="1" x14ac:dyDescent="0.35">
      <c r="A99" s="29"/>
      <c r="B99" s="19" t="s">
        <v>260</v>
      </c>
      <c r="C99" s="20" t="s">
        <v>65</v>
      </c>
      <c r="D99" s="21"/>
      <c r="E99" s="8"/>
      <c r="F99" s="22">
        <v>50000</v>
      </c>
      <c r="G99" s="8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s="10" customFormat="1" ht="60" customHeight="1" x14ac:dyDescent="0.35">
      <c r="A100" s="29"/>
      <c r="B100" s="19" t="s">
        <v>177</v>
      </c>
      <c r="C100" s="20" t="s">
        <v>65</v>
      </c>
      <c r="D100" s="21"/>
      <c r="E100" s="8"/>
      <c r="F100" s="22">
        <v>100000</v>
      </c>
      <c r="G100" s="8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s="10" customFormat="1" ht="60" customHeight="1" x14ac:dyDescent="0.35">
      <c r="A101" s="29"/>
      <c r="B101" s="19" t="s">
        <v>178</v>
      </c>
      <c r="C101" s="20" t="s">
        <v>65</v>
      </c>
      <c r="D101" s="21">
        <v>3611906.5</v>
      </c>
      <c r="E101" s="8"/>
      <c r="F101" s="22">
        <v>3024229</v>
      </c>
      <c r="G101" s="24">
        <v>100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s="10" customFormat="1" ht="61.5" customHeight="1" x14ac:dyDescent="0.35">
      <c r="A102" s="29"/>
      <c r="B102" s="19" t="s">
        <v>85</v>
      </c>
      <c r="C102" s="20" t="s">
        <v>65</v>
      </c>
      <c r="D102" s="21"/>
      <c r="E102" s="8"/>
      <c r="F102" s="22">
        <v>100000</v>
      </c>
      <c r="G102" s="8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s="10" customFormat="1" ht="94.5" customHeight="1" x14ac:dyDescent="0.35">
      <c r="A103" s="29"/>
      <c r="B103" s="19" t="s">
        <v>86</v>
      </c>
      <c r="C103" s="20" t="s">
        <v>65</v>
      </c>
      <c r="D103" s="21"/>
      <c r="E103" s="8"/>
      <c r="F103" s="22">
        <v>500000</v>
      </c>
      <c r="G103" s="8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s="10" customFormat="1" ht="74.25" customHeight="1" x14ac:dyDescent="0.35">
      <c r="A104" s="29"/>
      <c r="B104" s="19" t="s">
        <v>87</v>
      </c>
      <c r="C104" s="20" t="s">
        <v>65</v>
      </c>
      <c r="D104" s="21"/>
      <c r="E104" s="8"/>
      <c r="F104" s="22">
        <v>100000</v>
      </c>
      <c r="G104" s="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s="10" customFormat="1" ht="94.5" customHeight="1" x14ac:dyDescent="0.35">
      <c r="A105" s="29"/>
      <c r="B105" s="19" t="s">
        <v>88</v>
      </c>
      <c r="C105" s="20" t="s">
        <v>65</v>
      </c>
      <c r="D105" s="21"/>
      <c r="E105" s="8"/>
      <c r="F105" s="22">
        <f>500000-29451</f>
        <v>470549</v>
      </c>
      <c r="G105" s="8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s="10" customFormat="1" ht="81.75" customHeight="1" x14ac:dyDescent="0.35">
      <c r="A106" s="29"/>
      <c r="B106" s="19" t="s">
        <v>152</v>
      </c>
      <c r="C106" s="20" t="s">
        <v>65</v>
      </c>
      <c r="D106" s="21"/>
      <c r="E106" s="8"/>
      <c r="F106" s="22">
        <v>100000</v>
      </c>
      <c r="G106" s="8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s="10" customFormat="1" ht="81.75" customHeight="1" x14ac:dyDescent="0.35">
      <c r="A107" s="29"/>
      <c r="B107" s="19" t="s">
        <v>333</v>
      </c>
      <c r="C107" s="20" t="s">
        <v>65</v>
      </c>
      <c r="D107" s="21"/>
      <c r="E107" s="8"/>
      <c r="F107" s="22">
        <v>50000</v>
      </c>
      <c r="G107" s="8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s="10" customFormat="1" ht="73.5" customHeight="1" x14ac:dyDescent="0.35">
      <c r="A108" s="29"/>
      <c r="B108" s="19" t="s">
        <v>179</v>
      </c>
      <c r="C108" s="20" t="s">
        <v>65</v>
      </c>
      <c r="D108" s="21"/>
      <c r="E108" s="8"/>
      <c r="F108" s="22">
        <v>100000</v>
      </c>
      <c r="G108" s="8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s="10" customFormat="1" ht="73.5" customHeight="1" x14ac:dyDescent="0.35">
      <c r="A109" s="29"/>
      <c r="B109" s="19" t="s">
        <v>89</v>
      </c>
      <c r="C109" s="20" t="s">
        <v>65</v>
      </c>
      <c r="D109" s="21"/>
      <c r="E109" s="8"/>
      <c r="F109" s="22">
        <f>100000-16000</f>
        <v>84000</v>
      </c>
      <c r="G109" s="8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s="10" customFormat="1" ht="73.5" customHeight="1" x14ac:dyDescent="0.35">
      <c r="A110" s="29"/>
      <c r="B110" s="19" t="s">
        <v>90</v>
      </c>
      <c r="C110" s="20" t="s">
        <v>65</v>
      </c>
      <c r="D110" s="21"/>
      <c r="E110" s="8"/>
      <c r="F110" s="22">
        <v>139000</v>
      </c>
      <c r="G110" s="8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s="10" customFormat="1" ht="70.5" customHeight="1" x14ac:dyDescent="0.35">
      <c r="A111" s="29"/>
      <c r="B111" s="19" t="s">
        <v>121</v>
      </c>
      <c r="C111" s="20" t="s">
        <v>65</v>
      </c>
      <c r="D111" s="21"/>
      <c r="E111" s="8"/>
      <c r="F111" s="22">
        <v>15000</v>
      </c>
      <c r="G111" s="8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s="10" customFormat="1" ht="70.5" customHeight="1" x14ac:dyDescent="0.35">
      <c r="A112" s="29"/>
      <c r="B112" s="19" t="s">
        <v>258</v>
      </c>
      <c r="C112" s="20" t="s">
        <v>65</v>
      </c>
      <c r="D112" s="21"/>
      <c r="E112" s="8"/>
      <c r="F112" s="22">
        <v>124778</v>
      </c>
      <c r="G112" s="8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s="10" customFormat="1" ht="70.5" customHeight="1" x14ac:dyDescent="0.35">
      <c r="A113" s="29"/>
      <c r="B113" s="19" t="s">
        <v>153</v>
      </c>
      <c r="C113" s="20" t="s">
        <v>65</v>
      </c>
      <c r="D113" s="21"/>
      <c r="E113" s="8"/>
      <c r="F113" s="22">
        <v>200000</v>
      </c>
      <c r="G113" s="8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s="10" customFormat="1" ht="78.75" customHeight="1" x14ac:dyDescent="0.35">
      <c r="A114" s="29"/>
      <c r="B114" s="19" t="s">
        <v>79</v>
      </c>
      <c r="C114" s="20" t="s">
        <v>65</v>
      </c>
      <c r="D114" s="21"/>
      <c r="E114" s="8"/>
      <c r="F114" s="22">
        <v>100000</v>
      </c>
      <c r="G114" s="8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s="10" customFormat="1" ht="75.75" customHeight="1" x14ac:dyDescent="0.35">
      <c r="A115" s="29"/>
      <c r="B115" s="19" t="s">
        <v>154</v>
      </c>
      <c r="C115" s="20" t="s">
        <v>65</v>
      </c>
      <c r="D115" s="21"/>
      <c r="E115" s="8"/>
      <c r="F115" s="22">
        <v>500000</v>
      </c>
      <c r="G115" s="8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s="7" customFormat="1" ht="58.5" customHeight="1" x14ac:dyDescent="0.35">
      <c r="A116" s="16"/>
      <c r="B116" s="19" t="s">
        <v>80</v>
      </c>
      <c r="C116" s="20" t="s">
        <v>65</v>
      </c>
      <c r="D116" s="83"/>
      <c r="E116" s="100"/>
      <c r="F116" s="22">
        <v>100000</v>
      </c>
      <c r="G116" s="100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 s="7" customFormat="1" ht="58.5" customHeight="1" x14ac:dyDescent="0.35">
      <c r="A117" s="17"/>
      <c r="B117" s="19" t="s">
        <v>81</v>
      </c>
      <c r="C117" s="20" t="s">
        <v>65</v>
      </c>
      <c r="D117" s="83"/>
      <c r="E117" s="100"/>
      <c r="F117" s="22">
        <v>100000</v>
      </c>
      <c r="G117" s="100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 s="10" customFormat="1" ht="58.5" customHeight="1" x14ac:dyDescent="0.35">
      <c r="A118" s="29"/>
      <c r="B118" s="19" t="s">
        <v>127</v>
      </c>
      <c r="C118" s="20" t="s">
        <v>65</v>
      </c>
      <c r="D118" s="21"/>
      <c r="E118" s="8"/>
      <c r="F118" s="22">
        <v>100000</v>
      </c>
      <c r="G118" s="8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s="10" customFormat="1" ht="72" customHeight="1" x14ac:dyDescent="0.35">
      <c r="A119" s="17"/>
      <c r="B119" s="17" t="s">
        <v>173</v>
      </c>
      <c r="C119" s="8"/>
      <c r="D119" s="21"/>
      <c r="E119" s="8"/>
      <c r="F119" s="28">
        <f>SUM(F120:F171)-F160</f>
        <v>15699135</v>
      </c>
      <c r="G119" s="8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s="10" customFormat="1" ht="93" customHeight="1" x14ac:dyDescent="0.35">
      <c r="A120" s="100"/>
      <c r="B120" s="19" t="s">
        <v>66</v>
      </c>
      <c r="C120" s="20" t="s">
        <v>65</v>
      </c>
      <c r="D120" s="21"/>
      <c r="E120" s="8"/>
      <c r="F120" s="22">
        <v>20000</v>
      </c>
      <c r="G120" s="8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s="10" customFormat="1" ht="90" customHeight="1" x14ac:dyDescent="0.35">
      <c r="A121" s="29"/>
      <c r="B121" s="19" t="s">
        <v>67</v>
      </c>
      <c r="C121" s="20" t="s">
        <v>65</v>
      </c>
      <c r="D121" s="21"/>
      <c r="E121" s="8"/>
      <c r="F121" s="22">
        <v>200000</v>
      </c>
      <c r="G121" s="8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s="10" customFormat="1" ht="90" customHeight="1" x14ac:dyDescent="0.35">
      <c r="A122" s="29"/>
      <c r="B122" s="19" t="s">
        <v>294</v>
      </c>
      <c r="C122" s="20" t="s">
        <v>17</v>
      </c>
      <c r="D122" s="21">
        <v>971315</v>
      </c>
      <c r="E122" s="8">
        <v>76.3</v>
      </c>
      <c r="F122" s="22">
        <v>230045</v>
      </c>
      <c r="G122" s="24">
        <v>100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s="10" customFormat="1" ht="72.75" customHeight="1" x14ac:dyDescent="0.35">
      <c r="A123" s="29"/>
      <c r="B123" s="19" t="s">
        <v>68</v>
      </c>
      <c r="C123" s="20" t="s">
        <v>65</v>
      </c>
      <c r="D123" s="21"/>
      <c r="E123" s="8"/>
      <c r="F123" s="22">
        <v>400000</v>
      </c>
      <c r="G123" s="8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s="10" customFormat="1" ht="52.5" customHeight="1" x14ac:dyDescent="0.35">
      <c r="A124" s="29"/>
      <c r="B124" s="19" t="s">
        <v>69</v>
      </c>
      <c r="C124" s="20" t="s">
        <v>65</v>
      </c>
      <c r="D124" s="21"/>
      <c r="E124" s="8"/>
      <c r="F124" s="22">
        <v>500000</v>
      </c>
      <c r="G124" s="8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s="10" customFormat="1" ht="54" customHeight="1" x14ac:dyDescent="0.35">
      <c r="A125" s="29"/>
      <c r="B125" s="19" t="s">
        <v>122</v>
      </c>
      <c r="C125" s="20" t="s">
        <v>65</v>
      </c>
      <c r="D125" s="21"/>
      <c r="E125" s="8"/>
      <c r="F125" s="22">
        <v>200000</v>
      </c>
      <c r="G125" s="24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s="10" customFormat="1" ht="54" customHeight="1" x14ac:dyDescent="0.35">
      <c r="A126" s="29"/>
      <c r="B126" s="19" t="s">
        <v>123</v>
      </c>
      <c r="C126" s="20" t="s">
        <v>17</v>
      </c>
      <c r="D126" s="21">
        <v>4205484</v>
      </c>
      <c r="E126" s="8">
        <v>80.400000000000006</v>
      </c>
      <c r="F126" s="22">
        <v>320000</v>
      </c>
      <c r="G126" s="24">
        <v>88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s="10" customFormat="1" ht="73.5" customHeight="1" x14ac:dyDescent="0.35">
      <c r="A127" s="29"/>
      <c r="B127" s="19" t="s">
        <v>70</v>
      </c>
      <c r="C127" s="20" t="s">
        <v>65</v>
      </c>
      <c r="D127" s="21"/>
      <c r="E127" s="8"/>
      <c r="F127" s="22">
        <v>200000</v>
      </c>
      <c r="G127" s="8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s="10" customFormat="1" ht="54" customHeight="1" x14ac:dyDescent="0.35">
      <c r="A128" s="29"/>
      <c r="B128" s="19" t="s">
        <v>71</v>
      </c>
      <c r="C128" s="20" t="s">
        <v>65</v>
      </c>
      <c r="D128" s="21"/>
      <c r="E128" s="8"/>
      <c r="F128" s="22">
        <v>200000</v>
      </c>
      <c r="G128" s="8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s="10" customFormat="1" ht="54" customHeight="1" x14ac:dyDescent="0.35">
      <c r="A129" s="29"/>
      <c r="B129" s="19" t="s">
        <v>72</v>
      </c>
      <c r="C129" s="20" t="s">
        <v>65</v>
      </c>
      <c r="D129" s="21"/>
      <c r="E129" s="8"/>
      <c r="F129" s="22">
        <v>200000</v>
      </c>
      <c r="G129" s="8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s="10" customFormat="1" ht="83.25" customHeight="1" x14ac:dyDescent="0.35">
      <c r="A130" s="29"/>
      <c r="B130" s="19" t="s">
        <v>73</v>
      </c>
      <c r="C130" s="20" t="s">
        <v>65</v>
      </c>
      <c r="D130" s="21"/>
      <c r="E130" s="8"/>
      <c r="F130" s="22">
        <v>200000</v>
      </c>
      <c r="G130" s="8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s="10" customFormat="1" ht="94.5" customHeight="1" x14ac:dyDescent="0.35">
      <c r="A131" s="29"/>
      <c r="B131" s="19" t="s">
        <v>213</v>
      </c>
      <c r="C131" s="20" t="s">
        <v>65</v>
      </c>
      <c r="D131" s="21"/>
      <c r="E131" s="8"/>
      <c r="F131" s="22">
        <v>53880</v>
      </c>
      <c r="G131" s="8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s="10" customFormat="1" ht="80.25" customHeight="1" x14ac:dyDescent="0.35">
      <c r="A132" s="29"/>
      <c r="B132" s="19" t="s">
        <v>214</v>
      </c>
      <c r="C132" s="20" t="s">
        <v>22</v>
      </c>
      <c r="D132" s="21">
        <v>1269917</v>
      </c>
      <c r="E132" s="8">
        <v>38.1</v>
      </c>
      <c r="F132" s="22">
        <v>784918</v>
      </c>
      <c r="G132" s="24">
        <v>100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s="10" customFormat="1" ht="99" customHeight="1" x14ac:dyDescent="0.35">
      <c r="A133" s="19"/>
      <c r="B133" s="19" t="s">
        <v>215</v>
      </c>
      <c r="C133" s="20" t="s">
        <v>65</v>
      </c>
      <c r="D133" s="21"/>
      <c r="E133" s="8"/>
      <c r="F133" s="22">
        <v>400000</v>
      </c>
      <c r="G133" s="8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s="10" customFormat="1" ht="87.75" customHeight="1" x14ac:dyDescent="0.35">
      <c r="A134" s="19"/>
      <c r="B134" s="19" t="s">
        <v>241</v>
      </c>
      <c r="C134" s="20" t="s">
        <v>65</v>
      </c>
      <c r="D134" s="21"/>
      <c r="E134" s="8"/>
      <c r="F134" s="22">
        <v>200000</v>
      </c>
      <c r="G134" s="8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s="10" customFormat="1" ht="81.75" customHeight="1" x14ac:dyDescent="0.35">
      <c r="A135" s="100"/>
      <c r="B135" s="19" t="s">
        <v>91</v>
      </c>
      <c r="C135" s="20" t="s">
        <v>65</v>
      </c>
      <c r="D135" s="21"/>
      <c r="E135" s="8"/>
      <c r="F135" s="22">
        <v>200000</v>
      </c>
      <c r="G135" s="8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s="10" customFormat="1" ht="81.75" customHeight="1" x14ac:dyDescent="0.35">
      <c r="A136" s="100"/>
      <c r="B136" s="19" t="s">
        <v>280</v>
      </c>
      <c r="C136" s="20" t="s">
        <v>65</v>
      </c>
      <c r="D136" s="21"/>
      <c r="E136" s="8"/>
      <c r="F136" s="22">
        <f>30000+20000</f>
        <v>50000</v>
      </c>
      <c r="G136" s="8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s="10" customFormat="1" ht="54" customHeight="1" x14ac:dyDescent="0.35">
      <c r="A137" s="100"/>
      <c r="B137" s="19" t="s">
        <v>74</v>
      </c>
      <c r="C137" s="20" t="s">
        <v>65</v>
      </c>
      <c r="D137" s="21"/>
      <c r="E137" s="8"/>
      <c r="F137" s="22">
        <v>200000</v>
      </c>
      <c r="G137" s="8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s="10" customFormat="1" ht="75.75" customHeight="1" x14ac:dyDescent="0.35">
      <c r="A138" s="100"/>
      <c r="B138" s="19" t="s">
        <v>245</v>
      </c>
      <c r="C138" s="20" t="s">
        <v>65</v>
      </c>
      <c r="D138" s="21"/>
      <c r="E138" s="8"/>
      <c r="F138" s="22">
        <v>53880</v>
      </c>
      <c r="G138" s="8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s="10" customFormat="1" ht="63" customHeight="1" x14ac:dyDescent="0.35">
      <c r="A139" s="100"/>
      <c r="B139" s="19" t="s">
        <v>92</v>
      </c>
      <c r="C139" s="20" t="s">
        <v>65</v>
      </c>
      <c r="D139" s="21"/>
      <c r="E139" s="8"/>
      <c r="F139" s="22">
        <v>200000</v>
      </c>
      <c r="G139" s="8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s="10" customFormat="1" ht="89.25" customHeight="1" x14ac:dyDescent="0.35">
      <c r="A140" s="29"/>
      <c r="B140" s="19" t="s">
        <v>124</v>
      </c>
      <c r="C140" s="20" t="s">
        <v>17</v>
      </c>
      <c r="D140" s="21">
        <v>1743103</v>
      </c>
      <c r="E140" s="24">
        <v>80.400000000000006</v>
      </c>
      <c r="F140" s="22">
        <v>338237</v>
      </c>
      <c r="G140" s="24">
        <v>100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s="10" customFormat="1" ht="90" customHeight="1" x14ac:dyDescent="0.35">
      <c r="A141" s="29"/>
      <c r="B141" s="19" t="s">
        <v>242</v>
      </c>
      <c r="C141" s="20" t="s">
        <v>22</v>
      </c>
      <c r="D141" s="21">
        <v>512028</v>
      </c>
      <c r="E141" s="24">
        <v>39</v>
      </c>
      <c r="F141" s="22">
        <v>312177</v>
      </c>
      <c r="G141" s="24">
        <v>100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s="10" customFormat="1" ht="112.5" customHeight="1" x14ac:dyDescent="0.35">
      <c r="A142" s="29"/>
      <c r="B142" s="19" t="s">
        <v>216</v>
      </c>
      <c r="C142" s="20" t="s">
        <v>65</v>
      </c>
      <c r="D142" s="21"/>
      <c r="E142" s="24"/>
      <c r="F142" s="22">
        <v>53880</v>
      </c>
      <c r="G142" s="8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s="10" customFormat="1" ht="63" customHeight="1" x14ac:dyDescent="0.35">
      <c r="A143" s="100"/>
      <c r="B143" s="19" t="s">
        <v>155</v>
      </c>
      <c r="C143" s="20" t="s">
        <v>65</v>
      </c>
      <c r="D143" s="21"/>
      <c r="E143" s="8"/>
      <c r="F143" s="22">
        <v>200000</v>
      </c>
      <c r="G143" s="8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s="10" customFormat="1" ht="63" customHeight="1" x14ac:dyDescent="0.35">
      <c r="A144" s="29"/>
      <c r="B144" s="19" t="s">
        <v>233</v>
      </c>
      <c r="C144" s="20" t="s">
        <v>22</v>
      </c>
      <c r="D144" s="21">
        <v>1192191</v>
      </c>
      <c r="E144" s="8">
        <v>89.2</v>
      </c>
      <c r="F144" s="22">
        <v>129249</v>
      </c>
      <c r="G144" s="24">
        <v>100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s="10" customFormat="1" ht="63" customHeight="1" x14ac:dyDescent="0.35">
      <c r="A145" s="29"/>
      <c r="B145" s="19" t="s">
        <v>126</v>
      </c>
      <c r="C145" s="20" t="s">
        <v>65</v>
      </c>
      <c r="D145" s="21"/>
      <c r="E145" s="8"/>
      <c r="F145" s="22">
        <v>145709</v>
      </c>
      <c r="G145" s="8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s="10" customFormat="1" ht="100.5" customHeight="1" x14ac:dyDescent="0.35">
      <c r="A146" s="29"/>
      <c r="B146" s="19" t="s">
        <v>135</v>
      </c>
      <c r="C146" s="20" t="s">
        <v>22</v>
      </c>
      <c r="D146" s="21">
        <v>793064</v>
      </c>
      <c r="E146" s="8">
        <v>8.6</v>
      </c>
      <c r="F146" s="22">
        <v>725042</v>
      </c>
      <c r="G146" s="24">
        <v>100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s="10" customFormat="1" ht="72.75" customHeight="1" x14ac:dyDescent="0.35">
      <c r="A147" s="100"/>
      <c r="B147" s="19" t="s">
        <v>75</v>
      </c>
      <c r="C147" s="20" t="s">
        <v>65</v>
      </c>
      <c r="D147" s="21"/>
      <c r="E147" s="8"/>
      <c r="F147" s="22">
        <v>1450000</v>
      </c>
      <c r="G147" s="8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s="10" customFormat="1" ht="72" customHeight="1" x14ac:dyDescent="0.35">
      <c r="A148" s="29"/>
      <c r="B148" s="19" t="s">
        <v>304</v>
      </c>
      <c r="C148" s="20" t="s">
        <v>65</v>
      </c>
      <c r="D148" s="21"/>
      <c r="E148" s="8"/>
      <c r="F148" s="22">
        <v>60000</v>
      </c>
      <c r="G148" s="8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s="10" customFormat="1" ht="72" customHeight="1" x14ac:dyDescent="0.35">
      <c r="A149" s="29"/>
      <c r="B149" s="19" t="s">
        <v>125</v>
      </c>
      <c r="C149" s="20" t="s">
        <v>17</v>
      </c>
      <c r="D149" s="21">
        <v>4051404</v>
      </c>
      <c r="E149" s="8">
        <v>91.5</v>
      </c>
      <c r="F149" s="22">
        <v>345283</v>
      </c>
      <c r="G149" s="24">
        <v>100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s="10" customFormat="1" ht="72" customHeight="1" x14ac:dyDescent="0.35">
      <c r="A150" s="29"/>
      <c r="B150" s="19" t="s">
        <v>93</v>
      </c>
      <c r="C150" s="20" t="s">
        <v>65</v>
      </c>
      <c r="D150" s="21"/>
      <c r="E150" s="8"/>
      <c r="F150" s="22">
        <v>200000</v>
      </c>
      <c r="G150" s="8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s="10" customFormat="1" ht="72" customHeight="1" x14ac:dyDescent="0.35">
      <c r="A151" s="29"/>
      <c r="B151" s="19" t="s">
        <v>246</v>
      </c>
      <c r="C151" s="20" t="s">
        <v>65</v>
      </c>
      <c r="D151" s="21"/>
      <c r="E151" s="8"/>
      <c r="F151" s="22">
        <v>549000</v>
      </c>
      <c r="G151" s="8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s="10" customFormat="1" ht="72" customHeight="1" x14ac:dyDescent="0.35">
      <c r="A152" s="29"/>
      <c r="B152" s="19" t="s">
        <v>247</v>
      </c>
      <c r="C152" s="20" t="s">
        <v>65</v>
      </c>
      <c r="D152" s="21"/>
      <c r="E152" s="8"/>
      <c r="F152" s="22">
        <v>1049000</v>
      </c>
      <c r="G152" s="8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s="10" customFormat="1" ht="72" customHeight="1" x14ac:dyDescent="0.35">
      <c r="A153" s="100"/>
      <c r="B153" s="19" t="s">
        <v>76</v>
      </c>
      <c r="C153" s="20" t="s">
        <v>65</v>
      </c>
      <c r="D153" s="21"/>
      <c r="E153" s="8"/>
      <c r="F153" s="22">
        <v>716000</v>
      </c>
      <c r="G153" s="8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s="10" customFormat="1" ht="71.25" customHeight="1" x14ac:dyDescent="0.35">
      <c r="A154" s="29"/>
      <c r="B154" s="19" t="s">
        <v>130</v>
      </c>
      <c r="C154" s="20" t="s">
        <v>65</v>
      </c>
      <c r="D154" s="21"/>
      <c r="E154" s="8"/>
      <c r="F154" s="22">
        <v>200000</v>
      </c>
      <c r="G154" s="8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s="10" customFormat="1" ht="78.75" customHeight="1" x14ac:dyDescent="0.35">
      <c r="A155" s="100"/>
      <c r="B155" s="19" t="s">
        <v>131</v>
      </c>
      <c r="C155" s="20" t="s">
        <v>65</v>
      </c>
      <c r="D155" s="21"/>
      <c r="E155" s="8"/>
      <c r="F155" s="22">
        <v>53880</v>
      </c>
      <c r="G155" s="8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s="10" customFormat="1" ht="72" customHeight="1" x14ac:dyDescent="0.35">
      <c r="A156" s="29"/>
      <c r="B156" s="19" t="s">
        <v>94</v>
      </c>
      <c r="C156" s="20" t="s">
        <v>65</v>
      </c>
      <c r="D156" s="21"/>
      <c r="E156" s="8"/>
      <c r="F156" s="22">
        <v>200000</v>
      </c>
      <c r="G156" s="8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s="10" customFormat="1" ht="105" customHeight="1" x14ac:dyDescent="0.35">
      <c r="A157" s="29"/>
      <c r="B157" s="19" t="s">
        <v>149</v>
      </c>
      <c r="C157" s="20" t="s">
        <v>65</v>
      </c>
      <c r="D157" s="21"/>
      <c r="E157" s="8"/>
      <c r="F157" s="22">
        <v>53880</v>
      </c>
      <c r="G157" s="8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s="10" customFormat="1" ht="105" customHeight="1" x14ac:dyDescent="0.35">
      <c r="A158" s="29"/>
      <c r="B158" s="19" t="s">
        <v>288</v>
      </c>
      <c r="C158" s="20" t="s">
        <v>22</v>
      </c>
      <c r="D158" s="21">
        <v>2034749</v>
      </c>
      <c r="E158" s="8">
        <v>69.599999999999994</v>
      </c>
      <c r="F158" s="22">
        <f>618634</f>
        <v>618634</v>
      </c>
      <c r="G158" s="24">
        <v>100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s="10" customFormat="1" ht="66" customHeight="1" x14ac:dyDescent="0.35">
      <c r="A159" s="29"/>
      <c r="B159" s="19" t="s">
        <v>338</v>
      </c>
      <c r="C159" s="20" t="s">
        <v>65</v>
      </c>
      <c r="D159" s="21"/>
      <c r="E159" s="8"/>
      <c r="F159" s="22">
        <v>250000</v>
      </c>
      <c r="G159" s="24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s="10" customFormat="1" ht="27.75" customHeight="1" x14ac:dyDescent="0.35">
      <c r="A160" s="29"/>
      <c r="B160" s="29" t="s">
        <v>311</v>
      </c>
      <c r="C160" s="20"/>
      <c r="D160" s="21"/>
      <c r="E160" s="8"/>
      <c r="F160" s="30">
        <v>250000</v>
      </c>
      <c r="G160" s="24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s="10" customFormat="1" ht="58.5" customHeight="1" x14ac:dyDescent="0.35">
      <c r="A161" s="100"/>
      <c r="B161" s="19" t="s">
        <v>95</v>
      </c>
      <c r="C161" s="20" t="s">
        <v>65</v>
      </c>
      <c r="D161" s="21"/>
      <c r="E161" s="8"/>
      <c r="F161" s="22">
        <v>200000</v>
      </c>
      <c r="G161" s="8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s="10" customFormat="1" ht="92.25" customHeight="1" x14ac:dyDescent="0.35">
      <c r="A162" s="100"/>
      <c r="B162" s="19" t="s">
        <v>129</v>
      </c>
      <c r="C162" s="20" t="s">
        <v>65</v>
      </c>
      <c r="D162" s="21"/>
      <c r="E162" s="8"/>
      <c r="F162" s="22">
        <v>222840</v>
      </c>
      <c r="G162" s="8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s="10" customFormat="1" ht="72" customHeight="1" x14ac:dyDescent="0.35">
      <c r="A163" s="100"/>
      <c r="B163" s="19" t="s">
        <v>115</v>
      </c>
      <c r="C163" s="20" t="s">
        <v>65</v>
      </c>
      <c r="D163" s="21"/>
      <c r="E163" s="8"/>
      <c r="F163" s="22">
        <v>1100000</v>
      </c>
      <c r="G163" s="8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s="10" customFormat="1" ht="72" customHeight="1" x14ac:dyDescent="0.35">
      <c r="A164" s="29"/>
      <c r="B164" s="19" t="s">
        <v>234</v>
      </c>
      <c r="C164" s="20" t="s">
        <v>65</v>
      </c>
      <c r="D164" s="21"/>
      <c r="E164" s="8"/>
      <c r="F164" s="22">
        <f>200000+29451</f>
        <v>229451</v>
      </c>
      <c r="G164" s="8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s="10" customFormat="1" ht="72" customHeight="1" x14ac:dyDescent="0.35">
      <c r="A165" s="29"/>
      <c r="B165" s="19" t="s">
        <v>334</v>
      </c>
      <c r="C165" s="20" t="s">
        <v>65</v>
      </c>
      <c r="D165" s="21"/>
      <c r="E165" s="8"/>
      <c r="F165" s="22">
        <v>298800</v>
      </c>
      <c r="G165" s="8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s="10" customFormat="1" ht="63.75" customHeight="1" x14ac:dyDescent="0.35">
      <c r="A166" s="29"/>
      <c r="B166" s="19" t="s">
        <v>281</v>
      </c>
      <c r="C166" s="20" t="s">
        <v>65</v>
      </c>
      <c r="D166" s="21"/>
      <c r="E166" s="8"/>
      <c r="F166" s="22">
        <v>200000</v>
      </c>
      <c r="G166" s="8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s="10" customFormat="1" ht="80.25" customHeight="1" x14ac:dyDescent="0.35">
      <c r="A167" s="29"/>
      <c r="B167" s="19" t="s">
        <v>282</v>
      </c>
      <c r="C167" s="20" t="s">
        <v>65</v>
      </c>
      <c r="D167" s="21"/>
      <c r="E167" s="8"/>
      <c r="F167" s="22">
        <v>200000</v>
      </c>
      <c r="G167" s="8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s="10" customFormat="1" ht="75.75" customHeight="1" x14ac:dyDescent="0.35">
      <c r="A168" s="29"/>
      <c r="B168" s="19" t="s">
        <v>96</v>
      </c>
      <c r="C168" s="20" t="s">
        <v>65</v>
      </c>
      <c r="D168" s="21"/>
      <c r="E168" s="8"/>
      <c r="F168" s="22">
        <v>200000</v>
      </c>
      <c r="G168" s="8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s="10" customFormat="1" ht="91.5" customHeight="1" x14ac:dyDescent="0.35">
      <c r="A169" s="29"/>
      <c r="B169" s="19" t="s">
        <v>97</v>
      </c>
      <c r="C169" s="20" t="s">
        <v>65</v>
      </c>
      <c r="D169" s="21"/>
      <c r="E169" s="8"/>
      <c r="F169" s="22">
        <v>200000</v>
      </c>
      <c r="G169" s="8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s="10" customFormat="1" ht="75.75" customHeight="1" x14ac:dyDescent="0.35">
      <c r="A170" s="29"/>
      <c r="B170" s="19" t="s">
        <v>283</v>
      </c>
      <c r="C170" s="20" t="s">
        <v>65</v>
      </c>
      <c r="D170" s="21"/>
      <c r="E170" s="8"/>
      <c r="F170" s="22">
        <v>185350</v>
      </c>
      <c r="G170" s="8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s="7" customFormat="1" ht="66.75" customHeight="1" x14ac:dyDescent="0.35">
      <c r="A171" s="16"/>
      <c r="B171" s="19" t="s">
        <v>284</v>
      </c>
      <c r="C171" s="20" t="s">
        <v>65</v>
      </c>
      <c r="D171" s="83"/>
      <c r="E171" s="100"/>
      <c r="F171" s="22">
        <v>200000</v>
      </c>
      <c r="G171" s="100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1:19" s="10" customFormat="1" ht="39" customHeight="1" x14ac:dyDescent="0.35">
      <c r="A172" s="17"/>
      <c r="B172" s="17" t="s">
        <v>174</v>
      </c>
      <c r="C172" s="8"/>
      <c r="D172" s="8"/>
      <c r="E172" s="8"/>
      <c r="F172" s="28">
        <f>SUM(F173:F174)</f>
        <v>1100000</v>
      </c>
      <c r="G172" s="100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s="10" customFormat="1" ht="63" customHeight="1" x14ac:dyDescent="0.35">
      <c r="A173" s="19"/>
      <c r="B173" s="19" t="s">
        <v>128</v>
      </c>
      <c r="C173" s="20" t="s">
        <v>65</v>
      </c>
      <c r="D173" s="8"/>
      <c r="E173" s="8"/>
      <c r="F173" s="22">
        <v>600000</v>
      </c>
      <c r="G173" s="100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s="10" customFormat="1" ht="81" x14ac:dyDescent="0.35">
      <c r="A174" s="19"/>
      <c r="B174" s="19" t="s">
        <v>156</v>
      </c>
      <c r="C174" s="20" t="s">
        <v>65</v>
      </c>
      <c r="D174" s="8"/>
      <c r="E174" s="8"/>
      <c r="F174" s="22">
        <v>500000</v>
      </c>
      <c r="G174" s="100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s="10" customFormat="1" ht="74.25" customHeight="1" x14ac:dyDescent="0.35">
      <c r="A175" s="16" t="s">
        <v>249</v>
      </c>
      <c r="B175" s="17"/>
      <c r="C175" s="20"/>
      <c r="D175" s="8"/>
      <c r="E175" s="8"/>
      <c r="F175" s="83">
        <f>F177+F179</f>
        <v>11792250</v>
      </c>
      <c r="G175" s="100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s="34" customFormat="1" ht="66" customHeight="1" x14ac:dyDescent="0.35">
      <c r="A176" s="29" t="s">
        <v>248</v>
      </c>
      <c r="B176" s="29"/>
      <c r="C176" s="86"/>
      <c r="D176" s="32"/>
      <c r="E176" s="32"/>
      <c r="F176" s="30">
        <f>F178+F180</f>
        <v>6006486</v>
      </c>
      <c r="G176" s="39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</row>
    <row r="177" spans="1:19" s="34" customFormat="1" ht="66" customHeight="1" x14ac:dyDescent="0.35">
      <c r="A177" s="29"/>
      <c r="B177" s="17" t="s">
        <v>199</v>
      </c>
      <c r="C177" s="86"/>
      <c r="D177" s="32"/>
      <c r="E177" s="32"/>
      <c r="F177" s="83">
        <f>F178</f>
        <v>194840</v>
      </c>
      <c r="G177" s="39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1:19" s="34" customFormat="1" ht="66" customHeight="1" x14ac:dyDescent="0.35">
      <c r="A178" s="29"/>
      <c r="B178" s="29" t="s">
        <v>248</v>
      </c>
      <c r="C178" s="86"/>
      <c r="D178" s="32"/>
      <c r="E178" s="32"/>
      <c r="F178" s="30">
        <v>194840</v>
      </c>
      <c r="G178" s="39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</row>
    <row r="179" spans="1:19" s="34" customFormat="1" ht="66" customHeight="1" x14ac:dyDescent="0.35">
      <c r="A179" s="29"/>
      <c r="B179" s="17" t="s">
        <v>43</v>
      </c>
      <c r="C179" s="86"/>
      <c r="D179" s="32"/>
      <c r="E179" s="32"/>
      <c r="F179" s="83">
        <f>F181+F183+F185+F186+F188</f>
        <v>11597410</v>
      </c>
      <c r="G179" s="39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</row>
    <row r="180" spans="1:19" s="34" customFormat="1" ht="66" customHeight="1" x14ac:dyDescent="0.35">
      <c r="A180" s="29"/>
      <c r="B180" s="29" t="s">
        <v>248</v>
      </c>
      <c r="C180" s="86"/>
      <c r="D180" s="32"/>
      <c r="E180" s="32"/>
      <c r="F180" s="30">
        <f>F182+F184+F189+F187</f>
        <v>5811646</v>
      </c>
      <c r="G180" s="39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1:19" s="34" customFormat="1" ht="83.25" customHeight="1" x14ac:dyDescent="0.35">
      <c r="A181" s="29"/>
      <c r="B181" s="19" t="s">
        <v>306</v>
      </c>
      <c r="C181" s="20" t="s">
        <v>65</v>
      </c>
      <c r="D181" s="21">
        <v>652488</v>
      </c>
      <c r="E181" s="32"/>
      <c r="F181" s="22">
        <f>53880+F182</f>
        <v>689530</v>
      </c>
      <c r="G181" s="24">
        <v>100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1:19" s="34" customFormat="1" ht="66" customHeight="1" x14ac:dyDescent="0.35">
      <c r="A182" s="29"/>
      <c r="B182" s="29" t="s">
        <v>248</v>
      </c>
      <c r="C182" s="86"/>
      <c r="D182" s="32"/>
      <c r="E182" s="32"/>
      <c r="F182" s="30">
        <v>635650</v>
      </c>
      <c r="G182" s="39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</row>
    <row r="183" spans="1:19" s="34" customFormat="1" ht="105" customHeight="1" x14ac:dyDescent="0.35">
      <c r="A183" s="29"/>
      <c r="B183" s="19" t="s">
        <v>307</v>
      </c>
      <c r="C183" s="20" t="s">
        <v>65</v>
      </c>
      <c r="D183" s="21">
        <v>822758</v>
      </c>
      <c r="E183" s="32"/>
      <c r="F183" s="22">
        <f>46460+F184</f>
        <v>847980</v>
      </c>
      <c r="G183" s="24">
        <v>100</v>
      </c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</row>
    <row r="184" spans="1:19" s="34" customFormat="1" ht="66" customHeight="1" x14ac:dyDescent="0.35">
      <c r="A184" s="29"/>
      <c r="B184" s="29" t="s">
        <v>248</v>
      </c>
      <c r="C184" s="86"/>
      <c r="D184" s="32"/>
      <c r="E184" s="32"/>
      <c r="F184" s="30">
        <v>801520</v>
      </c>
      <c r="G184" s="39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</row>
    <row r="185" spans="1:19" s="34" customFormat="1" ht="66" customHeight="1" x14ac:dyDescent="0.35">
      <c r="A185" s="29"/>
      <c r="B185" s="19" t="s">
        <v>347</v>
      </c>
      <c r="C185" s="20" t="s">
        <v>65</v>
      </c>
      <c r="D185" s="21">
        <v>6526673</v>
      </c>
      <c r="E185" s="32"/>
      <c r="F185" s="22">
        <v>4526673</v>
      </c>
      <c r="G185" s="24">
        <v>100</v>
      </c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</row>
    <row r="186" spans="1:19" s="10" customFormat="1" ht="91.5" customHeight="1" x14ac:dyDescent="0.35">
      <c r="A186" s="19"/>
      <c r="B186" s="19" t="s">
        <v>251</v>
      </c>
      <c r="C186" s="20" t="s">
        <v>257</v>
      </c>
      <c r="D186" s="21">
        <v>2520116</v>
      </c>
      <c r="E186" s="8">
        <v>2.1</v>
      </c>
      <c r="F186" s="22">
        <v>2383667</v>
      </c>
      <c r="G186" s="8">
        <v>96.7</v>
      </c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s="10" customFormat="1" ht="51" customHeight="1" x14ac:dyDescent="0.35">
      <c r="A187" s="19"/>
      <c r="B187" s="29" t="s">
        <v>248</v>
      </c>
      <c r="C187" s="20"/>
      <c r="D187" s="8"/>
      <c r="E187" s="8"/>
      <c r="F187" s="30">
        <v>1224916</v>
      </c>
      <c r="G187" s="100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s="10" customFormat="1" ht="76.5" customHeight="1" x14ac:dyDescent="0.35">
      <c r="A188" s="19"/>
      <c r="B188" s="19" t="s">
        <v>309</v>
      </c>
      <c r="C188" s="20" t="s">
        <v>65</v>
      </c>
      <c r="D188" s="21">
        <v>3059401</v>
      </c>
      <c r="E188" s="8"/>
      <c r="F188" s="22">
        <f>F189</f>
        <v>3149560</v>
      </c>
      <c r="G188" s="24">
        <v>100</v>
      </c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s="10" customFormat="1" ht="67.5" customHeight="1" x14ac:dyDescent="0.35">
      <c r="A189" s="19"/>
      <c r="B189" s="29" t="s">
        <v>248</v>
      </c>
      <c r="C189" s="20"/>
      <c r="D189" s="8"/>
      <c r="E189" s="8"/>
      <c r="F189" s="30">
        <v>3149560</v>
      </c>
      <c r="G189" s="100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s="7" customFormat="1" ht="42.75" customHeight="1" x14ac:dyDescent="0.35">
      <c r="A190" s="16" t="s">
        <v>3</v>
      </c>
      <c r="B190" s="17" t="s">
        <v>34</v>
      </c>
      <c r="C190" s="100"/>
      <c r="D190" s="83"/>
      <c r="E190" s="100"/>
      <c r="F190" s="83">
        <f>SUM(F191:F196)</f>
        <v>11554696</v>
      </c>
      <c r="G190" s="100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1:19" s="7" customFormat="1" ht="81.75" customHeight="1" x14ac:dyDescent="0.35">
      <c r="A191" s="16"/>
      <c r="B191" s="19" t="s">
        <v>285</v>
      </c>
      <c r="C191" s="8">
        <v>2021</v>
      </c>
      <c r="D191" s="83"/>
      <c r="E191" s="100"/>
      <c r="F191" s="22">
        <v>53880</v>
      </c>
      <c r="G191" s="100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 s="7" customFormat="1" ht="87.75" customHeight="1" x14ac:dyDescent="0.35">
      <c r="A192" s="16"/>
      <c r="B192" s="19" t="s">
        <v>286</v>
      </c>
      <c r="C192" s="8">
        <v>2021</v>
      </c>
      <c r="D192" s="83"/>
      <c r="E192" s="100"/>
      <c r="F192" s="22">
        <v>45000</v>
      </c>
      <c r="G192" s="100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1:19" s="7" customFormat="1" ht="87.75" customHeight="1" x14ac:dyDescent="0.35">
      <c r="A193" s="16"/>
      <c r="B193" s="19" t="s">
        <v>318</v>
      </c>
      <c r="C193" s="8">
        <v>2021</v>
      </c>
      <c r="D193" s="83"/>
      <c r="E193" s="100"/>
      <c r="F193" s="22">
        <v>49900</v>
      </c>
      <c r="G193" s="100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1:19" s="10" customFormat="1" ht="81.75" customHeight="1" x14ac:dyDescent="0.35">
      <c r="A194" s="19"/>
      <c r="B194" s="19" t="s">
        <v>119</v>
      </c>
      <c r="C194" s="8">
        <v>2021</v>
      </c>
      <c r="D194" s="21">
        <v>2056862</v>
      </c>
      <c r="E194" s="8"/>
      <c r="F194" s="22">
        <f>1100000+305916</f>
        <v>1405916</v>
      </c>
      <c r="G194" s="24">
        <v>100</v>
      </c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s="10" customFormat="1" ht="74.25" customHeight="1" x14ac:dyDescent="0.35">
      <c r="A195" s="19"/>
      <c r="B195" s="19" t="s">
        <v>102</v>
      </c>
      <c r="C195" s="8" t="s">
        <v>209</v>
      </c>
      <c r="D195" s="21">
        <v>12747575</v>
      </c>
      <c r="E195" s="8">
        <v>0.5</v>
      </c>
      <c r="F195" s="22">
        <v>5000000</v>
      </c>
      <c r="G195" s="24">
        <v>40</v>
      </c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s="10" customFormat="1" ht="60" customHeight="1" x14ac:dyDescent="0.35">
      <c r="A196" s="19"/>
      <c r="B196" s="19" t="s">
        <v>103</v>
      </c>
      <c r="C196" s="8">
        <v>2021</v>
      </c>
      <c r="D196" s="22"/>
      <c r="E196" s="8"/>
      <c r="F196" s="22">
        <v>5000000</v>
      </c>
      <c r="G196" s="8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s="10" customFormat="1" ht="75" customHeight="1" x14ac:dyDescent="0.35">
      <c r="A197" s="16" t="s">
        <v>204</v>
      </c>
      <c r="B197" s="17" t="s">
        <v>105</v>
      </c>
      <c r="C197" s="8"/>
      <c r="D197" s="22"/>
      <c r="E197" s="8"/>
      <c r="F197" s="83">
        <f>F198</f>
        <v>3307000</v>
      </c>
      <c r="G197" s="8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s="10" customFormat="1" ht="60" customHeight="1" x14ac:dyDescent="0.35">
      <c r="A198" s="29" t="s">
        <v>142</v>
      </c>
      <c r="B198" s="17"/>
      <c r="C198" s="8"/>
      <c r="D198" s="22"/>
      <c r="E198" s="8"/>
      <c r="F198" s="30">
        <v>3307000</v>
      </c>
      <c r="G198" s="8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s="10" customFormat="1" ht="60" customHeight="1" x14ac:dyDescent="0.35">
      <c r="A199" s="16" t="s">
        <v>30</v>
      </c>
      <c r="B199" s="17" t="s">
        <v>105</v>
      </c>
      <c r="C199" s="8"/>
      <c r="D199" s="22"/>
      <c r="E199" s="8"/>
      <c r="F199" s="83">
        <v>1256508</v>
      </c>
      <c r="G199" s="8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s="15" customFormat="1" ht="69" customHeight="1" x14ac:dyDescent="0.35">
      <c r="A200" s="25" t="s">
        <v>168</v>
      </c>
      <c r="B200" s="25"/>
      <c r="C200" s="12"/>
      <c r="D200" s="13"/>
      <c r="E200" s="12"/>
      <c r="F200" s="13">
        <f>F209+F210+F218+F220+F204+F205+F207+F208+F212</f>
        <v>130078374.54000001</v>
      </c>
      <c r="G200" s="12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1:19" s="7" customFormat="1" ht="30" customHeight="1" x14ac:dyDescent="0.35">
      <c r="A201" s="17" t="s">
        <v>44</v>
      </c>
      <c r="B201" s="17"/>
      <c r="C201" s="100"/>
      <c r="D201" s="83"/>
      <c r="E201" s="100"/>
      <c r="F201" s="28">
        <f>F219</f>
        <v>4662070.12</v>
      </c>
      <c r="G201" s="100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1:19" s="7" customFormat="1" ht="60" customHeight="1" x14ac:dyDescent="0.35">
      <c r="A202" s="17" t="s">
        <v>248</v>
      </c>
      <c r="B202" s="17"/>
      <c r="C202" s="100"/>
      <c r="D202" s="83"/>
      <c r="E202" s="100"/>
      <c r="F202" s="28">
        <f>F213</f>
        <v>156000</v>
      </c>
      <c r="G202" s="100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1:19" s="7" customFormat="1" ht="60" customHeight="1" x14ac:dyDescent="0.35">
      <c r="A203" s="17" t="s">
        <v>311</v>
      </c>
      <c r="B203" s="17"/>
      <c r="C203" s="100"/>
      <c r="D203" s="83"/>
      <c r="E203" s="100"/>
      <c r="F203" s="28">
        <f>F206</f>
        <v>5750000</v>
      </c>
      <c r="G203" s="100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1:19" s="7" customFormat="1" ht="56.25" customHeight="1" x14ac:dyDescent="0.35">
      <c r="A204" s="16" t="s">
        <v>180</v>
      </c>
      <c r="B204" s="17" t="s">
        <v>181</v>
      </c>
      <c r="C204" s="100"/>
      <c r="D204" s="83"/>
      <c r="E204" s="100"/>
      <c r="F204" s="83">
        <v>600000</v>
      </c>
      <c r="G204" s="100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 s="7" customFormat="1" ht="56.25" customHeight="1" x14ac:dyDescent="0.35">
      <c r="A205" s="16" t="s">
        <v>310</v>
      </c>
      <c r="B205" s="17" t="s">
        <v>104</v>
      </c>
      <c r="C205" s="100"/>
      <c r="D205" s="83"/>
      <c r="E205" s="100"/>
      <c r="F205" s="83">
        <f>38830682.82+5750000-94716+760000</f>
        <v>45245966.82</v>
      </c>
      <c r="G205" s="100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1:19" s="7" customFormat="1" ht="41.25" customHeight="1" x14ac:dyDescent="0.35">
      <c r="A206" s="29" t="s">
        <v>311</v>
      </c>
      <c r="B206" s="17"/>
      <c r="C206" s="100"/>
      <c r="D206" s="83"/>
      <c r="E206" s="100"/>
      <c r="F206" s="30">
        <v>5750000</v>
      </c>
      <c r="G206" s="100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19" s="7" customFormat="1" ht="56.25" customHeight="1" x14ac:dyDescent="0.35">
      <c r="A207" s="16" t="s">
        <v>192</v>
      </c>
      <c r="B207" s="17" t="s">
        <v>104</v>
      </c>
      <c r="C207" s="100"/>
      <c r="D207" s="83"/>
      <c r="E207" s="100"/>
      <c r="F207" s="83">
        <v>5100000</v>
      </c>
      <c r="G207" s="100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1:19" s="7" customFormat="1" ht="56.25" customHeight="1" x14ac:dyDescent="0.35">
      <c r="A208" s="16" t="s">
        <v>193</v>
      </c>
      <c r="B208" s="17" t="s">
        <v>181</v>
      </c>
      <c r="C208" s="100"/>
      <c r="D208" s="83"/>
      <c r="E208" s="100"/>
      <c r="F208" s="83">
        <f>23031354</f>
        <v>23031354</v>
      </c>
      <c r="G208" s="100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 s="7" customFormat="1" ht="36" customHeight="1" x14ac:dyDescent="0.35">
      <c r="A209" s="35" t="s">
        <v>1</v>
      </c>
      <c r="B209" s="17" t="s">
        <v>104</v>
      </c>
      <c r="C209" s="100"/>
      <c r="D209" s="83"/>
      <c r="E209" s="100"/>
      <c r="F209" s="83">
        <f>30933372-180000+330000+45000</f>
        <v>31128372</v>
      </c>
      <c r="G209" s="100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1:19" s="7" customFormat="1" ht="60" customHeight="1" x14ac:dyDescent="0.35">
      <c r="A210" s="35" t="s">
        <v>40</v>
      </c>
      <c r="B210" s="17" t="s">
        <v>104</v>
      </c>
      <c r="C210" s="100"/>
      <c r="D210" s="82"/>
      <c r="E210" s="100"/>
      <c r="F210" s="83">
        <f>F211</f>
        <v>4289000</v>
      </c>
      <c r="G210" s="100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19" s="10" customFormat="1" ht="84.75" customHeight="1" x14ac:dyDescent="0.35">
      <c r="A211" s="36"/>
      <c r="B211" s="19" t="s">
        <v>262</v>
      </c>
      <c r="C211" s="8" t="s">
        <v>205</v>
      </c>
      <c r="D211" s="21">
        <v>23374462</v>
      </c>
      <c r="E211" s="8">
        <v>2.1</v>
      </c>
      <c r="F211" s="22">
        <v>4289000</v>
      </c>
      <c r="G211" s="8">
        <v>20.399999999999999</v>
      </c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s="7" customFormat="1" ht="84.75" customHeight="1" x14ac:dyDescent="0.35">
      <c r="A212" s="35" t="s">
        <v>249</v>
      </c>
      <c r="B212" s="16"/>
      <c r="C212" s="100"/>
      <c r="D212" s="82"/>
      <c r="E212" s="100"/>
      <c r="F212" s="83">
        <f>F214</f>
        <v>156000</v>
      </c>
      <c r="G212" s="100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s="34" customFormat="1" ht="84.75" customHeight="1" x14ac:dyDescent="0.35">
      <c r="A213" s="29" t="s">
        <v>248</v>
      </c>
      <c r="B213" s="29"/>
      <c r="C213" s="32"/>
      <c r="D213" s="60"/>
      <c r="E213" s="32"/>
      <c r="F213" s="30">
        <f>F215</f>
        <v>156000</v>
      </c>
      <c r="G213" s="32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</row>
    <row r="214" spans="1:19" s="10" customFormat="1" ht="84.75" customHeight="1" x14ac:dyDescent="0.35">
      <c r="A214" s="29"/>
      <c r="B214" s="17" t="s">
        <v>250</v>
      </c>
      <c r="C214" s="8"/>
      <c r="D214" s="21"/>
      <c r="E214" s="8"/>
      <c r="F214" s="83">
        <f>F216</f>
        <v>156000</v>
      </c>
      <c r="G214" s="8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s="10" customFormat="1" ht="84.75" customHeight="1" x14ac:dyDescent="0.35">
      <c r="A215" s="29"/>
      <c r="B215" s="29" t="s">
        <v>248</v>
      </c>
      <c r="C215" s="8"/>
      <c r="D215" s="21"/>
      <c r="E215" s="8"/>
      <c r="F215" s="30">
        <f>F217</f>
        <v>156000</v>
      </c>
      <c r="G215" s="8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s="10" customFormat="1" ht="84.75" customHeight="1" x14ac:dyDescent="0.35">
      <c r="A216" s="29"/>
      <c r="B216" s="19" t="s">
        <v>259</v>
      </c>
      <c r="C216" s="8" t="s">
        <v>150</v>
      </c>
      <c r="D216" s="21">
        <v>22170262</v>
      </c>
      <c r="E216" s="8">
        <v>0.25</v>
      </c>
      <c r="F216" s="22">
        <v>156000</v>
      </c>
      <c r="G216" s="8">
        <v>0.9</v>
      </c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s="34" customFormat="1" ht="84.75" customHeight="1" x14ac:dyDescent="0.35">
      <c r="A217" s="29"/>
      <c r="B217" s="29" t="s">
        <v>248</v>
      </c>
      <c r="C217" s="32"/>
      <c r="D217" s="60"/>
      <c r="E217" s="32"/>
      <c r="F217" s="30">
        <v>156000</v>
      </c>
      <c r="G217" s="32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</row>
    <row r="218" spans="1:19" s="7" customFormat="1" ht="37.5" customHeight="1" x14ac:dyDescent="0.35">
      <c r="A218" s="16" t="s">
        <v>175</v>
      </c>
      <c r="B218" s="17" t="s">
        <v>104</v>
      </c>
      <c r="C218" s="100"/>
      <c r="D218" s="83"/>
      <c r="E218" s="100"/>
      <c r="F218" s="83">
        <v>10527570.120000001</v>
      </c>
      <c r="G218" s="100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s="10" customFormat="1" ht="42" customHeight="1" x14ac:dyDescent="0.35">
      <c r="A219" s="29" t="s">
        <v>109</v>
      </c>
      <c r="B219" s="19"/>
      <c r="C219" s="8"/>
      <c r="D219" s="22"/>
      <c r="E219" s="8"/>
      <c r="F219" s="30">
        <v>4662070.12</v>
      </c>
      <c r="G219" s="8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s="7" customFormat="1" ht="36" customHeight="1" x14ac:dyDescent="0.35">
      <c r="A220" s="16" t="s">
        <v>30</v>
      </c>
      <c r="B220" s="17" t="s">
        <v>105</v>
      </c>
      <c r="C220" s="100"/>
      <c r="D220" s="83"/>
      <c r="E220" s="100"/>
      <c r="F220" s="83">
        <f>18000111.6-8000000</f>
        <v>10000111.600000001</v>
      </c>
      <c r="G220" s="100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 s="15" customFormat="1" ht="61.5" customHeight="1" x14ac:dyDescent="0.35">
      <c r="A221" s="37" t="s">
        <v>290</v>
      </c>
      <c r="B221" s="25"/>
      <c r="C221" s="12"/>
      <c r="D221" s="13"/>
      <c r="E221" s="12"/>
      <c r="F221" s="13">
        <f>F229+F230+F228+F224+F226</f>
        <v>2842824.05</v>
      </c>
      <c r="G221" s="12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</row>
    <row r="222" spans="1:19" s="41" customFormat="1" ht="382.5" customHeight="1" x14ac:dyDescent="0.35">
      <c r="A222" s="26" t="s">
        <v>291</v>
      </c>
      <c r="B222" s="17"/>
      <c r="C222" s="39"/>
      <c r="D222" s="28"/>
      <c r="E222" s="39"/>
      <c r="F222" s="28">
        <f>F225</f>
        <v>975480.06</v>
      </c>
      <c r="G222" s="39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</row>
    <row r="223" spans="1:19" s="41" customFormat="1" ht="394.5" customHeight="1" x14ac:dyDescent="0.35">
      <c r="A223" s="26" t="s">
        <v>289</v>
      </c>
      <c r="B223" s="17"/>
      <c r="C223" s="39"/>
      <c r="D223" s="28"/>
      <c r="E223" s="39"/>
      <c r="F223" s="28">
        <f>F227</f>
        <v>1176130.99</v>
      </c>
      <c r="G223" s="39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</row>
    <row r="224" spans="1:19" s="15" customFormat="1" ht="300" customHeight="1" x14ac:dyDescent="0.35">
      <c r="A224" s="16" t="s">
        <v>299</v>
      </c>
      <c r="B224" s="17" t="s">
        <v>298</v>
      </c>
      <c r="C224" s="12"/>
      <c r="D224" s="13"/>
      <c r="E224" s="12"/>
      <c r="F224" s="83">
        <f>F225</f>
        <v>975480.06</v>
      </c>
      <c r="G224" s="12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1:19" s="99" customFormat="1" ht="349.5" customHeight="1" x14ac:dyDescent="0.35">
      <c r="A225" s="29" t="s">
        <v>291</v>
      </c>
      <c r="B225" s="29"/>
      <c r="C225" s="96"/>
      <c r="D225" s="97"/>
      <c r="E225" s="96"/>
      <c r="F225" s="30">
        <v>975480.06</v>
      </c>
      <c r="G225" s="96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</row>
    <row r="226" spans="1:19" s="15" customFormat="1" ht="343.5" customHeight="1" x14ac:dyDescent="0.35">
      <c r="A226" s="16" t="s">
        <v>292</v>
      </c>
      <c r="B226" s="17" t="s">
        <v>298</v>
      </c>
      <c r="C226" s="12"/>
      <c r="D226" s="13"/>
      <c r="E226" s="12"/>
      <c r="F226" s="83">
        <f>F227</f>
        <v>1176130.99</v>
      </c>
      <c r="G226" s="12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1:19" s="99" customFormat="1" ht="391.5" customHeight="1" x14ac:dyDescent="0.35">
      <c r="A227" s="29" t="s">
        <v>289</v>
      </c>
      <c r="B227" s="29"/>
      <c r="C227" s="96"/>
      <c r="D227" s="97"/>
      <c r="E227" s="96"/>
      <c r="F227" s="30">
        <v>1176130.99</v>
      </c>
      <c r="G227" s="96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</row>
    <row r="228" spans="1:19" s="15" customFormat="1" ht="61.5" customHeight="1" x14ac:dyDescent="0.35">
      <c r="A228" s="16" t="s">
        <v>194</v>
      </c>
      <c r="B228" s="17" t="s">
        <v>181</v>
      </c>
      <c r="C228" s="12"/>
      <c r="D228" s="13"/>
      <c r="E228" s="12"/>
      <c r="F228" s="83">
        <v>161000</v>
      </c>
      <c r="G228" s="12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1:19" s="7" customFormat="1" ht="51" customHeight="1" x14ac:dyDescent="0.35">
      <c r="A229" s="16" t="s">
        <v>24</v>
      </c>
      <c r="B229" s="17" t="s">
        <v>35</v>
      </c>
      <c r="C229" s="100"/>
      <c r="D229" s="83"/>
      <c r="E229" s="100"/>
      <c r="F229" s="83">
        <f>45000+12000</f>
        <v>57000</v>
      </c>
      <c r="G229" s="100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1:19" s="7" customFormat="1" ht="51" customHeight="1" x14ac:dyDescent="0.35">
      <c r="A230" s="16" t="s">
        <v>47</v>
      </c>
      <c r="B230" s="17" t="s">
        <v>35</v>
      </c>
      <c r="C230" s="100"/>
      <c r="D230" s="82"/>
      <c r="E230" s="100"/>
      <c r="F230" s="83">
        <f>SUM(F231:F232)</f>
        <v>473213</v>
      </c>
      <c r="G230" s="100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1:19" s="10" customFormat="1" ht="112.5" customHeight="1" x14ac:dyDescent="0.35">
      <c r="A231" s="19"/>
      <c r="B231" s="19" t="s">
        <v>98</v>
      </c>
      <c r="C231" s="8" t="s">
        <v>150</v>
      </c>
      <c r="D231" s="21">
        <v>343879</v>
      </c>
      <c r="E231" s="8">
        <v>15.3</v>
      </c>
      <c r="F231" s="22">
        <v>273213</v>
      </c>
      <c r="G231" s="8">
        <v>94.7</v>
      </c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s="10" customFormat="1" ht="60" customHeight="1" x14ac:dyDescent="0.35">
      <c r="A232" s="19"/>
      <c r="B232" s="19" t="s">
        <v>116</v>
      </c>
      <c r="C232" s="8">
        <v>2021</v>
      </c>
      <c r="D232" s="21"/>
      <c r="E232" s="8"/>
      <c r="F232" s="22">
        <v>200000</v>
      </c>
      <c r="G232" s="8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s="15" customFormat="1" ht="60" customHeight="1" x14ac:dyDescent="0.35">
      <c r="A233" s="25" t="s">
        <v>255</v>
      </c>
      <c r="B233" s="25"/>
      <c r="C233" s="12"/>
      <c r="D233" s="69"/>
      <c r="E233" s="12"/>
      <c r="F233" s="13">
        <f>F234</f>
        <v>33200</v>
      </c>
      <c r="G233" s="12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1:19" s="7" customFormat="1" ht="105.75" customHeight="1" x14ac:dyDescent="0.35">
      <c r="A234" s="16" t="s">
        <v>256</v>
      </c>
      <c r="B234" s="17" t="s">
        <v>35</v>
      </c>
      <c r="C234" s="100"/>
      <c r="D234" s="82"/>
      <c r="E234" s="100"/>
      <c r="F234" s="83">
        <f>30000+3200</f>
        <v>33200</v>
      </c>
      <c r="G234" s="100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1:19" s="15" customFormat="1" ht="54.75" customHeight="1" x14ac:dyDescent="0.35">
      <c r="A235" s="37" t="s">
        <v>25</v>
      </c>
      <c r="B235" s="25"/>
      <c r="C235" s="12"/>
      <c r="D235" s="13"/>
      <c r="E235" s="12"/>
      <c r="F235" s="13">
        <f>F238+F243+F236+F237</f>
        <v>2320500</v>
      </c>
      <c r="G235" s="12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</row>
    <row r="236" spans="1:19" s="15" customFormat="1" ht="54.75" customHeight="1" x14ac:dyDescent="0.35">
      <c r="A236" s="16" t="s">
        <v>195</v>
      </c>
      <c r="B236" s="17" t="s">
        <v>181</v>
      </c>
      <c r="C236" s="12"/>
      <c r="D236" s="13"/>
      <c r="E236" s="12"/>
      <c r="F236" s="83">
        <v>227500</v>
      </c>
      <c r="G236" s="12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 s="15" customFormat="1" ht="54.75" customHeight="1" x14ac:dyDescent="0.35">
      <c r="A237" s="16" t="s">
        <v>182</v>
      </c>
      <c r="B237" s="17" t="s">
        <v>181</v>
      </c>
      <c r="C237" s="12"/>
      <c r="D237" s="13"/>
      <c r="E237" s="12"/>
      <c r="F237" s="83">
        <v>23000</v>
      </c>
      <c r="G237" s="12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19" s="7" customFormat="1" ht="51" customHeight="1" x14ac:dyDescent="0.35">
      <c r="A238" s="16" t="s">
        <v>59</v>
      </c>
      <c r="B238" s="17" t="s">
        <v>34</v>
      </c>
      <c r="C238" s="100"/>
      <c r="D238" s="83"/>
      <c r="E238" s="100"/>
      <c r="F238" s="83">
        <f>SUM(F239:F242)</f>
        <v>570000</v>
      </c>
      <c r="G238" s="100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1:19" s="10" customFormat="1" ht="60" customHeight="1" x14ac:dyDescent="0.35">
      <c r="A239" s="19"/>
      <c r="B239" s="19" t="s">
        <v>99</v>
      </c>
      <c r="C239" s="8">
        <v>2021</v>
      </c>
      <c r="D239" s="22"/>
      <c r="E239" s="8"/>
      <c r="F239" s="22">
        <v>50000</v>
      </c>
      <c r="G239" s="8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s="10" customFormat="1" ht="51" customHeight="1" x14ac:dyDescent="0.35">
      <c r="A240" s="19"/>
      <c r="B240" s="19" t="s">
        <v>217</v>
      </c>
      <c r="C240" s="8">
        <v>2021</v>
      </c>
      <c r="D240" s="22"/>
      <c r="E240" s="8"/>
      <c r="F240" s="22">
        <v>200000</v>
      </c>
      <c r="G240" s="8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s="10" customFormat="1" ht="63" customHeight="1" x14ac:dyDescent="0.35">
      <c r="A241" s="19"/>
      <c r="B241" s="19" t="s">
        <v>100</v>
      </c>
      <c r="C241" s="8">
        <v>2021</v>
      </c>
      <c r="D241" s="22"/>
      <c r="E241" s="8"/>
      <c r="F241" s="22">
        <v>300000</v>
      </c>
      <c r="G241" s="8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s="10" customFormat="1" ht="84" customHeight="1" x14ac:dyDescent="0.35">
      <c r="A242" s="19"/>
      <c r="B242" s="19" t="s">
        <v>265</v>
      </c>
      <c r="C242" s="8">
        <v>2021</v>
      </c>
      <c r="D242" s="22"/>
      <c r="E242" s="8"/>
      <c r="F242" s="22">
        <v>20000</v>
      </c>
      <c r="G242" s="8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s="7" customFormat="1" ht="39" customHeight="1" x14ac:dyDescent="0.35">
      <c r="A243" s="18" t="s">
        <v>3</v>
      </c>
      <c r="B243" s="17" t="s">
        <v>206</v>
      </c>
      <c r="C243" s="100"/>
      <c r="D243" s="83"/>
      <c r="E243" s="100"/>
      <c r="F243" s="83">
        <f>F244</f>
        <v>1500000</v>
      </c>
      <c r="G243" s="100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1:19" s="10" customFormat="1" ht="82.35" customHeight="1" x14ac:dyDescent="0.35">
      <c r="A244" s="38"/>
      <c r="B244" s="19" t="s">
        <v>101</v>
      </c>
      <c r="C244" s="8">
        <v>2021</v>
      </c>
      <c r="D244" s="22"/>
      <c r="E244" s="8"/>
      <c r="F244" s="22">
        <v>1500000</v>
      </c>
      <c r="G244" s="8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s="15" customFormat="1" ht="70.5" customHeight="1" x14ac:dyDescent="0.35">
      <c r="A245" s="25" t="s">
        <v>169</v>
      </c>
      <c r="B245" s="12"/>
      <c r="C245" s="12"/>
      <c r="D245" s="12"/>
      <c r="E245" s="12"/>
      <c r="F245" s="13">
        <f>F249+F250+F252+F254+F255+F281+F305+F325+F330+F308+F322+F253</f>
        <v>158863897.16</v>
      </c>
      <c r="G245" s="12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</row>
    <row r="246" spans="1:19" s="41" customFormat="1" ht="37.5" customHeight="1" x14ac:dyDescent="0.35">
      <c r="A246" s="17" t="s">
        <v>44</v>
      </c>
      <c r="B246" s="39"/>
      <c r="C246" s="100"/>
      <c r="D246" s="39"/>
      <c r="E246" s="39"/>
      <c r="F246" s="28">
        <f>F326</f>
        <v>26250000</v>
      </c>
      <c r="G246" s="39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</row>
    <row r="247" spans="1:19" s="41" customFormat="1" ht="76.5" customHeight="1" x14ac:dyDescent="0.35">
      <c r="A247" s="17" t="s">
        <v>248</v>
      </c>
      <c r="B247" s="39"/>
      <c r="C247" s="100"/>
      <c r="D247" s="39"/>
      <c r="E247" s="39"/>
      <c r="F247" s="28">
        <f>F309</f>
        <v>10359984</v>
      </c>
      <c r="G247" s="39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</row>
    <row r="248" spans="1:19" s="41" customFormat="1" ht="45" customHeight="1" x14ac:dyDescent="0.35">
      <c r="A248" s="17" t="s">
        <v>311</v>
      </c>
      <c r="B248" s="39"/>
      <c r="C248" s="100"/>
      <c r="D248" s="39"/>
      <c r="E248" s="39"/>
      <c r="F248" s="28">
        <f>F322</f>
        <v>200000</v>
      </c>
      <c r="G248" s="39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</row>
    <row r="249" spans="1:19" s="7" customFormat="1" ht="42" customHeight="1" x14ac:dyDescent="0.35">
      <c r="A249" s="18" t="s">
        <v>26</v>
      </c>
      <c r="B249" s="17" t="s">
        <v>35</v>
      </c>
      <c r="C249" s="100"/>
      <c r="D249" s="100"/>
      <c r="E249" s="100"/>
      <c r="F249" s="83">
        <f>8565816+204157+699100</f>
        <v>9469073</v>
      </c>
      <c r="G249" s="100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1:19" s="7" customFormat="1" ht="52.5" customHeight="1" x14ac:dyDescent="0.35">
      <c r="A250" s="16" t="s">
        <v>27</v>
      </c>
      <c r="B250" s="17" t="s">
        <v>206</v>
      </c>
      <c r="C250" s="100"/>
      <c r="D250" s="100"/>
      <c r="E250" s="100"/>
      <c r="F250" s="83">
        <f>SUM(F251:F251)</f>
        <v>200000</v>
      </c>
      <c r="G250" s="100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1:19" s="34" customFormat="1" ht="63" customHeight="1" x14ac:dyDescent="0.35">
      <c r="A251" s="42"/>
      <c r="B251" s="19" t="s">
        <v>218</v>
      </c>
      <c r="C251" s="8" t="s">
        <v>17</v>
      </c>
      <c r="D251" s="21">
        <v>4464760</v>
      </c>
      <c r="E251" s="24">
        <v>94</v>
      </c>
      <c r="F251" s="22">
        <v>200000</v>
      </c>
      <c r="G251" s="24">
        <v>100</v>
      </c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</row>
    <row r="252" spans="1:19" s="7" customFormat="1" ht="42.75" customHeight="1" x14ac:dyDescent="0.35">
      <c r="A252" s="16" t="s">
        <v>28</v>
      </c>
      <c r="B252" s="17" t="s">
        <v>35</v>
      </c>
      <c r="C252" s="100"/>
      <c r="D252" s="100"/>
      <c r="E252" s="100"/>
      <c r="F252" s="83">
        <f>32630050+835000</f>
        <v>33465050</v>
      </c>
      <c r="G252" s="100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1:19" s="7" customFormat="1" ht="84" customHeight="1" x14ac:dyDescent="0.35">
      <c r="A253" s="16" t="s">
        <v>319</v>
      </c>
      <c r="B253" s="17" t="s">
        <v>104</v>
      </c>
      <c r="C253" s="100"/>
      <c r="D253" s="100"/>
      <c r="E253" s="100"/>
      <c r="F253" s="83">
        <v>85000</v>
      </c>
      <c r="G253" s="100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1:19" s="7" customFormat="1" ht="44.25" customHeight="1" x14ac:dyDescent="0.35">
      <c r="A254" s="16" t="s">
        <v>29</v>
      </c>
      <c r="B254" s="17" t="s">
        <v>34</v>
      </c>
      <c r="C254" s="95"/>
      <c r="D254" s="95"/>
      <c r="E254" s="95"/>
      <c r="F254" s="83">
        <f>30163628.58-550000+138473+99800</f>
        <v>29851901.579999998</v>
      </c>
      <c r="G254" s="100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1:19" s="7" customFormat="1" ht="48" customHeight="1" x14ac:dyDescent="0.35">
      <c r="A255" s="16" t="s">
        <v>0</v>
      </c>
      <c r="B255" s="100"/>
      <c r="C255" s="100"/>
      <c r="D255" s="100"/>
      <c r="E255" s="100"/>
      <c r="F255" s="83">
        <f>F256+F267+F271+F279</f>
        <v>16963713</v>
      </c>
      <c r="G255" s="100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1:19" s="34" customFormat="1" ht="45" customHeight="1" x14ac:dyDescent="0.35">
      <c r="A256" s="17"/>
      <c r="B256" s="17" t="s">
        <v>132</v>
      </c>
      <c r="C256" s="8"/>
      <c r="D256" s="32"/>
      <c r="E256" s="32"/>
      <c r="F256" s="28">
        <f>SUM(F257:F266)</f>
        <v>6254991</v>
      </c>
      <c r="G256" s="32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</row>
    <row r="257" spans="1:19" s="10" customFormat="1" ht="45" customHeight="1" x14ac:dyDescent="0.35">
      <c r="A257" s="8"/>
      <c r="B257" s="19" t="s">
        <v>60</v>
      </c>
      <c r="C257" s="8">
        <v>2021</v>
      </c>
      <c r="D257" s="21"/>
      <c r="E257" s="8"/>
      <c r="F257" s="22">
        <v>35000</v>
      </c>
      <c r="G257" s="8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s="10" customFormat="1" ht="45" customHeight="1" x14ac:dyDescent="0.35">
      <c r="A258" s="8"/>
      <c r="B258" s="19" t="s">
        <v>54</v>
      </c>
      <c r="C258" s="8">
        <v>2021</v>
      </c>
      <c r="D258" s="21"/>
      <c r="E258" s="8"/>
      <c r="F258" s="22">
        <v>36000</v>
      </c>
      <c r="G258" s="8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s="10" customFormat="1" ht="45" customHeight="1" x14ac:dyDescent="0.35">
      <c r="A259" s="8"/>
      <c r="B259" s="19" t="s">
        <v>113</v>
      </c>
      <c r="C259" s="8">
        <v>2021</v>
      </c>
      <c r="D259" s="21"/>
      <c r="E259" s="8"/>
      <c r="F259" s="22">
        <f>739500-691705</f>
        <v>47795</v>
      </c>
      <c r="G259" s="8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s="10" customFormat="1" ht="54.75" customHeight="1" x14ac:dyDescent="0.35">
      <c r="A260" s="8"/>
      <c r="B260" s="19" t="s">
        <v>243</v>
      </c>
      <c r="C260" s="8" t="s">
        <v>22</v>
      </c>
      <c r="D260" s="21"/>
      <c r="E260" s="8"/>
      <c r="F260" s="22">
        <v>260500</v>
      </c>
      <c r="G260" s="8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s="10" customFormat="1" ht="51" customHeight="1" x14ac:dyDescent="0.35">
      <c r="A261" s="8"/>
      <c r="B261" s="19" t="s">
        <v>143</v>
      </c>
      <c r="C261" s="8">
        <v>2021</v>
      </c>
      <c r="D261" s="21"/>
      <c r="E261" s="8"/>
      <c r="F261" s="22">
        <f>25000+349463</f>
        <v>374463</v>
      </c>
      <c r="G261" s="8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s="10" customFormat="1" ht="55.5" customHeight="1" x14ac:dyDescent="0.35">
      <c r="A262" s="8"/>
      <c r="B262" s="19" t="s">
        <v>331</v>
      </c>
      <c r="C262" s="8">
        <v>2021</v>
      </c>
      <c r="D262" s="21"/>
      <c r="E262" s="8"/>
      <c r="F262" s="22">
        <f>25000+342242</f>
        <v>367242</v>
      </c>
      <c r="G262" s="8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s="10" customFormat="1" ht="55.5" customHeight="1" x14ac:dyDescent="0.35">
      <c r="A263" s="8"/>
      <c r="B263" s="19" t="s">
        <v>320</v>
      </c>
      <c r="C263" s="8">
        <v>2021</v>
      </c>
      <c r="D263" s="21"/>
      <c r="E263" s="8"/>
      <c r="F263" s="22">
        <v>85000</v>
      </c>
      <c r="G263" s="8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s="10" customFormat="1" ht="60" customHeight="1" x14ac:dyDescent="0.35">
      <c r="A264" s="18"/>
      <c r="B264" s="19" t="s">
        <v>61</v>
      </c>
      <c r="C264" s="8" t="s">
        <v>17</v>
      </c>
      <c r="D264" s="21">
        <v>14087743</v>
      </c>
      <c r="E264" s="24">
        <v>90</v>
      </c>
      <c r="F264" s="22">
        <v>461950</v>
      </c>
      <c r="G264" s="24">
        <v>100</v>
      </c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s="10" customFormat="1" ht="72.75" customHeight="1" x14ac:dyDescent="0.35">
      <c r="A265" s="8"/>
      <c r="B265" s="19" t="s">
        <v>38</v>
      </c>
      <c r="C265" s="8" t="s">
        <v>22</v>
      </c>
      <c r="D265" s="21">
        <v>2887898</v>
      </c>
      <c r="E265" s="24">
        <v>7.6</v>
      </c>
      <c r="F265" s="22">
        <v>2587041</v>
      </c>
      <c r="G265" s="24">
        <v>100</v>
      </c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s="10" customFormat="1" ht="63" customHeight="1" x14ac:dyDescent="0.35">
      <c r="A266" s="8"/>
      <c r="B266" s="19" t="s">
        <v>144</v>
      </c>
      <c r="C266" s="8">
        <v>2021</v>
      </c>
      <c r="D266" s="21"/>
      <c r="E266" s="8"/>
      <c r="F266" s="22">
        <v>2000000</v>
      </c>
      <c r="G266" s="24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s="34" customFormat="1" ht="49.5" customHeight="1" x14ac:dyDescent="0.35">
      <c r="A267" s="17"/>
      <c r="B267" s="17" t="s">
        <v>133</v>
      </c>
      <c r="C267" s="8"/>
      <c r="D267" s="32"/>
      <c r="E267" s="32"/>
      <c r="F267" s="28">
        <f>SUM(F268:F270)</f>
        <v>500000</v>
      </c>
      <c r="G267" s="30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</row>
    <row r="268" spans="1:19" s="34" customFormat="1" ht="49.5" customHeight="1" x14ac:dyDescent="0.35">
      <c r="A268" s="17"/>
      <c r="B268" s="19" t="s">
        <v>266</v>
      </c>
      <c r="C268" s="8">
        <v>2021</v>
      </c>
      <c r="D268" s="32"/>
      <c r="E268" s="32"/>
      <c r="F268" s="22">
        <v>35000</v>
      </c>
      <c r="G268" s="30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</row>
    <row r="269" spans="1:19" s="10" customFormat="1" ht="61.5" customHeight="1" x14ac:dyDescent="0.35">
      <c r="A269" s="8"/>
      <c r="B269" s="19" t="s">
        <v>51</v>
      </c>
      <c r="C269" s="8">
        <v>2021</v>
      </c>
      <c r="D269" s="21"/>
      <c r="E269" s="8"/>
      <c r="F269" s="22">
        <v>250000</v>
      </c>
      <c r="G269" s="8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s="10" customFormat="1" ht="54" customHeight="1" x14ac:dyDescent="0.35">
      <c r="A270" s="8"/>
      <c r="B270" s="19" t="s">
        <v>52</v>
      </c>
      <c r="C270" s="8">
        <v>2021</v>
      </c>
      <c r="D270" s="21"/>
      <c r="E270" s="8"/>
      <c r="F270" s="22">
        <v>215000</v>
      </c>
      <c r="G270" s="8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s="34" customFormat="1" ht="40.5" customHeight="1" x14ac:dyDescent="0.35">
      <c r="A271" s="17"/>
      <c r="B271" s="17" t="s">
        <v>37</v>
      </c>
      <c r="C271" s="8"/>
      <c r="D271" s="32"/>
      <c r="E271" s="32"/>
      <c r="F271" s="28">
        <f>SUM(F272:F278)</f>
        <v>6778672</v>
      </c>
      <c r="G271" s="32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</row>
    <row r="272" spans="1:19" s="10" customFormat="1" ht="77.25" customHeight="1" x14ac:dyDescent="0.35">
      <c r="A272" s="18"/>
      <c r="B272" s="19" t="s">
        <v>219</v>
      </c>
      <c r="C272" s="8">
        <v>2021</v>
      </c>
      <c r="D272" s="21"/>
      <c r="E272" s="8"/>
      <c r="F272" s="22">
        <f>2350000-2000000</f>
        <v>350000</v>
      </c>
      <c r="G272" s="8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s="10" customFormat="1" ht="55.5" customHeight="1" x14ac:dyDescent="0.35">
      <c r="A273" s="8"/>
      <c r="B273" s="19" t="s">
        <v>134</v>
      </c>
      <c r="C273" s="8">
        <v>2021</v>
      </c>
      <c r="D273" s="21"/>
      <c r="E273" s="8"/>
      <c r="F273" s="22">
        <v>300000</v>
      </c>
      <c r="G273" s="24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s="10" customFormat="1" ht="60" customHeight="1" x14ac:dyDescent="0.35">
      <c r="A274" s="8"/>
      <c r="B274" s="19" t="s">
        <v>19</v>
      </c>
      <c r="C274" s="8" t="s">
        <v>21</v>
      </c>
      <c r="D274" s="21">
        <f>15888386</f>
        <v>15888386</v>
      </c>
      <c r="E274" s="8">
        <v>49.4</v>
      </c>
      <c r="F274" s="22">
        <v>5488130</v>
      </c>
      <c r="G274" s="24">
        <v>100</v>
      </c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s="10" customFormat="1" ht="83.25" customHeight="1" x14ac:dyDescent="0.35">
      <c r="A275" s="8"/>
      <c r="B275" s="19" t="s">
        <v>148</v>
      </c>
      <c r="C275" s="8" t="s">
        <v>21</v>
      </c>
      <c r="D275" s="21">
        <v>10405066</v>
      </c>
      <c r="E275" s="8">
        <v>2.2000000000000002</v>
      </c>
      <c r="F275" s="22">
        <v>50000</v>
      </c>
      <c r="G275" s="24">
        <v>2.7</v>
      </c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s="10" customFormat="1" ht="75.75" customHeight="1" x14ac:dyDescent="0.35">
      <c r="A276" s="8"/>
      <c r="B276" s="19" t="s">
        <v>235</v>
      </c>
      <c r="C276" s="8">
        <v>2021</v>
      </c>
      <c r="D276" s="21"/>
      <c r="E276" s="8"/>
      <c r="F276" s="22">
        <v>250000</v>
      </c>
      <c r="G276" s="24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s="10" customFormat="1" ht="58.5" customHeight="1" x14ac:dyDescent="0.35">
      <c r="A277" s="8"/>
      <c r="B277" s="19" t="s">
        <v>137</v>
      </c>
      <c r="C277" s="8">
        <v>2021</v>
      </c>
      <c r="D277" s="21"/>
      <c r="E277" s="24"/>
      <c r="F277" s="22">
        <v>330100</v>
      </c>
      <c r="G277" s="8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s="10" customFormat="1" ht="58.5" customHeight="1" x14ac:dyDescent="0.35">
      <c r="A278" s="8"/>
      <c r="B278" s="19" t="s">
        <v>220</v>
      </c>
      <c r="C278" s="8" t="s">
        <v>14</v>
      </c>
      <c r="D278" s="21">
        <v>29708671</v>
      </c>
      <c r="E278" s="24">
        <v>95.3</v>
      </c>
      <c r="F278" s="22">
        <v>10442</v>
      </c>
      <c r="G278" s="24">
        <v>100</v>
      </c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s="34" customFormat="1" ht="31.5" customHeight="1" x14ac:dyDescent="0.35">
      <c r="A279" s="17"/>
      <c r="B279" s="17" t="s">
        <v>34</v>
      </c>
      <c r="C279" s="8"/>
      <c r="D279" s="32"/>
      <c r="E279" s="32"/>
      <c r="F279" s="28">
        <f>F280</f>
        <v>3430050</v>
      </c>
      <c r="G279" s="32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</row>
    <row r="280" spans="1:19" s="10" customFormat="1" ht="97.5" customHeight="1" x14ac:dyDescent="0.35">
      <c r="A280" s="8"/>
      <c r="B280" s="19" t="s">
        <v>55</v>
      </c>
      <c r="C280" s="8" t="s">
        <v>22</v>
      </c>
      <c r="D280" s="21">
        <v>3883446</v>
      </c>
      <c r="E280" s="24">
        <v>5.6</v>
      </c>
      <c r="F280" s="22">
        <v>3430050</v>
      </c>
      <c r="G280" s="24">
        <v>100</v>
      </c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s="7" customFormat="1" ht="37.5" customHeight="1" x14ac:dyDescent="0.35">
      <c r="A281" s="35" t="s">
        <v>9</v>
      </c>
      <c r="B281" s="16"/>
      <c r="C281" s="100"/>
      <c r="D281" s="100"/>
      <c r="E281" s="100"/>
      <c r="F281" s="83">
        <f>F282+F292+F301</f>
        <v>18979175.579999998</v>
      </c>
      <c r="G281" s="100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1:19" s="34" customFormat="1" ht="37.5" customHeight="1" x14ac:dyDescent="0.35">
      <c r="A282" s="17"/>
      <c r="B282" s="17" t="s">
        <v>132</v>
      </c>
      <c r="C282" s="8"/>
      <c r="D282" s="32"/>
      <c r="E282" s="32"/>
      <c r="F282" s="28">
        <f>SUM(F283:F291)</f>
        <v>2134175.58</v>
      </c>
      <c r="G282" s="32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</row>
    <row r="283" spans="1:19" s="10" customFormat="1" ht="37.5" customHeight="1" x14ac:dyDescent="0.35">
      <c r="A283" s="8"/>
      <c r="B283" s="19" t="s">
        <v>42</v>
      </c>
      <c r="C283" s="8" t="s">
        <v>22</v>
      </c>
      <c r="D283" s="8"/>
      <c r="E283" s="8"/>
      <c r="F283" s="22">
        <f>136211.58-136200</f>
        <v>11.579999999987194</v>
      </c>
      <c r="G283" s="8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s="10" customFormat="1" ht="51" customHeight="1" x14ac:dyDescent="0.35">
      <c r="A284" s="8"/>
      <c r="B284" s="19" t="s">
        <v>160</v>
      </c>
      <c r="C284" s="8">
        <v>2021</v>
      </c>
      <c r="D284" s="8"/>
      <c r="E284" s="8"/>
      <c r="F284" s="22">
        <v>49900</v>
      </c>
      <c r="G284" s="8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s="10" customFormat="1" ht="54" customHeight="1" x14ac:dyDescent="0.35">
      <c r="A285" s="8"/>
      <c r="B285" s="19" t="s">
        <v>236</v>
      </c>
      <c r="C285" s="8" t="s">
        <v>22</v>
      </c>
      <c r="D285" s="21">
        <v>1800000</v>
      </c>
      <c r="E285" s="24">
        <v>4</v>
      </c>
      <c r="F285" s="22">
        <v>900000</v>
      </c>
      <c r="G285" s="24">
        <v>54</v>
      </c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s="10" customFormat="1" ht="54" customHeight="1" x14ac:dyDescent="0.35">
      <c r="A286" s="8"/>
      <c r="B286" s="19" t="s">
        <v>221</v>
      </c>
      <c r="C286" s="8" t="s">
        <v>22</v>
      </c>
      <c r="D286" s="21">
        <v>304581</v>
      </c>
      <c r="E286" s="24">
        <v>10.8</v>
      </c>
      <c r="F286" s="22">
        <v>271581</v>
      </c>
      <c r="G286" s="24">
        <v>99.2</v>
      </c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s="10" customFormat="1" ht="55.5" customHeight="1" x14ac:dyDescent="0.35">
      <c r="A287" s="18"/>
      <c r="B287" s="19" t="s">
        <v>222</v>
      </c>
      <c r="C287" s="8" t="s">
        <v>22</v>
      </c>
      <c r="D287" s="21">
        <v>388708</v>
      </c>
      <c r="E287" s="24">
        <v>9</v>
      </c>
      <c r="F287" s="22">
        <v>268783</v>
      </c>
      <c r="G287" s="24">
        <v>100</v>
      </c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s="10" customFormat="1" ht="55.5" customHeight="1" x14ac:dyDescent="0.35">
      <c r="A288" s="18"/>
      <c r="B288" s="19" t="s">
        <v>323</v>
      </c>
      <c r="C288" s="8">
        <v>2021</v>
      </c>
      <c r="D288" s="21"/>
      <c r="E288" s="24"/>
      <c r="F288" s="22">
        <v>40000</v>
      </c>
      <c r="G288" s="24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s="10" customFormat="1" ht="67.5" customHeight="1" x14ac:dyDescent="0.35">
      <c r="A289" s="18"/>
      <c r="B289" s="19" t="s">
        <v>278</v>
      </c>
      <c r="C289" s="8">
        <v>2021</v>
      </c>
      <c r="D289" s="21"/>
      <c r="E289" s="24"/>
      <c r="F289" s="22">
        <v>49900</v>
      </c>
      <c r="G289" s="24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s="10" customFormat="1" ht="63" customHeight="1" x14ac:dyDescent="0.35">
      <c r="A290" s="18"/>
      <c r="B290" s="19" t="s">
        <v>322</v>
      </c>
      <c r="C290" s="8">
        <v>2021</v>
      </c>
      <c r="D290" s="21"/>
      <c r="E290" s="24"/>
      <c r="F290" s="22">
        <f>150000+200000</f>
        <v>350000</v>
      </c>
      <c r="G290" s="24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s="10" customFormat="1" ht="78" customHeight="1" x14ac:dyDescent="0.35">
      <c r="A291" s="18"/>
      <c r="B291" s="19" t="s">
        <v>324</v>
      </c>
      <c r="C291" s="8">
        <v>2021</v>
      </c>
      <c r="D291" s="21"/>
      <c r="E291" s="24"/>
      <c r="F291" s="22">
        <f>100000+104000</f>
        <v>204000</v>
      </c>
      <c r="G291" s="24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s="34" customFormat="1" ht="33" customHeight="1" x14ac:dyDescent="0.35">
      <c r="A292" s="17"/>
      <c r="B292" s="17" t="s">
        <v>37</v>
      </c>
      <c r="C292" s="8"/>
      <c r="D292" s="32"/>
      <c r="E292" s="32"/>
      <c r="F292" s="28">
        <f>SUM(F293:F300)</f>
        <v>15125000</v>
      </c>
      <c r="G292" s="4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</row>
    <row r="293" spans="1:19" s="10" customFormat="1" ht="97.5" customHeight="1" x14ac:dyDescent="0.35">
      <c r="A293" s="8"/>
      <c r="B293" s="19" t="s">
        <v>46</v>
      </c>
      <c r="C293" s="8" t="s">
        <v>22</v>
      </c>
      <c r="D293" s="21">
        <v>8858074</v>
      </c>
      <c r="E293" s="24">
        <v>2.4</v>
      </c>
      <c r="F293" s="22">
        <v>6930000</v>
      </c>
      <c r="G293" s="24">
        <v>80.599999999999994</v>
      </c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s="10" customFormat="1" ht="48" customHeight="1" x14ac:dyDescent="0.35">
      <c r="A294" s="8"/>
      <c r="B294" s="19" t="s">
        <v>308</v>
      </c>
      <c r="C294" s="8" t="s">
        <v>22</v>
      </c>
      <c r="D294" s="21">
        <v>3564264</v>
      </c>
      <c r="E294" s="24">
        <v>7.4</v>
      </c>
      <c r="F294" s="22">
        <v>50000</v>
      </c>
      <c r="G294" s="24">
        <v>8.8000000000000007</v>
      </c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s="10" customFormat="1" ht="48" customHeight="1" x14ac:dyDescent="0.35">
      <c r="A295" s="8"/>
      <c r="B295" s="19" t="s">
        <v>321</v>
      </c>
      <c r="C295" s="8">
        <v>2021</v>
      </c>
      <c r="D295" s="21"/>
      <c r="E295" s="24"/>
      <c r="F295" s="22">
        <v>100000</v>
      </c>
      <c r="G295" s="24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s="10" customFormat="1" ht="48" customHeight="1" x14ac:dyDescent="0.35">
      <c r="A296" s="8"/>
      <c r="B296" s="19" t="s">
        <v>340</v>
      </c>
      <c r="C296" s="8">
        <v>2021</v>
      </c>
      <c r="D296" s="21"/>
      <c r="E296" s="24"/>
      <c r="F296" s="22">
        <v>200000</v>
      </c>
      <c r="G296" s="24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s="10" customFormat="1" ht="28.5" customHeight="1" x14ac:dyDescent="0.35">
      <c r="A297" s="8"/>
      <c r="B297" s="19" t="s">
        <v>114</v>
      </c>
      <c r="C297" s="8" t="s">
        <v>22</v>
      </c>
      <c r="D297" s="21"/>
      <c r="E297" s="24"/>
      <c r="F297" s="22">
        <f>1000000-190000-700000</f>
        <v>110000</v>
      </c>
      <c r="G297" s="8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s="10" customFormat="1" ht="33" customHeight="1" x14ac:dyDescent="0.35">
      <c r="A298" s="8"/>
      <c r="B298" s="19" t="s">
        <v>13</v>
      </c>
      <c r="C298" s="8" t="s">
        <v>22</v>
      </c>
      <c r="D298" s="21">
        <v>26441501</v>
      </c>
      <c r="E298" s="8">
        <v>8.1999999999999993</v>
      </c>
      <c r="F298" s="22">
        <v>6800000</v>
      </c>
      <c r="G298" s="24">
        <v>33.9</v>
      </c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s="10" customFormat="1" ht="54" customHeight="1" x14ac:dyDescent="0.35">
      <c r="A299" s="8"/>
      <c r="B299" s="19" t="s">
        <v>293</v>
      </c>
      <c r="C299" s="8">
        <v>2021</v>
      </c>
      <c r="D299" s="21"/>
      <c r="E299" s="8"/>
      <c r="F299" s="22">
        <f>1000000-200000</f>
        <v>800000</v>
      </c>
      <c r="G299" s="24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s="10" customFormat="1" ht="54" customHeight="1" x14ac:dyDescent="0.35">
      <c r="A300" s="8"/>
      <c r="B300" s="19" t="s">
        <v>332</v>
      </c>
      <c r="C300" s="8">
        <v>2021</v>
      </c>
      <c r="D300" s="21"/>
      <c r="E300" s="8"/>
      <c r="F300" s="22">
        <v>135000</v>
      </c>
      <c r="G300" s="24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s="10" customFormat="1" ht="49.5" customHeight="1" x14ac:dyDescent="0.35">
      <c r="A301" s="17"/>
      <c r="B301" s="17" t="s">
        <v>34</v>
      </c>
      <c r="C301" s="8"/>
      <c r="D301" s="21"/>
      <c r="E301" s="8"/>
      <c r="F301" s="28">
        <f>F302+F303+F304</f>
        <v>1720000</v>
      </c>
      <c r="G301" s="24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s="10" customFormat="1" ht="49.5" customHeight="1" x14ac:dyDescent="0.35">
      <c r="A302" s="8"/>
      <c r="B302" s="19" t="s">
        <v>237</v>
      </c>
      <c r="C302" s="8">
        <v>2021</v>
      </c>
      <c r="D302" s="21">
        <v>200000</v>
      </c>
      <c r="E302" s="8">
        <v>0</v>
      </c>
      <c r="F302" s="22">
        <v>200000</v>
      </c>
      <c r="G302" s="24">
        <v>100</v>
      </c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s="10" customFormat="1" ht="49.5" customHeight="1" x14ac:dyDescent="0.35">
      <c r="A303" s="8"/>
      <c r="B303" s="19" t="s">
        <v>269</v>
      </c>
      <c r="C303" s="8">
        <v>2021</v>
      </c>
      <c r="D303" s="21"/>
      <c r="E303" s="8"/>
      <c r="F303" s="22">
        <v>1490000</v>
      </c>
      <c r="G303" s="24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s="10" customFormat="1" ht="49.5" customHeight="1" x14ac:dyDescent="0.35">
      <c r="A304" s="8"/>
      <c r="B304" s="19" t="s">
        <v>279</v>
      </c>
      <c r="C304" s="8">
        <v>2021</v>
      </c>
      <c r="D304" s="21"/>
      <c r="E304" s="8"/>
      <c r="F304" s="22">
        <v>30000</v>
      </c>
      <c r="G304" s="24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s="7" customFormat="1" ht="37.5" customHeight="1" x14ac:dyDescent="0.35">
      <c r="A305" s="16" t="s">
        <v>2</v>
      </c>
      <c r="B305" s="17" t="s">
        <v>207</v>
      </c>
      <c r="C305" s="100"/>
      <c r="D305" s="100"/>
      <c r="E305" s="100"/>
      <c r="F305" s="83">
        <f>SUM(F306:F307)</f>
        <v>3250000</v>
      </c>
      <c r="G305" s="100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1:19" s="10" customFormat="1" ht="84.75" customHeight="1" x14ac:dyDescent="0.35">
      <c r="A306" s="8"/>
      <c r="B306" s="19" t="s">
        <v>238</v>
      </c>
      <c r="C306" s="8" t="s">
        <v>14</v>
      </c>
      <c r="D306" s="44">
        <v>13234370</v>
      </c>
      <c r="E306" s="24">
        <v>20</v>
      </c>
      <c r="F306" s="22">
        <v>3000000</v>
      </c>
      <c r="G306" s="24">
        <v>42.7</v>
      </c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s="10" customFormat="1" ht="57" customHeight="1" x14ac:dyDescent="0.35">
      <c r="A307" s="8"/>
      <c r="B307" s="19" t="s">
        <v>239</v>
      </c>
      <c r="C307" s="8">
        <v>2021</v>
      </c>
      <c r="D307" s="44"/>
      <c r="E307" s="24"/>
      <c r="F307" s="22">
        <v>250000</v>
      </c>
      <c r="G307" s="24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s="10" customFormat="1" ht="87" customHeight="1" x14ac:dyDescent="0.35">
      <c r="A308" s="16" t="s">
        <v>249</v>
      </c>
      <c r="B308" s="19"/>
      <c r="C308" s="8"/>
      <c r="D308" s="44"/>
      <c r="E308" s="24"/>
      <c r="F308" s="83">
        <f>F310+F318</f>
        <v>13159984</v>
      </c>
      <c r="G308" s="24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s="41" customFormat="1" ht="57" customHeight="1" x14ac:dyDescent="0.35">
      <c r="A309" s="17" t="s">
        <v>248</v>
      </c>
      <c r="B309" s="17"/>
      <c r="C309" s="39"/>
      <c r="D309" s="87"/>
      <c r="E309" s="88"/>
      <c r="F309" s="28">
        <f>F311+F319</f>
        <v>10359984</v>
      </c>
      <c r="G309" s="88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</row>
    <row r="310" spans="1:19" s="10" customFormat="1" ht="57" customHeight="1" x14ac:dyDescent="0.35">
      <c r="A310" s="8"/>
      <c r="B310" s="17" t="s">
        <v>43</v>
      </c>
      <c r="C310" s="8"/>
      <c r="D310" s="44"/>
      <c r="E310" s="24"/>
      <c r="F310" s="28">
        <f>F312+F314+F316</f>
        <v>7800000</v>
      </c>
      <c r="G310" s="24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s="10" customFormat="1" ht="57" customHeight="1" x14ac:dyDescent="0.35">
      <c r="A311" s="8"/>
      <c r="B311" s="29" t="s">
        <v>248</v>
      </c>
      <c r="C311" s="8"/>
      <c r="D311" s="44"/>
      <c r="E311" s="24"/>
      <c r="F311" s="30">
        <f>F313+F315+F317</f>
        <v>5000000</v>
      </c>
      <c r="G311" s="24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s="10" customFormat="1" ht="57" customHeight="1" x14ac:dyDescent="0.35">
      <c r="A312" s="8"/>
      <c r="B312" s="19" t="s">
        <v>252</v>
      </c>
      <c r="C312" s="8" t="s">
        <v>22</v>
      </c>
      <c r="D312" s="44">
        <v>6113935</v>
      </c>
      <c r="E312" s="24">
        <v>3</v>
      </c>
      <c r="F312" s="22">
        <v>5300000</v>
      </c>
      <c r="G312" s="24">
        <v>89.7</v>
      </c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s="34" customFormat="1" ht="57" customHeight="1" x14ac:dyDescent="0.35">
      <c r="A313" s="32"/>
      <c r="B313" s="29" t="s">
        <v>248</v>
      </c>
      <c r="C313" s="32"/>
      <c r="D313" s="46"/>
      <c r="E313" s="43"/>
      <c r="F313" s="30">
        <v>2500000</v>
      </c>
      <c r="G313" s="4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</row>
    <row r="314" spans="1:19" s="10" customFormat="1" ht="76.5" customHeight="1" x14ac:dyDescent="0.35">
      <c r="A314" s="8"/>
      <c r="B314" s="19" t="s">
        <v>253</v>
      </c>
      <c r="C314" s="8" t="s">
        <v>205</v>
      </c>
      <c r="D314" s="44"/>
      <c r="E314" s="24"/>
      <c r="F314" s="22">
        <v>1500000</v>
      </c>
      <c r="G314" s="24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s="34" customFormat="1" ht="57" customHeight="1" x14ac:dyDescent="0.35">
      <c r="A315" s="32"/>
      <c r="B315" s="29" t="s">
        <v>248</v>
      </c>
      <c r="C315" s="32"/>
      <c r="D315" s="46"/>
      <c r="E315" s="43"/>
      <c r="F315" s="30">
        <v>1500000</v>
      </c>
      <c r="G315" s="4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</row>
    <row r="316" spans="1:19" s="10" customFormat="1" ht="57" customHeight="1" x14ac:dyDescent="0.35">
      <c r="A316" s="8"/>
      <c r="B316" s="19" t="s">
        <v>254</v>
      </c>
      <c r="C316" s="8">
        <v>2021</v>
      </c>
      <c r="D316" s="44"/>
      <c r="E316" s="24"/>
      <c r="F316" s="22">
        <v>1000000</v>
      </c>
      <c r="G316" s="24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s="34" customFormat="1" ht="57" customHeight="1" x14ac:dyDescent="0.35">
      <c r="A317" s="32"/>
      <c r="B317" s="29" t="s">
        <v>248</v>
      </c>
      <c r="C317" s="32"/>
      <c r="D317" s="46"/>
      <c r="E317" s="43"/>
      <c r="F317" s="30">
        <v>1000000</v>
      </c>
      <c r="G317" s="4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</row>
    <row r="318" spans="1:19" s="34" customFormat="1" ht="57" customHeight="1" x14ac:dyDescent="0.35">
      <c r="A318" s="32"/>
      <c r="B318" s="17" t="s">
        <v>312</v>
      </c>
      <c r="C318" s="32"/>
      <c r="D318" s="46"/>
      <c r="E318" s="43"/>
      <c r="F318" s="83">
        <f>F320</f>
        <v>5359984</v>
      </c>
      <c r="G318" s="4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</row>
    <row r="319" spans="1:19" s="34" customFormat="1" ht="57" customHeight="1" x14ac:dyDescent="0.35">
      <c r="A319" s="32"/>
      <c r="B319" s="29" t="s">
        <v>248</v>
      </c>
      <c r="C319" s="32"/>
      <c r="D319" s="46"/>
      <c r="E319" s="43"/>
      <c r="F319" s="30">
        <f>F321</f>
        <v>5359984</v>
      </c>
      <c r="G319" s="4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</row>
    <row r="320" spans="1:19" s="34" customFormat="1" ht="57" customHeight="1" x14ac:dyDescent="0.35">
      <c r="A320" s="32"/>
      <c r="B320" s="19" t="s">
        <v>313</v>
      </c>
      <c r="C320" s="8">
        <v>2021</v>
      </c>
      <c r="D320" s="46"/>
      <c r="E320" s="43"/>
      <c r="F320" s="22">
        <f>F321</f>
        <v>5359984</v>
      </c>
      <c r="G320" s="4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</row>
    <row r="321" spans="1:19" s="34" customFormat="1" ht="57" customHeight="1" x14ac:dyDescent="0.35">
      <c r="A321" s="32"/>
      <c r="B321" s="29" t="s">
        <v>248</v>
      </c>
      <c r="C321" s="32"/>
      <c r="D321" s="46"/>
      <c r="E321" s="43"/>
      <c r="F321" s="30">
        <v>5359984</v>
      </c>
      <c r="G321" s="4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</row>
    <row r="322" spans="1:19" s="34" customFormat="1" ht="57" customHeight="1" x14ac:dyDescent="0.35">
      <c r="A322" s="16" t="s">
        <v>339</v>
      </c>
      <c r="B322" s="17" t="s">
        <v>132</v>
      </c>
      <c r="C322" s="8"/>
      <c r="D322" s="46"/>
      <c r="E322" s="43"/>
      <c r="F322" s="83">
        <f>F324</f>
        <v>200000</v>
      </c>
      <c r="G322" s="4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</row>
    <row r="323" spans="1:19" s="34" customFormat="1" ht="27.75" customHeight="1" x14ac:dyDescent="0.35">
      <c r="A323" s="29" t="s">
        <v>311</v>
      </c>
      <c r="B323" s="19"/>
      <c r="C323" s="8"/>
      <c r="D323" s="46"/>
      <c r="E323" s="43"/>
      <c r="F323" s="30">
        <v>200000</v>
      </c>
      <c r="G323" s="4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</row>
    <row r="324" spans="1:19" s="34" customFormat="1" ht="85.5" customHeight="1" x14ac:dyDescent="0.35">
      <c r="A324" s="29"/>
      <c r="B324" s="19" t="s">
        <v>314</v>
      </c>
      <c r="C324" s="8">
        <v>2021</v>
      </c>
      <c r="D324" s="46"/>
      <c r="E324" s="43"/>
      <c r="F324" s="22">
        <v>200000</v>
      </c>
      <c r="G324" s="4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</row>
    <row r="325" spans="1:19" s="7" customFormat="1" ht="54" customHeight="1" x14ac:dyDescent="0.35">
      <c r="A325" s="16" t="s">
        <v>110</v>
      </c>
      <c r="B325" s="17" t="s">
        <v>104</v>
      </c>
      <c r="C325" s="100"/>
      <c r="D325" s="45"/>
      <c r="E325" s="84"/>
      <c r="F325" s="83">
        <f>F327+F329</f>
        <v>26790000</v>
      </c>
      <c r="G325" s="84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1:19" s="7" customFormat="1" ht="33" customHeight="1" x14ac:dyDescent="0.35">
      <c r="A326" s="29" t="s">
        <v>109</v>
      </c>
      <c r="B326" s="17"/>
      <c r="C326" s="100"/>
      <c r="D326" s="45"/>
      <c r="E326" s="84"/>
      <c r="F326" s="30">
        <f>F328</f>
        <v>26250000</v>
      </c>
      <c r="G326" s="84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1:19" s="10" customFormat="1" ht="37.5" customHeight="1" x14ac:dyDescent="0.35">
      <c r="A327" s="16"/>
      <c r="B327" s="19" t="s">
        <v>111</v>
      </c>
      <c r="C327" s="8"/>
      <c r="D327" s="44"/>
      <c r="E327" s="24"/>
      <c r="F327" s="22">
        <v>26250000</v>
      </c>
      <c r="G327" s="24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s="34" customFormat="1" ht="37.5" customHeight="1" x14ac:dyDescent="0.35">
      <c r="A328" s="29"/>
      <c r="B328" s="29" t="s">
        <v>44</v>
      </c>
      <c r="C328" s="8"/>
      <c r="D328" s="46"/>
      <c r="E328" s="43"/>
      <c r="F328" s="30">
        <v>26250000</v>
      </c>
      <c r="G328" s="4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</row>
    <row r="329" spans="1:19" s="10" customFormat="1" ht="37.5" customHeight="1" x14ac:dyDescent="0.35">
      <c r="A329" s="19"/>
      <c r="B329" s="19" t="s">
        <v>53</v>
      </c>
      <c r="C329" s="8"/>
      <c r="D329" s="44"/>
      <c r="E329" s="24"/>
      <c r="F329" s="22">
        <v>540000</v>
      </c>
      <c r="G329" s="24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s="7" customFormat="1" ht="37.5" customHeight="1" x14ac:dyDescent="0.35">
      <c r="A330" s="16" t="s">
        <v>30</v>
      </c>
      <c r="B330" s="17" t="s">
        <v>105</v>
      </c>
      <c r="C330" s="100"/>
      <c r="D330" s="45"/>
      <c r="E330" s="84"/>
      <c r="F330" s="83">
        <v>6450000</v>
      </c>
      <c r="G330" s="84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1:19" s="48" customFormat="1" ht="61.5" customHeight="1" x14ac:dyDescent="0.2">
      <c r="A331" s="25" t="s">
        <v>170</v>
      </c>
      <c r="B331" s="12"/>
      <c r="C331" s="13"/>
      <c r="D331" s="13"/>
      <c r="E331" s="13"/>
      <c r="F331" s="13">
        <f>F333+F339+F345+F349+F355+F381+F383+F386+F398+F347+F334</f>
        <v>267699629.84999999</v>
      </c>
      <c r="G331" s="13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</row>
    <row r="332" spans="1:19" s="50" customFormat="1" ht="42" customHeight="1" x14ac:dyDescent="0.2">
      <c r="A332" s="17" t="s">
        <v>44</v>
      </c>
      <c r="B332" s="17"/>
      <c r="C332" s="83"/>
      <c r="D332" s="28"/>
      <c r="E332" s="28"/>
      <c r="F332" s="28">
        <f>F388</f>
        <v>96859595</v>
      </c>
      <c r="G332" s="28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</row>
    <row r="333" spans="1:19" s="7" customFormat="1" ht="33" customHeight="1" x14ac:dyDescent="0.35">
      <c r="A333" s="18" t="s">
        <v>29</v>
      </c>
      <c r="B333" s="17" t="s">
        <v>34</v>
      </c>
      <c r="C333" s="100"/>
      <c r="D333" s="82"/>
      <c r="E333" s="100"/>
      <c r="F333" s="83">
        <f>52213511+381259+6050358</f>
        <v>58645128</v>
      </c>
      <c r="G333" s="100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1:19" s="7" customFormat="1" ht="33" customHeight="1" x14ac:dyDescent="0.35">
      <c r="A334" s="18" t="s">
        <v>0</v>
      </c>
      <c r="B334" s="17"/>
      <c r="C334" s="100"/>
      <c r="D334" s="82"/>
      <c r="E334" s="100"/>
      <c r="F334" s="83">
        <f>F335+F337</f>
        <v>23385.4</v>
      </c>
      <c r="G334" s="100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1:19" s="7" customFormat="1" ht="33" customHeight="1" x14ac:dyDescent="0.35">
      <c r="A335" s="18"/>
      <c r="B335" s="17" t="s">
        <v>132</v>
      </c>
      <c r="C335" s="8"/>
      <c r="D335" s="82"/>
      <c r="E335" s="100"/>
      <c r="F335" s="83">
        <f>F336</f>
        <v>12943.4</v>
      </c>
      <c r="G335" s="100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1:19" s="7" customFormat="1" ht="33" customHeight="1" x14ac:dyDescent="0.35">
      <c r="A336" s="18"/>
      <c r="B336" s="19" t="s">
        <v>326</v>
      </c>
      <c r="C336" s="8" t="s">
        <v>14</v>
      </c>
      <c r="D336" s="21">
        <v>15922519</v>
      </c>
      <c r="E336" s="8">
        <v>99.9</v>
      </c>
      <c r="F336" s="22">
        <v>12943.4</v>
      </c>
      <c r="G336" s="24">
        <v>100</v>
      </c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1:19" s="7" customFormat="1" ht="33" customHeight="1" x14ac:dyDescent="0.35">
      <c r="A337" s="18"/>
      <c r="B337" s="17" t="s">
        <v>37</v>
      </c>
      <c r="C337" s="8"/>
      <c r="D337" s="82"/>
      <c r="E337" s="100"/>
      <c r="F337" s="83">
        <f>F338</f>
        <v>10442</v>
      </c>
      <c r="G337" s="100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1:19" s="7" customFormat="1" ht="53.25" customHeight="1" x14ac:dyDescent="0.35">
      <c r="A338" s="18"/>
      <c r="B338" s="19" t="s">
        <v>327</v>
      </c>
      <c r="C338" s="8" t="s">
        <v>341</v>
      </c>
      <c r="D338" s="21">
        <v>1497784</v>
      </c>
      <c r="E338" s="8">
        <v>99.3</v>
      </c>
      <c r="F338" s="22">
        <v>10442</v>
      </c>
      <c r="G338" s="24">
        <v>100</v>
      </c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1:19" s="52" customFormat="1" ht="43.35" customHeight="1" x14ac:dyDescent="0.2">
      <c r="A339" s="35" t="s">
        <v>145</v>
      </c>
      <c r="B339" s="17"/>
      <c r="C339" s="83"/>
      <c r="D339" s="83"/>
      <c r="E339" s="83"/>
      <c r="F339" s="83">
        <f>F340+F342</f>
        <v>1120560</v>
      </c>
      <c r="G339" s="100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</row>
    <row r="340" spans="1:19" s="52" customFormat="1" ht="43.35" customHeight="1" x14ac:dyDescent="0.2">
      <c r="A340" s="35"/>
      <c r="B340" s="17" t="s">
        <v>132</v>
      </c>
      <c r="C340" s="83"/>
      <c r="D340" s="83"/>
      <c r="E340" s="83"/>
      <c r="F340" s="83">
        <f>F341</f>
        <v>1000000</v>
      </c>
      <c r="G340" s="100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</row>
    <row r="341" spans="1:19" s="52" customFormat="1" ht="55.5" customHeight="1" x14ac:dyDescent="0.2">
      <c r="A341" s="35"/>
      <c r="B341" s="19" t="s">
        <v>325</v>
      </c>
      <c r="C341" s="8">
        <v>2021</v>
      </c>
      <c r="D341" s="83"/>
      <c r="E341" s="83"/>
      <c r="F341" s="22">
        <v>1000000</v>
      </c>
      <c r="G341" s="100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</row>
    <row r="342" spans="1:19" s="52" customFormat="1" ht="43.35" customHeight="1" x14ac:dyDescent="0.2">
      <c r="A342" s="35"/>
      <c r="B342" s="17" t="s">
        <v>37</v>
      </c>
      <c r="C342" s="83"/>
      <c r="D342" s="83"/>
      <c r="E342" s="83"/>
      <c r="F342" s="83">
        <f>SUM(F343:F344)</f>
        <v>120560</v>
      </c>
      <c r="G342" s="100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</row>
    <row r="343" spans="1:19" s="55" customFormat="1" ht="39" customHeight="1" x14ac:dyDescent="0.2">
      <c r="A343" s="18"/>
      <c r="B343" s="19" t="s">
        <v>138</v>
      </c>
      <c r="C343" s="22" t="s">
        <v>14</v>
      </c>
      <c r="D343" s="21">
        <v>7491775</v>
      </c>
      <c r="E343" s="53">
        <v>31.4</v>
      </c>
      <c r="F343" s="22">
        <v>42471</v>
      </c>
      <c r="G343" s="24">
        <v>32</v>
      </c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</row>
    <row r="344" spans="1:19" s="55" customFormat="1" ht="61.5" customHeight="1" x14ac:dyDescent="0.2">
      <c r="A344" s="18"/>
      <c r="B344" s="19" t="s">
        <v>223</v>
      </c>
      <c r="C344" s="8">
        <v>2021</v>
      </c>
      <c r="D344" s="21"/>
      <c r="E344" s="53"/>
      <c r="F344" s="22">
        <v>78089</v>
      </c>
      <c r="G344" s="2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</row>
    <row r="345" spans="1:19" s="52" customFormat="1" ht="44.1" customHeight="1" x14ac:dyDescent="0.2">
      <c r="A345" s="35" t="s">
        <v>1</v>
      </c>
      <c r="B345" s="17" t="s">
        <v>37</v>
      </c>
      <c r="C345" s="83"/>
      <c r="D345" s="83"/>
      <c r="E345" s="83"/>
      <c r="F345" s="83">
        <f>F346</f>
        <v>6800000</v>
      </c>
      <c r="G345" s="100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</row>
    <row r="346" spans="1:19" s="10" customFormat="1" ht="57" customHeight="1" x14ac:dyDescent="0.35">
      <c r="A346" s="8"/>
      <c r="B346" s="19" t="s">
        <v>224</v>
      </c>
      <c r="C346" s="8" t="s">
        <v>15</v>
      </c>
      <c r="D346" s="21">
        <v>32104361</v>
      </c>
      <c r="E346" s="8">
        <v>40.9</v>
      </c>
      <c r="F346" s="22">
        <v>6800000</v>
      </c>
      <c r="G346" s="24">
        <v>62</v>
      </c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s="10" customFormat="1" ht="57" customHeight="1" x14ac:dyDescent="0.35">
      <c r="A347" s="35" t="s">
        <v>295</v>
      </c>
      <c r="B347" s="17" t="s">
        <v>37</v>
      </c>
      <c r="C347" s="8"/>
      <c r="D347" s="21"/>
      <c r="E347" s="8"/>
      <c r="F347" s="83">
        <f>F348</f>
        <v>400000</v>
      </c>
      <c r="G347" s="24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s="10" customFormat="1" ht="85.5" customHeight="1" x14ac:dyDescent="0.35">
      <c r="A348" s="8"/>
      <c r="B348" s="19" t="s">
        <v>296</v>
      </c>
      <c r="C348" s="8" t="s">
        <v>205</v>
      </c>
      <c r="D348" s="21"/>
      <c r="E348" s="8"/>
      <c r="F348" s="22">
        <v>400000</v>
      </c>
      <c r="G348" s="24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s="7" customFormat="1" ht="51.75" customHeight="1" x14ac:dyDescent="0.35">
      <c r="A349" s="16" t="s">
        <v>39</v>
      </c>
      <c r="B349" s="17"/>
      <c r="C349" s="100"/>
      <c r="D349" s="82"/>
      <c r="E349" s="100"/>
      <c r="F349" s="83">
        <f>F350+F352</f>
        <v>1799440</v>
      </c>
      <c r="G349" s="100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1:19" s="7" customFormat="1" ht="60.75" customHeight="1" x14ac:dyDescent="0.35">
      <c r="A350" s="17"/>
      <c r="B350" s="17" t="s">
        <v>132</v>
      </c>
      <c r="C350" s="100"/>
      <c r="D350" s="82"/>
      <c r="E350" s="100"/>
      <c r="F350" s="28">
        <f>F351</f>
        <v>1199440</v>
      </c>
      <c r="G350" s="100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1:19" s="10" customFormat="1" ht="52.5" customHeight="1" x14ac:dyDescent="0.35">
      <c r="A351" s="18"/>
      <c r="B351" s="19" t="s">
        <v>225</v>
      </c>
      <c r="C351" s="8" t="s">
        <v>22</v>
      </c>
      <c r="D351" s="21">
        <v>218385056</v>
      </c>
      <c r="E351" s="8">
        <v>0.2</v>
      </c>
      <c r="F351" s="22">
        <v>1199440</v>
      </c>
      <c r="G351" s="8">
        <v>0.7</v>
      </c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s="10" customFormat="1" ht="36" customHeight="1" x14ac:dyDescent="0.35">
      <c r="A352" s="17"/>
      <c r="B352" s="17" t="s">
        <v>37</v>
      </c>
      <c r="C352" s="8"/>
      <c r="D352" s="21"/>
      <c r="E352" s="8"/>
      <c r="F352" s="28">
        <f>SUM(F353:F354)</f>
        <v>600000</v>
      </c>
      <c r="G352" s="8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s="10" customFormat="1" ht="57" customHeight="1" x14ac:dyDescent="0.35">
      <c r="A353" s="18"/>
      <c r="B353" s="19" t="s">
        <v>226</v>
      </c>
      <c r="C353" s="8">
        <v>2021</v>
      </c>
      <c r="D353" s="21"/>
      <c r="E353" s="8"/>
      <c r="F353" s="22">
        <v>100000</v>
      </c>
      <c r="G353" s="8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s="10" customFormat="1" ht="42" customHeight="1" x14ac:dyDescent="0.35">
      <c r="A354" s="18"/>
      <c r="B354" s="19" t="s">
        <v>157</v>
      </c>
      <c r="C354" s="8">
        <v>2021</v>
      </c>
      <c r="D354" s="21"/>
      <c r="E354" s="8"/>
      <c r="F354" s="22">
        <v>500000</v>
      </c>
      <c r="G354" s="8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s="52" customFormat="1" ht="39" customHeight="1" x14ac:dyDescent="0.2">
      <c r="A355" s="35" t="s">
        <v>9</v>
      </c>
      <c r="B355" s="35"/>
      <c r="C355" s="83"/>
      <c r="D355" s="83"/>
      <c r="E355" s="83"/>
      <c r="F355" s="83">
        <f>F356+F368+F376</f>
        <v>11510539</v>
      </c>
      <c r="G355" s="100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</row>
    <row r="356" spans="1:19" s="59" customFormat="1" ht="37.5" customHeight="1" x14ac:dyDescent="0.2">
      <c r="A356" s="17"/>
      <c r="B356" s="17" t="s">
        <v>132</v>
      </c>
      <c r="C356" s="56"/>
      <c r="D356" s="57"/>
      <c r="E356" s="57"/>
      <c r="F356" s="28">
        <f>SUM(F357:F367)</f>
        <v>6451805</v>
      </c>
      <c r="G356" s="89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</row>
    <row r="357" spans="1:19" s="55" customFormat="1" ht="36" customHeight="1" x14ac:dyDescent="0.2">
      <c r="A357" s="100"/>
      <c r="B357" s="19" t="s">
        <v>158</v>
      </c>
      <c r="C357" s="8" t="s">
        <v>18</v>
      </c>
      <c r="D357" s="21">
        <v>38244949</v>
      </c>
      <c r="E357" s="24">
        <v>35.4</v>
      </c>
      <c r="F357" s="22">
        <v>3930000</v>
      </c>
      <c r="G357" s="24">
        <v>44.9</v>
      </c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</row>
    <row r="358" spans="1:19" s="55" customFormat="1" ht="54" customHeight="1" x14ac:dyDescent="0.2">
      <c r="A358" s="100"/>
      <c r="B358" s="19" t="s">
        <v>140</v>
      </c>
      <c r="C358" s="8" t="s">
        <v>20</v>
      </c>
      <c r="D358" s="21"/>
      <c r="E358" s="8"/>
      <c r="F358" s="22">
        <f>1000000-60000-10000</f>
        <v>930000</v>
      </c>
      <c r="G358" s="8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</row>
    <row r="359" spans="1:19" s="10" customFormat="1" ht="32.25" customHeight="1" x14ac:dyDescent="0.35">
      <c r="A359" s="18"/>
      <c r="B359" s="19" t="s">
        <v>139</v>
      </c>
      <c r="C359" s="8" t="s">
        <v>22</v>
      </c>
      <c r="D359" s="21">
        <v>2174659</v>
      </c>
      <c r="E359" s="8">
        <v>74.099999999999994</v>
      </c>
      <c r="F359" s="22">
        <v>258138</v>
      </c>
      <c r="G359" s="24">
        <v>100</v>
      </c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s="55" customFormat="1" ht="42" customHeight="1" x14ac:dyDescent="0.2">
      <c r="A360" s="100"/>
      <c r="B360" s="19" t="s">
        <v>159</v>
      </c>
      <c r="C360" s="8" t="s">
        <v>21</v>
      </c>
      <c r="D360" s="21">
        <v>3798990</v>
      </c>
      <c r="E360" s="24">
        <v>5.9</v>
      </c>
      <c r="F360" s="22">
        <f>1000000-950000</f>
        <v>50000</v>
      </c>
      <c r="G360" s="8">
        <v>7.2</v>
      </c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</row>
    <row r="361" spans="1:19" s="55" customFormat="1" ht="65.25" customHeight="1" x14ac:dyDescent="0.2">
      <c r="A361" s="100"/>
      <c r="B361" s="19" t="s">
        <v>57</v>
      </c>
      <c r="C361" s="8">
        <v>2021</v>
      </c>
      <c r="D361" s="21">
        <v>158920</v>
      </c>
      <c r="E361" s="8"/>
      <c r="F361" s="22">
        <v>150000</v>
      </c>
      <c r="G361" s="8">
        <v>94.4</v>
      </c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</row>
    <row r="362" spans="1:19" s="55" customFormat="1" ht="65.25" customHeight="1" x14ac:dyDescent="0.2">
      <c r="A362" s="100"/>
      <c r="B362" s="19" t="s">
        <v>208</v>
      </c>
      <c r="C362" s="8">
        <v>2021</v>
      </c>
      <c r="D362" s="21"/>
      <c r="E362" s="8"/>
      <c r="F362" s="22">
        <v>200000</v>
      </c>
      <c r="G362" s="8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</row>
    <row r="363" spans="1:19" s="55" customFormat="1" ht="65.25" customHeight="1" x14ac:dyDescent="0.2">
      <c r="A363" s="100"/>
      <c r="B363" s="19" t="s">
        <v>330</v>
      </c>
      <c r="C363" s="8">
        <v>2021</v>
      </c>
      <c r="D363" s="21"/>
      <c r="E363" s="8"/>
      <c r="F363" s="22">
        <v>198667</v>
      </c>
      <c r="G363" s="8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</row>
    <row r="364" spans="1:19" s="55" customFormat="1" ht="54" customHeight="1" x14ac:dyDescent="0.2">
      <c r="A364" s="100"/>
      <c r="B364" s="19" t="s">
        <v>147</v>
      </c>
      <c r="C364" s="8">
        <v>2021</v>
      </c>
      <c r="D364" s="21"/>
      <c r="E364" s="8"/>
      <c r="F364" s="22">
        <v>200000</v>
      </c>
      <c r="G364" s="8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</row>
    <row r="365" spans="1:19" s="55" customFormat="1" ht="55.5" customHeight="1" x14ac:dyDescent="0.2">
      <c r="A365" s="100"/>
      <c r="B365" s="19" t="s">
        <v>120</v>
      </c>
      <c r="C365" s="8">
        <v>2021</v>
      </c>
      <c r="D365" s="21">
        <v>143772</v>
      </c>
      <c r="E365" s="8"/>
      <c r="F365" s="22">
        <v>135000</v>
      </c>
      <c r="G365" s="8">
        <v>93.9</v>
      </c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</row>
    <row r="366" spans="1:19" s="55" customFormat="1" ht="55.5" customHeight="1" x14ac:dyDescent="0.2">
      <c r="A366" s="100"/>
      <c r="B366" s="19" t="s">
        <v>329</v>
      </c>
      <c r="C366" s="8">
        <v>2021</v>
      </c>
      <c r="D366" s="21"/>
      <c r="E366" s="8"/>
      <c r="F366" s="22">
        <v>200000</v>
      </c>
      <c r="G366" s="8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</row>
    <row r="367" spans="1:19" s="55" customFormat="1" ht="34.5" customHeight="1" x14ac:dyDescent="0.2">
      <c r="A367" s="100"/>
      <c r="B367" s="19" t="s">
        <v>58</v>
      </c>
      <c r="C367" s="8">
        <v>2021</v>
      </c>
      <c r="D367" s="21"/>
      <c r="E367" s="8"/>
      <c r="F367" s="22">
        <v>200000</v>
      </c>
      <c r="G367" s="8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</row>
    <row r="368" spans="1:19" s="59" customFormat="1" ht="35.25" customHeight="1" x14ac:dyDescent="0.2">
      <c r="A368" s="17"/>
      <c r="B368" s="17" t="s">
        <v>37</v>
      </c>
      <c r="C368" s="22"/>
      <c r="D368" s="60"/>
      <c r="E368" s="60"/>
      <c r="F368" s="28">
        <f>SUM(F369:F375)</f>
        <v>4502739</v>
      </c>
      <c r="G368" s="61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</row>
    <row r="369" spans="1:19" s="59" customFormat="1" ht="59.25" customHeight="1" x14ac:dyDescent="0.2">
      <c r="A369" s="17"/>
      <c r="B369" s="19" t="s">
        <v>328</v>
      </c>
      <c r="C369" s="8">
        <v>2021</v>
      </c>
      <c r="D369" s="60"/>
      <c r="E369" s="60"/>
      <c r="F369" s="22">
        <f>49900+300000</f>
        <v>349900</v>
      </c>
      <c r="G369" s="61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</row>
    <row r="370" spans="1:19" s="55" customFormat="1" ht="57" customHeight="1" x14ac:dyDescent="0.2">
      <c r="A370" s="100"/>
      <c r="B370" s="19" t="s">
        <v>50</v>
      </c>
      <c r="C370" s="8">
        <v>2021</v>
      </c>
      <c r="D370" s="21"/>
      <c r="E370" s="53"/>
      <c r="F370" s="22">
        <v>200000</v>
      </c>
      <c r="G370" s="21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</row>
    <row r="371" spans="1:19" s="55" customFormat="1" ht="60" customHeight="1" x14ac:dyDescent="0.2">
      <c r="A371" s="100"/>
      <c r="B371" s="19" t="s">
        <v>227</v>
      </c>
      <c r="C371" s="8">
        <v>2021</v>
      </c>
      <c r="D371" s="21"/>
      <c r="E371" s="53"/>
      <c r="F371" s="22">
        <v>40000</v>
      </c>
      <c r="G371" s="21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</row>
    <row r="372" spans="1:19" s="55" customFormat="1" ht="60" customHeight="1" x14ac:dyDescent="0.2">
      <c r="A372" s="100"/>
      <c r="B372" s="19" t="s">
        <v>267</v>
      </c>
      <c r="C372" s="8">
        <v>2021</v>
      </c>
      <c r="D372" s="21"/>
      <c r="E372" s="53"/>
      <c r="F372" s="22">
        <v>10000</v>
      </c>
      <c r="G372" s="21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</row>
    <row r="373" spans="1:19" s="55" customFormat="1" ht="41.25" customHeight="1" x14ac:dyDescent="0.2">
      <c r="A373" s="18"/>
      <c r="B373" s="19" t="s">
        <v>141</v>
      </c>
      <c r="C373" s="8" t="s">
        <v>17</v>
      </c>
      <c r="D373" s="21">
        <v>3731467</v>
      </c>
      <c r="E373" s="53">
        <v>8.6</v>
      </c>
      <c r="F373" s="22">
        <v>2567447</v>
      </c>
      <c r="G373" s="53">
        <v>77.400000000000006</v>
      </c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</row>
    <row r="374" spans="1:19" s="55" customFormat="1" ht="48.75" customHeight="1" x14ac:dyDescent="0.2">
      <c r="A374" s="100"/>
      <c r="B374" s="19" t="s">
        <v>228</v>
      </c>
      <c r="C374" s="8">
        <v>2021</v>
      </c>
      <c r="D374" s="21"/>
      <c r="E374" s="53"/>
      <c r="F374" s="22">
        <v>200000</v>
      </c>
      <c r="G374" s="21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</row>
    <row r="375" spans="1:19" s="55" customFormat="1" ht="46.5" customHeight="1" x14ac:dyDescent="0.2">
      <c r="A375" s="100"/>
      <c r="B375" s="19" t="s">
        <v>11</v>
      </c>
      <c r="C375" s="8" t="s">
        <v>22</v>
      </c>
      <c r="D375" s="21">
        <v>43073606</v>
      </c>
      <c r="E375" s="53">
        <v>63.4</v>
      </c>
      <c r="F375" s="22">
        <f>3000000-1864608</f>
        <v>1135392</v>
      </c>
      <c r="G375" s="53">
        <v>66</v>
      </c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</row>
    <row r="376" spans="1:19" s="55" customFormat="1" ht="35.25" customHeight="1" x14ac:dyDescent="0.2">
      <c r="A376" s="17"/>
      <c r="B376" s="17" t="s">
        <v>34</v>
      </c>
      <c r="C376" s="8"/>
      <c r="D376" s="21"/>
      <c r="E376" s="53"/>
      <c r="F376" s="28">
        <f>SUM(F377:F380)</f>
        <v>555995</v>
      </c>
      <c r="G376" s="53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</row>
    <row r="377" spans="1:19" s="55" customFormat="1" ht="40.5" customHeight="1" x14ac:dyDescent="0.2">
      <c r="A377" s="100"/>
      <c r="B377" s="19" t="s">
        <v>117</v>
      </c>
      <c r="C377" s="8">
        <v>2021</v>
      </c>
      <c r="D377" s="21"/>
      <c r="E377" s="53"/>
      <c r="F377" s="22">
        <v>400000</v>
      </c>
      <c r="G377" s="53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</row>
    <row r="378" spans="1:19" s="55" customFormat="1" ht="43.5" customHeight="1" x14ac:dyDescent="0.2">
      <c r="A378" s="100"/>
      <c r="B378" s="19" t="s">
        <v>161</v>
      </c>
      <c r="C378" s="8" t="s">
        <v>17</v>
      </c>
      <c r="D378" s="21">
        <v>299822</v>
      </c>
      <c r="E378" s="53">
        <v>65.900000000000006</v>
      </c>
      <c r="F378" s="22">
        <f>95995</f>
        <v>95995</v>
      </c>
      <c r="G378" s="53">
        <v>97.9</v>
      </c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</row>
    <row r="379" spans="1:19" s="55" customFormat="1" ht="43.5" customHeight="1" x14ac:dyDescent="0.2">
      <c r="A379" s="100"/>
      <c r="B379" s="19" t="s">
        <v>342</v>
      </c>
      <c r="C379" s="8">
        <v>2021</v>
      </c>
      <c r="D379" s="21"/>
      <c r="E379" s="53"/>
      <c r="F379" s="22">
        <v>10000</v>
      </c>
      <c r="G379" s="53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</row>
    <row r="380" spans="1:19" s="55" customFormat="1" ht="58.5" customHeight="1" x14ac:dyDescent="0.2">
      <c r="A380" s="100"/>
      <c r="B380" s="19" t="s">
        <v>270</v>
      </c>
      <c r="C380" s="8">
        <v>2021</v>
      </c>
      <c r="D380" s="21"/>
      <c r="E380" s="53"/>
      <c r="F380" s="22">
        <v>50000</v>
      </c>
      <c r="G380" s="53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</row>
    <row r="381" spans="1:19" s="7" customFormat="1" ht="36.75" customHeight="1" x14ac:dyDescent="0.35">
      <c r="A381" s="16" t="s">
        <v>2</v>
      </c>
      <c r="B381" s="17" t="s">
        <v>207</v>
      </c>
      <c r="C381" s="100"/>
      <c r="D381" s="100"/>
      <c r="E381" s="100"/>
      <c r="F381" s="83">
        <f>F382</f>
        <v>1000000</v>
      </c>
      <c r="G381" s="100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1:19" s="55" customFormat="1" ht="165" customHeight="1" x14ac:dyDescent="0.2">
      <c r="A382" s="18"/>
      <c r="B382" s="19" t="s">
        <v>49</v>
      </c>
      <c r="C382" s="8" t="s">
        <v>22</v>
      </c>
      <c r="D382" s="21">
        <v>1411365</v>
      </c>
      <c r="E382" s="53">
        <v>7.2</v>
      </c>
      <c r="F382" s="22">
        <v>1000000</v>
      </c>
      <c r="G382" s="53">
        <v>78.099999999999994</v>
      </c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</row>
    <row r="383" spans="1:19" s="7" customFormat="1" ht="66.75" customHeight="1" x14ac:dyDescent="0.35">
      <c r="A383" s="16" t="s">
        <v>40</v>
      </c>
      <c r="B383" s="17" t="s">
        <v>132</v>
      </c>
      <c r="C383" s="100"/>
      <c r="D383" s="82"/>
      <c r="E383" s="100"/>
      <c r="F383" s="83">
        <f>SUM(F384:F385)</f>
        <v>58172673</v>
      </c>
      <c r="G383" s="100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1:19" s="10" customFormat="1" ht="53.25" customHeight="1" x14ac:dyDescent="0.35">
      <c r="A384" s="19"/>
      <c r="B384" s="19" t="s">
        <v>229</v>
      </c>
      <c r="C384" s="8" t="s">
        <v>14</v>
      </c>
      <c r="D384" s="21">
        <v>77987328</v>
      </c>
      <c r="E384" s="8">
        <v>40.700000000000003</v>
      </c>
      <c r="F384" s="22">
        <f>25172673+5000000</f>
        <v>30172673</v>
      </c>
      <c r="G384" s="24">
        <v>100</v>
      </c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s="10" customFormat="1" ht="77.25" customHeight="1" x14ac:dyDescent="0.35">
      <c r="A385" s="8"/>
      <c r="B385" s="19" t="s">
        <v>10</v>
      </c>
      <c r="C385" s="8" t="s">
        <v>16</v>
      </c>
      <c r="D385" s="21">
        <v>92508050</v>
      </c>
      <c r="E385" s="8">
        <v>1.2</v>
      </c>
      <c r="F385" s="22">
        <v>28000000</v>
      </c>
      <c r="G385" s="8">
        <v>31.5</v>
      </c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s="52" customFormat="1" ht="39.75" customHeight="1" x14ac:dyDescent="0.2">
      <c r="A386" s="35" t="s">
        <v>3</v>
      </c>
      <c r="B386" s="62"/>
      <c r="C386" s="83"/>
      <c r="D386" s="82"/>
      <c r="E386" s="82"/>
      <c r="F386" s="83">
        <f>F387+F394</f>
        <v>128141904.45</v>
      </c>
      <c r="G386" s="90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</row>
    <row r="387" spans="1:19" s="50" customFormat="1" ht="34.5" customHeight="1" x14ac:dyDescent="0.2">
      <c r="A387" s="17"/>
      <c r="B387" s="17" t="s">
        <v>43</v>
      </c>
      <c r="C387" s="83"/>
      <c r="D387" s="63"/>
      <c r="E387" s="63"/>
      <c r="F387" s="28">
        <f>F389+F392</f>
        <v>117182088</v>
      </c>
      <c r="G387" s="91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</row>
    <row r="388" spans="1:19" s="50" customFormat="1" ht="39.75" customHeight="1" x14ac:dyDescent="0.2">
      <c r="A388" s="17"/>
      <c r="B388" s="17" t="s">
        <v>44</v>
      </c>
      <c r="C388" s="83"/>
      <c r="D388" s="63"/>
      <c r="E388" s="63"/>
      <c r="F388" s="28">
        <f>F391</f>
        <v>96859595</v>
      </c>
      <c r="G388" s="91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</row>
    <row r="389" spans="1:19" s="50" customFormat="1" ht="63" customHeight="1" x14ac:dyDescent="0.2">
      <c r="A389" s="36"/>
      <c r="B389" s="19" t="s">
        <v>106</v>
      </c>
      <c r="C389" s="22" t="s">
        <v>22</v>
      </c>
      <c r="D389" s="63"/>
      <c r="E389" s="63"/>
      <c r="F389" s="22">
        <f>F390</f>
        <v>116231514</v>
      </c>
      <c r="G389" s="91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</row>
    <row r="390" spans="1:19" s="50" customFormat="1" ht="54" customHeight="1" x14ac:dyDescent="0.2">
      <c r="A390" s="64"/>
      <c r="B390" s="29" t="s">
        <v>108</v>
      </c>
      <c r="C390" s="22" t="s">
        <v>22</v>
      </c>
      <c r="D390" s="63"/>
      <c r="E390" s="63"/>
      <c r="F390" s="30">
        <v>116231514</v>
      </c>
      <c r="G390" s="91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</row>
    <row r="391" spans="1:19" s="50" customFormat="1" ht="39.75" customHeight="1" x14ac:dyDescent="0.2">
      <c r="A391" s="65"/>
      <c r="B391" s="66" t="s">
        <v>107</v>
      </c>
      <c r="C391" s="22"/>
      <c r="D391" s="63"/>
      <c r="E391" s="63"/>
      <c r="F391" s="30">
        <v>96859595</v>
      </c>
      <c r="G391" s="91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</row>
    <row r="392" spans="1:19" s="50" customFormat="1" ht="51.75" customHeight="1" x14ac:dyDescent="0.2">
      <c r="A392" s="36"/>
      <c r="B392" s="19" t="s">
        <v>48</v>
      </c>
      <c r="C392" s="22" t="s">
        <v>22</v>
      </c>
      <c r="D392" s="63"/>
      <c r="E392" s="63"/>
      <c r="F392" s="22">
        <f>F393</f>
        <v>950574</v>
      </c>
      <c r="G392" s="91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</row>
    <row r="393" spans="1:19" s="59" customFormat="1" ht="59.25" customHeight="1" x14ac:dyDescent="0.2">
      <c r="A393" s="67"/>
      <c r="B393" s="66" t="s">
        <v>230</v>
      </c>
      <c r="C393" s="60" t="s">
        <v>22</v>
      </c>
      <c r="D393" s="60">
        <v>2982062</v>
      </c>
      <c r="E393" s="61">
        <v>3.4</v>
      </c>
      <c r="F393" s="30">
        <v>950574</v>
      </c>
      <c r="G393" s="61">
        <v>77.2</v>
      </c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</row>
    <row r="394" spans="1:19" s="55" customFormat="1" ht="39.75" customHeight="1" x14ac:dyDescent="0.2">
      <c r="A394" s="17"/>
      <c r="B394" s="17" t="s">
        <v>37</v>
      </c>
      <c r="C394" s="22"/>
      <c r="D394" s="21"/>
      <c r="E394" s="21"/>
      <c r="F394" s="28">
        <f>F395</f>
        <v>10959816.449999999</v>
      </c>
      <c r="G394" s="53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</row>
    <row r="395" spans="1:19" s="55" customFormat="1" ht="55.5" customHeight="1" x14ac:dyDescent="0.2">
      <c r="A395" s="36"/>
      <c r="B395" s="19" t="s">
        <v>48</v>
      </c>
      <c r="C395" s="22" t="s">
        <v>14</v>
      </c>
      <c r="D395" s="21"/>
      <c r="E395" s="53"/>
      <c r="F395" s="22">
        <f>SUM(F396:F397)</f>
        <v>10959816.449999999</v>
      </c>
      <c r="G395" s="53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</row>
    <row r="396" spans="1:19" s="59" customFormat="1" ht="63.75" customHeight="1" x14ac:dyDescent="0.2">
      <c r="A396" s="67"/>
      <c r="B396" s="66" t="s">
        <v>12</v>
      </c>
      <c r="C396" s="21" t="s">
        <v>14</v>
      </c>
      <c r="D396" s="60">
        <v>43788746</v>
      </c>
      <c r="E396" s="61">
        <v>28.7</v>
      </c>
      <c r="F396" s="30">
        <v>471613</v>
      </c>
      <c r="G396" s="61">
        <v>30.8</v>
      </c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</row>
    <row r="397" spans="1:19" s="59" customFormat="1" ht="64.5" customHeight="1" x14ac:dyDescent="0.2">
      <c r="A397" s="67"/>
      <c r="B397" s="66" t="s">
        <v>231</v>
      </c>
      <c r="C397" s="21" t="s">
        <v>14</v>
      </c>
      <c r="D397" s="60">
        <v>40001774</v>
      </c>
      <c r="E397" s="61">
        <v>39.200000000000003</v>
      </c>
      <c r="F397" s="30">
        <v>10488203.449999999</v>
      </c>
      <c r="G397" s="61">
        <v>65.400000000000006</v>
      </c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</row>
    <row r="398" spans="1:19" s="52" customFormat="1" ht="68.25" customHeight="1" x14ac:dyDescent="0.2">
      <c r="A398" s="68" t="s">
        <v>136</v>
      </c>
      <c r="B398" s="67" t="s">
        <v>105</v>
      </c>
      <c r="C398" s="83"/>
      <c r="D398" s="82"/>
      <c r="E398" s="82"/>
      <c r="F398" s="83">
        <v>86000</v>
      </c>
      <c r="G398" s="90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</row>
    <row r="399" spans="1:19" s="48" customFormat="1" ht="62.25" customHeight="1" x14ac:dyDescent="0.2">
      <c r="A399" s="37" t="s">
        <v>31</v>
      </c>
      <c r="B399" s="11"/>
      <c r="C399" s="69"/>
      <c r="D399" s="69"/>
      <c r="E399" s="69"/>
      <c r="F399" s="13">
        <f>SUM(F400:F401)</f>
        <v>65000</v>
      </c>
      <c r="G399" s="92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</row>
    <row r="400" spans="1:19" s="55" customFormat="1" ht="59.25" customHeight="1" x14ac:dyDescent="0.2">
      <c r="A400" s="35" t="s">
        <v>32</v>
      </c>
      <c r="B400" s="67" t="s">
        <v>36</v>
      </c>
      <c r="C400" s="21"/>
      <c r="D400" s="21"/>
      <c r="E400" s="21"/>
      <c r="F400" s="83">
        <v>20000</v>
      </c>
      <c r="G400" s="53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</row>
    <row r="401" spans="1:19" s="55" customFormat="1" ht="75.75" customHeight="1" x14ac:dyDescent="0.2">
      <c r="A401" s="35" t="s">
        <v>33</v>
      </c>
      <c r="B401" s="67" t="s">
        <v>36</v>
      </c>
      <c r="C401" s="21"/>
      <c r="D401" s="21"/>
      <c r="E401" s="21"/>
      <c r="F401" s="83">
        <v>45000</v>
      </c>
      <c r="G401" s="53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</row>
    <row r="402" spans="1:19" s="73" customFormat="1" ht="39" customHeight="1" x14ac:dyDescent="0.35">
      <c r="A402" s="25" t="s">
        <v>45</v>
      </c>
      <c r="B402" s="70"/>
      <c r="C402" s="71"/>
      <c r="D402" s="71"/>
      <c r="E402" s="71"/>
      <c r="F402" s="13">
        <f>F16+F34+F200+F221+F235+F245+F331+F399+F233</f>
        <v>666405411.44000006</v>
      </c>
      <c r="G402" s="71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</row>
    <row r="403" spans="1:19" s="73" customFormat="1" ht="36" customHeight="1" x14ac:dyDescent="0.35">
      <c r="A403" s="74" t="s">
        <v>146</v>
      </c>
      <c r="B403" s="70"/>
      <c r="C403" s="71"/>
      <c r="D403" s="71"/>
      <c r="E403" s="71"/>
      <c r="F403" s="27">
        <f>F37+F38+F202+F247+F40</f>
        <v>27045923.18</v>
      </c>
      <c r="G403" s="71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</row>
    <row r="404" spans="1:19" s="73" customFormat="1" ht="36" customHeight="1" x14ac:dyDescent="0.35">
      <c r="A404" s="74" t="s">
        <v>196</v>
      </c>
      <c r="B404" s="70"/>
      <c r="C404" s="71"/>
      <c r="D404" s="71"/>
      <c r="E404" s="71"/>
      <c r="F404" s="27">
        <f>F35+F36+F39+F222+F223+F41+F206+F248</f>
        <v>10974978.050000001</v>
      </c>
      <c r="G404" s="71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</row>
    <row r="405" spans="1:19" s="72" customFormat="1" ht="36" customHeight="1" x14ac:dyDescent="0.35">
      <c r="A405" s="74" t="s">
        <v>44</v>
      </c>
      <c r="B405" s="70"/>
      <c r="C405" s="71"/>
      <c r="D405" s="71"/>
      <c r="E405" s="71"/>
      <c r="F405" s="27">
        <f>F201+F246+F332</f>
        <v>127771665.12</v>
      </c>
      <c r="G405" s="71"/>
    </row>
    <row r="406" spans="1:19" s="76" customFormat="1" ht="19.5" x14ac:dyDescent="0.3">
      <c r="A406" s="75"/>
      <c r="F406" s="77"/>
    </row>
    <row r="407" spans="1:19" s="76" customFormat="1" ht="21" customHeight="1" x14ac:dyDescent="0.3">
      <c r="A407" s="75"/>
      <c r="F407" s="77"/>
    </row>
    <row r="408" spans="1:19" s="78" customFormat="1" ht="35.25" customHeight="1" x14ac:dyDescent="0.5">
      <c r="A408" s="79"/>
      <c r="F408" s="80"/>
    </row>
    <row r="409" spans="1:19" s="93" customFormat="1" ht="48" customHeight="1" x14ac:dyDescent="0.55000000000000004">
      <c r="A409" s="103" t="s">
        <v>336</v>
      </c>
      <c r="B409" s="103"/>
      <c r="F409" s="106" t="s">
        <v>343</v>
      </c>
      <c r="G409" s="106"/>
    </row>
    <row r="410" spans="1:19" s="76" customFormat="1" ht="21" customHeight="1" x14ac:dyDescent="0.3">
      <c r="A410" s="81"/>
      <c r="F410" s="77"/>
    </row>
    <row r="411" spans="1:19" ht="27.75" x14ac:dyDescent="0.4">
      <c r="A411" s="94" t="s">
        <v>335</v>
      </c>
    </row>
    <row r="412" spans="1:19" ht="44.25" customHeight="1" x14ac:dyDescent="0.2">
      <c r="A412" s="1" t="s">
        <v>271</v>
      </c>
    </row>
  </sheetData>
  <mergeCells count="18">
    <mergeCell ref="A409:B409"/>
    <mergeCell ref="A11:G11"/>
    <mergeCell ref="G13:G14"/>
    <mergeCell ref="F409:G409"/>
    <mergeCell ref="C13:C14"/>
    <mergeCell ref="D13:D14"/>
    <mergeCell ref="E13:E14"/>
    <mergeCell ref="F13:F14"/>
    <mergeCell ref="A13:A14"/>
    <mergeCell ref="B13:B14"/>
    <mergeCell ref="D8:G8"/>
    <mergeCell ref="C1:G1"/>
    <mergeCell ref="C2:G2"/>
    <mergeCell ref="C3:G3"/>
    <mergeCell ref="C6:G6"/>
    <mergeCell ref="C7:G7"/>
    <mergeCell ref="C4:G4"/>
    <mergeCell ref="C5:G5"/>
  </mergeCells>
  <printOptions horizontalCentered="1"/>
  <pageMargins left="0.23622047244094491" right="0.23622047244094491" top="1.1811023622047245" bottom="0.51181102362204722" header="0.31496062992125984" footer="0.31496062992125984"/>
  <pageSetup paperSize="9" scale="45" firstPageNumber="3" fitToHeight="58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dodatok</vt:lpstr>
      <vt:lpstr>dodatok!Заголовки_для_печати</vt:lpstr>
      <vt:lpstr>dodatok!Область_печати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Войтенко Cвітлана Олексіївна</cp:lastModifiedBy>
  <cp:lastPrinted>2021-07-28T07:49:49Z</cp:lastPrinted>
  <dcterms:created xsi:type="dcterms:W3CDTF">2018-10-18T06:20:50Z</dcterms:created>
  <dcterms:modified xsi:type="dcterms:W3CDTF">2021-10-01T07:01:11Z</dcterms:modified>
</cp:coreProperties>
</file>