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серпень-верес МВК-31.08, СМР-15.09\чергова СМР\Доопрацьовано\СМР\"/>
    </mc:Choice>
  </mc:AlternateContent>
  <bookViews>
    <workbookView xWindow="0" yWindow="0" windowWidth="28800" windowHeight="11835" tabRatio="495" activeTab="1"/>
  </bookViews>
  <sheets>
    <sheet name="дод 3" sheetId="1" r:id="rId1"/>
    <sheet name="дод 8" sheetId="3" r:id="rId2"/>
  </sheets>
  <definedNames>
    <definedName name="_xlnm.Print_Titles" localSheetId="0">'дод 3'!$14:$16</definedName>
    <definedName name="_xlnm.Print_Titles" localSheetId="1">'дод 8'!$14:$16</definedName>
    <definedName name="_xlnm.Print_Area" localSheetId="0">'дод 3'!$A$1:$P$329</definedName>
    <definedName name="_xlnm.Print_Area" localSheetId="1">'дод 8'!$A$1:$O$267</definedName>
  </definedNames>
  <calcPr calcId="162913"/>
</workbook>
</file>

<file path=xl/calcChain.xml><?xml version="1.0" encoding="utf-8"?>
<calcChain xmlns="http://schemas.openxmlformats.org/spreadsheetml/2006/main">
  <c r="O256" i="3" l="1"/>
  <c r="N256" i="3"/>
  <c r="M256" i="3"/>
  <c r="L256" i="3"/>
  <c r="K256" i="3"/>
  <c r="J256" i="3"/>
  <c r="I256" i="3"/>
  <c r="H256" i="3"/>
  <c r="G256" i="3"/>
  <c r="F256" i="3"/>
  <c r="E256" i="3"/>
  <c r="D256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P317" i="1"/>
  <c r="O317" i="1"/>
  <c r="N317" i="1"/>
  <c r="M317" i="1"/>
  <c r="L317" i="1"/>
  <c r="K317" i="1"/>
  <c r="J317" i="1"/>
  <c r="I317" i="1"/>
  <c r="H317" i="1"/>
  <c r="G317" i="1"/>
  <c r="F317" i="1"/>
  <c r="E317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J182" i="3" l="1"/>
  <c r="J176" i="3" l="1"/>
  <c r="O174" i="3"/>
  <c r="N174" i="3"/>
  <c r="M174" i="3"/>
  <c r="L174" i="3"/>
  <c r="K174" i="3"/>
  <c r="J174" i="3"/>
  <c r="I174" i="3"/>
  <c r="H174" i="3"/>
  <c r="G174" i="3"/>
  <c r="F174" i="3"/>
  <c r="E174" i="3"/>
  <c r="D17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P323" i="1"/>
  <c r="O323" i="1"/>
  <c r="N323" i="1"/>
  <c r="M323" i="1"/>
  <c r="L323" i="1"/>
  <c r="K323" i="1"/>
  <c r="J323" i="1"/>
  <c r="I323" i="1"/>
  <c r="H323" i="1"/>
  <c r="G323" i="1"/>
  <c r="F323" i="1"/>
  <c r="P322" i="1"/>
  <c r="O322" i="1"/>
  <c r="N322" i="1"/>
  <c r="M322" i="1"/>
  <c r="L322" i="1"/>
  <c r="K322" i="1"/>
  <c r="J322" i="1"/>
  <c r="I322" i="1"/>
  <c r="H322" i="1"/>
  <c r="G322" i="1"/>
  <c r="F322" i="1"/>
  <c r="E324" i="1"/>
  <c r="E323" i="1"/>
  <c r="E322" i="1"/>
  <c r="E167" i="3"/>
  <c r="O244" i="1" l="1"/>
  <c r="O243" i="1"/>
  <c r="K244" i="1"/>
  <c r="K243" i="1"/>
  <c r="O239" i="1" l="1"/>
  <c r="K239" i="1"/>
  <c r="O236" i="1"/>
  <c r="K236" i="1"/>
  <c r="F236" i="1"/>
  <c r="O231" i="1"/>
  <c r="K231" i="1"/>
  <c r="F216" i="1"/>
  <c r="F197" i="1"/>
  <c r="F237" i="1" l="1"/>
  <c r="L259" i="1"/>
  <c r="F174" i="1"/>
  <c r="F171" i="1"/>
  <c r="O269" i="1"/>
  <c r="K269" i="1"/>
  <c r="E314" i="1"/>
  <c r="I235" i="1"/>
  <c r="O238" i="1"/>
  <c r="K238" i="1"/>
  <c r="O276" i="1" l="1"/>
  <c r="K276" i="1"/>
  <c r="O233" i="1"/>
  <c r="K233" i="1"/>
  <c r="F233" i="1"/>
  <c r="F213" i="1"/>
  <c r="F179" i="1"/>
  <c r="F287" i="1"/>
  <c r="O278" i="1"/>
  <c r="K278" i="1"/>
  <c r="O272" i="1"/>
  <c r="K272" i="1"/>
  <c r="G264" i="1"/>
  <c r="F264" i="1"/>
  <c r="I299" i="1"/>
  <c r="G228" i="1"/>
  <c r="F228" i="1"/>
  <c r="F280" i="1"/>
  <c r="F232" i="1"/>
  <c r="O235" i="1"/>
  <c r="K235" i="1"/>
  <c r="O197" i="1"/>
  <c r="K197" i="1"/>
  <c r="O167" i="1"/>
  <c r="K167" i="1"/>
  <c r="F167" i="1"/>
  <c r="N54" i="3" l="1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O64" i="1"/>
  <c r="N64" i="1"/>
  <c r="M64" i="1"/>
  <c r="L64" i="1"/>
  <c r="K64" i="1"/>
  <c r="I64" i="1"/>
  <c r="H64" i="1"/>
  <c r="G64" i="1"/>
  <c r="F64" i="1"/>
  <c r="O63" i="1"/>
  <c r="N63" i="1"/>
  <c r="M63" i="1"/>
  <c r="L63" i="1"/>
  <c r="K63" i="1"/>
  <c r="I63" i="1"/>
  <c r="H63" i="1"/>
  <c r="G63" i="1"/>
  <c r="F63" i="1"/>
  <c r="J87" i="1"/>
  <c r="I54" i="3" s="1"/>
  <c r="J86" i="1"/>
  <c r="I53" i="3" s="1"/>
  <c r="E87" i="1"/>
  <c r="P87" i="1" s="1"/>
  <c r="O54" i="3" s="1"/>
  <c r="E86" i="1"/>
  <c r="P86" i="1" s="1"/>
  <c r="O53" i="3" s="1"/>
  <c r="J80" i="1"/>
  <c r="I47" i="3" s="1"/>
  <c r="E80" i="1"/>
  <c r="P80" i="1" s="1"/>
  <c r="O47" i="3" s="1"/>
  <c r="D47" i="3" l="1"/>
  <c r="D53" i="3"/>
  <c r="D54" i="3"/>
  <c r="O209" i="3"/>
  <c r="O197" i="3" s="1"/>
  <c r="N209" i="3"/>
  <c r="N197" i="3" s="1"/>
  <c r="M209" i="3"/>
  <c r="M197" i="3" s="1"/>
  <c r="L209" i="3"/>
  <c r="L197" i="3" s="1"/>
  <c r="K209" i="3"/>
  <c r="K197" i="3" s="1"/>
  <c r="J209" i="3"/>
  <c r="J197" i="3" s="1"/>
  <c r="I209" i="3"/>
  <c r="I197" i="3" s="1"/>
  <c r="H209" i="3"/>
  <c r="H197" i="3" s="1"/>
  <c r="G209" i="3"/>
  <c r="G197" i="3" s="1"/>
  <c r="F209" i="3"/>
  <c r="F197" i="3" s="1"/>
  <c r="E209" i="3"/>
  <c r="E197" i="3" s="1"/>
  <c r="D209" i="3"/>
  <c r="D197" i="3" s="1"/>
  <c r="O208" i="3"/>
  <c r="N208" i="3"/>
  <c r="M208" i="3"/>
  <c r="L208" i="3"/>
  <c r="K208" i="3"/>
  <c r="J208" i="3"/>
  <c r="I208" i="3"/>
  <c r="H208" i="3"/>
  <c r="G208" i="3"/>
  <c r="F208" i="3"/>
  <c r="E208" i="3"/>
  <c r="D208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O133" i="1" l="1"/>
  <c r="N133" i="1"/>
  <c r="M133" i="1"/>
  <c r="L133" i="1"/>
  <c r="K133" i="1"/>
  <c r="I133" i="1"/>
  <c r="H133" i="1"/>
  <c r="G133" i="1"/>
  <c r="F133" i="1"/>
  <c r="N87" i="3"/>
  <c r="M87" i="3"/>
  <c r="L87" i="3"/>
  <c r="K87" i="3"/>
  <c r="J87" i="3"/>
  <c r="H87" i="3"/>
  <c r="G87" i="3"/>
  <c r="F87" i="3"/>
  <c r="E87" i="3"/>
  <c r="N179" i="3"/>
  <c r="M179" i="3"/>
  <c r="L179" i="3"/>
  <c r="K179" i="3"/>
  <c r="J179" i="3"/>
  <c r="H179" i="3"/>
  <c r="G179" i="3"/>
  <c r="F179" i="3"/>
  <c r="E179" i="3"/>
  <c r="N72" i="3"/>
  <c r="N35" i="3" s="1"/>
  <c r="M72" i="3"/>
  <c r="M35" i="3" s="1"/>
  <c r="L72" i="3"/>
  <c r="L35" i="3" s="1"/>
  <c r="K72" i="3"/>
  <c r="K35" i="3" s="1"/>
  <c r="J72" i="3"/>
  <c r="J35" i="3" s="1"/>
  <c r="H72" i="3"/>
  <c r="H35" i="3" s="1"/>
  <c r="G72" i="3"/>
  <c r="G35" i="3" s="1"/>
  <c r="F72" i="3"/>
  <c r="F35" i="3" s="1"/>
  <c r="E72" i="3"/>
  <c r="E35" i="3" s="1"/>
  <c r="N221" i="1"/>
  <c r="M221" i="1"/>
  <c r="G221" i="1"/>
  <c r="O226" i="1"/>
  <c r="N226" i="1"/>
  <c r="M226" i="1"/>
  <c r="L226" i="1"/>
  <c r="K226" i="1"/>
  <c r="I226" i="1"/>
  <c r="H226" i="1"/>
  <c r="G226" i="1"/>
  <c r="F226" i="1"/>
  <c r="J246" i="1"/>
  <c r="J245" i="1"/>
  <c r="E246" i="1"/>
  <c r="E226" i="1" s="1"/>
  <c r="E245" i="1"/>
  <c r="J251" i="1"/>
  <c r="E251" i="1"/>
  <c r="J250" i="1"/>
  <c r="E250" i="1"/>
  <c r="O75" i="1"/>
  <c r="N75" i="1"/>
  <c r="M75" i="1"/>
  <c r="L75" i="1"/>
  <c r="K75" i="1"/>
  <c r="I75" i="1"/>
  <c r="H75" i="1"/>
  <c r="G75" i="1"/>
  <c r="F75" i="1"/>
  <c r="E116" i="1"/>
  <c r="D179" i="3" s="1"/>
  <c r="J116" i="1"/>
  <c r="I179" i="3" s="1"/>
  <c r="J104" i="1"/>
  <c r="I72" i="3" s="1"/>
  <c r="I35" i="3" s="1"/>
  <c r="E104" i="1"/>
  <c r="D72" i="3" s="1"/>
  <c r="D35" i="3" s="1"/>
  <c r="D176" i="3" l="1"/>
  <c r="D170" i="3" s="1"/>
  <c r="F176" i="3"/>
  <c r="F170" i="3" s="1"/>
  <c r="H176" i="3"/>
  <c r="H170" i="3" s="1"/>
  <c r="K176" i="3"/>
  <c r="K170" i="3" s="1"/>
  <c r="M176" i="3"/>
  <c r="M170" i="3" s="1"/>
  <c r="I176" i="3"/>
  <c r="I170" i="3" s="1"/>
  <c r="E176" i="3"/>
  <c r="E170" i="3" s="1"/>
  <c r="G176" i="3"/>
  <c r="G170" i="3" s="1"/>
  <c r="J170" i="3"/>
  <c r="L176" i="3"/>
  <c r="L170" i="3" s="1"/>
  <c r="N176" i="3"/>
  <c r="N170" i="3" s="1"/>
  <c r="P246" i="1"/>
  <c r="J226" i="1"/>
  <c r="P250" i="1"/>
  <c r="P251" i="1"/>
  <c r="P245" i="1"/>
  <c r="P116" i="1"/>
  <c r="O179" i="3" s="1"/>
  <c r="P104" i="1"/>
  <c r="O72" i="3" s="1"/>
  <c r="O35" i="3" s="1"/>
  <c r="O176" i="3" l="1"/>
  <c r="O170" i="3" s="1"/>
  <c r="P226" i="1"/>
  <c r="F310" i="1"/>
  <c r="F309" i="1"/>
  <c r="O207" i="1"/>
  <c r="K207" i="1"/>
  <c r="F206" i="1"/>
  <c r="O199" i="1" l="1"/>
  <c r="K199" i="1"/>
  <c r="O166" i="1" l="1"/>
  <c r="N166" i="1"/>
  <c r="M166" i="1"/>
  <c r="L166" i="1"/>
  <c r="K166" i="1"/>
  <c r="I166" i="1"/>
  <c r="H166" i="1"/>
  <c r="G166" i="1"/>
  <c r="F166" i="1"/>
  <c r="O165" i="1"/>
  <c r="N165" i="1"/>
  <c r="M165" i="1"/>
  <c r="L165" i="1"/>
  <c r="K165" i="1"/>
  <c r="I165" i="1"/>
  <c r="H165" i="1"/>
  <c r="G165" i="1"/>
  <c r="F165" i="1"/>
  <c r="O164" i="1"/>
  <c r="N164" i="1"/>
  <c r="M164" i="1"/>
  <c r="L164" i="1"/>
  <c r="K164" i="1"/>
  <c r="I164" i="1"/>
  <c r="H164" i="1"/>
  <c r="G164" i="1"/>
  <c r="M253" i="3" l="1"/>
  <c r="L253" i="3"/>
  <c r="K253" i="3"/>
  <c r="H253" i="3"/>
  <c r="G253" i="3"/>
  <c r="F253" i="3"/>
  <c r="J124" i="1"/>
  <c r="E124" i="1"/>
  <c r="H237" i="1"/>
  <c r="H236" i="1"/>
  <c r="H196" i="1"/>
  <c r="H179" i="1"/>
  <c r="P124" i="1" l="1"/>
  <c r="O254" i="1"/>
  <c r="K254" i="1"/>
  <c r="G268" i="1"/>
  <c r="F268" i="1"/>
  <c r="N200" i="3" l="1"/>
  <c r="M200" i="3"/>
  <c r="L200" i="3"/>
  <c r="K200" i="3"/>
  <c r="J200" i="3"/>
  <c r="H200" i="3"/>
  <c r="G200" i="3"/>
  <c r="F200" i="3"/>
  <c r="E200" i="3"/>
  <c r="N251" i="3"/>
  <c r="M251" i="3"/>
  <c r="L251" i="3"/>
  <c r="K251" i="3"/>
  <c r="J251" i="3"/>
  <c r="H251" i="3"/>
  <c r="G251" i="3"/>
  <c r="F251" i="3"/>
  <c r="E251" i="3"/>
  <c r="M182" i="3"/>
  <c r="L182" i="3"/>
  <c r="K182" i="3"/>
  <c r="H182" i="3"/>
  <c r="G182" i="3"/>
  <c r="F182" i="3"/>
  <c r="E182" i="3"/>
  <c r="N161" i="1"/>
  <c r="M161" i="1"/>
  <c r="L161" i="1"/>
  <c r="I161" i="1"/>
  <c r="G161" i="1"/>
  <c r="H308" i="1" l="1"/>
  <c r="F308" i="1"/>
  <c r="H297" i="1"/>
  <c r="F297" i="1"/>
  <c r="H294" i="1"/>
  <c r="F294" i="1"/>
  <c r="H287" i="1"/>
  <c r="H264" i="1"/>
  <c r="H228" i="1"/>
  <c r="H221" i="1" s="1"/>
  <c r="H214" i="1"/>
  <c r="H215" i="1"/>
  <c r="F215" i="1"/>
  <c r="F214" i="1"/>
  <c r="H213" i="1"/>
  <c r="H212" i="1"/>
  <c r="F212" i="1"/>
  <c r="H211" i="1"/>
  <c r="H204" i="1"/>
  <c r="F211" i="1"/>
  <c r="F204" i="1"/>
  <c r="F196" i="1"/>
  <c r="H167" i="1"/>
  <c r="H161" i="1" s="1"/>
  <c r="O281" i="1"/>
  <c r="K281" i="1"/>
  <c r="F281" i="1"/>
  <c r="O261" i="1"/>
  <c r="K261" i="1"/>
  <c r="F261" i="1"/>
  <c r="J260" i="1"/>
  <c r="I251" i="3" s="1"/>
  <c r="E260" i="1"/>
  <c r="D251" i="3" s="1"/>
  <c r="F200" i="1"/>
  <c r="F180" i="1"/>
  <c r="J253" i="3"/>
  <c r="N71" i="3"/>
  <c r="M71" i="3"/>
  <c r="L71" i="3"/>
  <c r="K71" i="3"/>
  <c r="J71" i="3"/>
  <c r="H71" i="3"/>
  <c r="G71" i="3"/>
  <c r="F71" i="3"/>
  <c r="E71" i="3"/>
  <c r="N68" i="3"/>
  <c r="M68" i="3"/>
  <c r="L68" i="3"/>
  <c r="K68" i="3"/>
  <c r="J68" i="3"/>
  <c r="H68" i="3"/>
  <c r="G68" i="3"/>
  <c r="F68" i="3"/>
  <c r="E68" i="3"/>
  <c r="J103" i="1"/>
  <c r="E103" i="1"/>
  <c r="D71" i="3" s="1"/>
  <c r="J100" i="1"/>
  <c r="I68" i="3" s="1"/>
  <c r="E100" i="1"/>
  <c r="D68" i="3" s="1"/>
  <c r="N18" i="1"/>
  <c r="M18" i="1"/>
  <c r="L18" i="1"/>
  <c r="I18" i="1"/>
  <c r="J46" i="1"/>
  <c r="I200" i="3" s="1"/>
  <c r="E46" i="1"/>
  <c r="D200" i="3" s="1"/>
  <c r="O73" i="1"/>
  <c r="N73" i="1"/>
  <c r="M73" i="1"/>
  <c r="L73" i="1"/>
  <c r="K73" i="1"/>
  <c r="I73" i="1"/>
  <c r="H73" i="1"/>
  <c r="G73" i="1"/>
  <c r="F73" i="1"/>
  <c r="O72" i="1"/>
  <c r="N72" i="1"/>
  <c r="M72" i="1"/>
  <c r="L72" i="1"/>
  <c r="K72" i="1"/>
  <c r="I72" i="1"/>
  <c r="H72" i="1"/>
  <c r="G72" i="1"/>
  <c r="F72" i="1"/>
  <c r="N151" i="3"/>
  <c r="N147" i="3" s="1"/>
  <c r="M151" i="3"/>
  <c r="M147" i="3" s="1"/>
  <c r="L151" i="3"/>
  <c r="L147" i="3" s="1"/>
  <c r="K151" i="3"/>
  <c r="K147" i="3" s="1"/>
  <c r="J151" i="3"/>
  <c r="J147" i="3" s="1"/>
  <c r="H151" i="3"/>
  <c r="H147" i="3" s="1"/>
  <c r="G151" i="3"/>
  <c r="G147" i="3" s="1"/>
  <c r="F151" i="3"/>
  <c r="F147" i="3" s="1"/>
  <c r="E151" i="3"/>
  <c r="E147" i="3" s="1"/>
  <c r="N135" i="3"/>
  <c r="N105" i="3" s="1"/>
  <c r="M135" i="3"/>
  <c r="M105" i="3" s="1"/>
  <c r="L135" i="3"/>
  <c r="L105" i="3" s="1"/>
  <c r="K135" i="3"/>
  <c r="K105" i="3" s="1"/>
  <c r="J135" i="3"/>
  <c r="J105" i="3" s="1"/>
  <c r="H135" i="3"/>
  <c r="H105" i="3" s="1"/>
  <c r="G135" i="3"/>
  <c r="G105" i="3" s="1"/>
  <c r="F135" i="3"/>
  <c r="F105" i="3" s="1"/>
  <c r="E135" i="3"/>
  <c r="E105" i="3" s="1"/>
  <c r="N134" i="3"/>
  <c r="M134" i="3"/>
  <c r="L134" i="3"/>
  <c r="K134" i="3"/>
  <c r="J134" i="3"/>
  <c r="H134" i="3"/>
  <c r="G134" i="3"/>
  <c r="F134" i="3"/>
  <c r="E134" i="3"/>
  <c r="N266" i="1"/>
  <c r="M266" i="1"/>
  <c r="L266" i="1"/>
  <c r="I266" i="1"/>
  <c r="H266" i="1"/>
  <c r="G266" i="1"/>
  <c r="J274" i="1"/>
  <c r="E274" i="1"/>
  <c r="O217" i="1"/>
  <c r="N182" i="3" s="1"/>
  <c r="K217" i="1"/>
  <c r="H18" i="1" l="1"/>
  <c r="N253" i="3"/>
  <c r="E253" i="3"/>
  <c r="P103" i="1"/>
  <c r="O71" i="3" s="1"/>
  <c r="P260" i="1"/>
  <c r="O251" i="3" s="1"/>
  <c r="P274" i="1"/>
  <c r="P46" i="1"/>
  <c r="O200" i="3" s="1"/>
  <c r="I71" i="3"/>
  <c r="P100" i="1"/>
  <c r="O68" i="3" s="1"/>
  <c r="F266" i="1"/>
  <c r="J193" i="1"/>
  <c r="E193" i="1"/>
  <c r="J192" i="1"/>
  <c r="I134" i="3" s="1"/>
  <c r="E192" i="1"/>
  <c r="J114" i="1"/>
  <c r="J75" i="1" s="1"/>
  <c r="E114" i="1"/>
  <c r="E75" i="1" s="1"/>
  <c r="N74" i="3"/>
  <c r="N34" i="3" s="1"/>
  <c r="M74" i="3"/>
  <c r="M34" i="3" s="1"/>
  <c r="L74" i="3"/>
  <c r="L34" i="3" s="1"/>
  <c r="K74" i="3"/>
  <c r="K34" i="3" s="1"/>
  <c r="J74" i="3"/>
  <c r="J34" i="3" s="1"/>
  <c r="H74" i="3"/>
  <c r="H34" i="3" s="1"/>
  <c r="G74" i="3"/>
  <c r="G34" i="3" s="1"/>
  <c r="F74" i="3"/>
  <c r="F34" i="3" s="1"/>
  <c r="E74" i="3"/>
  <c r="E34" i="3" s="1"/>
  <c r="N73" i="3"/>
  <c r="M73" i="3"/>
  <c r="L73" i="3"/>
  <c r="K73" i="3"/>
  <c r="J73" i="3"/>
  <c r="H73" i="3"/>
  <c r="G73" i="3"/>
  <c r="F73" i="3"/>
  <c r="E73" i="3"/>
  <c r="N70" i="3"/>
  <c r="N33" i="3" s="1"/>
  <c r="M70" i="3"/>
  <c r="M33" i="3" s="1"/>
  <c r="L70" i="3"/>
  <c r="L33" i="3" s="1"/>
  <c r="K70" i="3"/>
  <c r="K33" i="3" s="1"/>
  <c r="J70" i="3"/>
  <c r="J33" i="3" s="1"/>
  <c r="H70" i="3"/>
  <c r="H33" i="3" s="1"/>
  <c r="G70" i="3"/>
  <c r="G33" i="3" s="1"/>
  <c r="F70" i="3"/>
  <c r="F33" i="3" s="1"/>
  <c r="E70" i="3"/>
  <c r="E33" i="3" s="1"/>
  <c r="N69" i="3"/>
  <c r="M69" i="3"/>
  <c r="L69" i="3"/>
  <c r="K69" i="3"/>
  <c r="J69" i="3"/>
  <c r="H69" i="3"/>
  <c r="G69" i="3"/>
  <c r="F69" i="3"/>
  <c r="E69" i="3"/>
  <c r="E106" i="1"/>
  <c r="E105" i="1"/>
  <c r="D73" i="3" s="1"/>
  <c r="E102" i="1"/>
  <c r="E101" i="1"/>
  <c r="D69" i="3" s="1"/>
  <c r="J106" i="1"/>
  <c r="J105" i="1"/>
  <c r="P105" i="1" s="1"/>
  <c r="O73" i="3" s="1"/>
  <c r="J102" i="1"/>
  <c r="J101" i="1"/>
  <c r="P101" i="1" s="1"/>
  <c r="O69" i="3" s="1"/>
  <c r="D135" i="3" l="1"/>
  <c r="D105" i="3" s="1"/>
  <c r="E166" i="1"/>
  <c r="I135" i="3"/>
  <c r="I105" i="3" s="1"/>
  <c r="J166" i="1"/>
  <c r="I151" i="3"/>
  <c r="I147" i="3" s="1"/>
  <c r="P102" i="1"/>
  <c r="J73" i="1"/>
  <c r="P106" i="1"/>
  <c r="J72" i="1"/>
  <c r="D70" i="3"/>
  <c r="D33" i="3" s="1"/>
  <c r="E73" i="1"/>
  <c r="D74" i="3"/>
  <c r="D34" i="3" s="1"/>
  <c r="E72" i="1"/>
  <c r="P114" i="1"/>
  <c r="P75" i="1" s="1"/>
  <c r="D151" i="3"/>
  <c r="D147" i="3" s="1"/>
  <c r="P192" i="1"/>
  <c r="O134" i="3" s="1"/>
  <c r="D134" i="3"/>
  <c r="P193" i="1"/>
  <c r="I69" i="3"/>
  <c r="I73" i="3"/>
  <c r="I70" i="3"/>
  <c r="I33" i="3" s="1"/>
  <c r="I74" i="3"/>
  <c r="I34" i="3" s="1"/>
  <c r="O135" i="3" l="1"/>
  <c r="O105" i="3" s="1"/>
  <c r="P166" i="1"/>
  <c r="O151" i="3"/>
  <c r="O147" i="3" s="1"/>
  <c r="O74" i="3"/>
  <c r="O34" i="3" s="1"/>
  <c r="P72" i="1"/>
  <c r="O70" i="3"/>
  <c r="O33" i="3" s="1"/>
  <c r="P73" i="1"/>
  <c r="E245" i="3"/>
  <c r="E244" i="3" s="1"/>
  <c r="F245" i="3"/>
  <c r="F244" i="3" s="1"/>
  <c r="G245" i="3"/>
  <c r="G244" i="3" s="1"/>
  <c r="H245" i="3"/>
  <c r="H244" i="3" s="1"/>
  <c r="J245" i="3"/>
  <c r="J244" i="3" s="1"/>
  <c r="K245" i="3"/>
  <c r="K244" i="3" s="1"/>
  <c r="L245" i="3"/>
  <c r="L244" i="3" s="1"/>
  <c r="M245" i="3"/>
  <c r="M244" i="3" s="1"/>
  <c r="N245" i="3"/>
  <c r="N244" i="3" s="1"/>
  <c r="E248" i="3"/>
  <c r="E246" i="3" s="1"/>
  <c r="F248" i="3"/>
  <c r="F246" i="3" s="1"/>
  <c r="G248" i="3"/>
  <c r="G246" i="3" s="1"/>
  <c r="H248" i="3"/>
  <c r="H246" i="3" s="1"/>
  <c r="J248" i="3"/>
  <c r="J246" i="3" s="1"/>
  <c r="K248" i="3"/>
  <c r="K246" i="3" s="1"/>
  <c r="L248" i="3"/>
  <c r="L246" i="3" s="1"/>
  <c r="M248" i="3"/>
  <c r="M246" i="3" s="1"/>
  <c r="N248" i="3"/>
  <c r="N246" i="3" s="1"/>
  <c r="E249" i="3"/>
  <c r="E247" i="3" s="1"/>
  <c r="E243" i="3" s="1"/>
  <c r="F249" i="3"/>
  <c r="F247" i="3" s="1"/>
  <c r="F243" i="3" s="1"/>
  <c r="G249" i="3"/>
  <c r="G247" i="3" s="1"/>
  <c r="G243" i="3" s="1"/>
  <c r="H249" i="3"/>
  <c r="H247" i="3" s="1"/>
  <c r="H243" i="3" s="1"/>
  <c r="J249" i="3"/>
  <c r="J247" i="3" s="1"/>
  <c r="J243" i="3" s="1"/>
  <c r="K249" i="3"/>
  <c r="K247" i="3" s="1"/>
  <c r="K243" i="3" s="1"/>
  <c r="L249" i="3"/>
  <c r="L247" i="3" s="1"/>
  <c r="L243" i="3" s="1"/>
  <c r="M249" i="3"/>
  <c r="M247" i="3" s="1"/>
  <c r="M243" i="3" s="1"/>
  <c r="N249" i="3"/>
  <c r="N247" i="3" s="1"/>
  <c r="N243" i="3" s="1"/>
  <c r="E252" i="3"/>
  <c r="F252" i="3"/>
  <c r="G252" i="3"/>
  <c r="H252" i="3"/>
  <c r="J252" i="3"/>
  <c r="K252" i="3"/>
  <c r="L252" i="3"/>
  <c r="M252" i="3"/>
  <c r="N252" i="3"/>
  <c r="F254" i="3"/>
  <c r="G254" i="3"/>
  <c r="H254" i="3"/>
  <c r="J254" i="3"/>
  <c r="K254" i="3"/>
  <c r="L254" i="3"/>
  <c r="M254" i="3"/>
  <c r="N254" i="3"/>
  <c r="L250" i="3" l="1"/>
  <c r="G250" i="3"/>
  <c r="G242" i="3" s="1"/>
  <c r="M250" i="3"/>
  <c r="K250" i="3"/>
  <c r="H250" i="3"/>
  <c r="F250" i="3"/>
  <c r="F242" i="3" s="1"/>
  <c r="L242" i="3"/>
  <c r="H242" i="3"/>
  <c r="M242" i="3"/>
  <c r="K242" i="3"/>
  <c r="F235" i="1"/>
  <c r="F230" i="1" l="1"/>
  <c r="F221" i="1" l="1"/>
  <c r="L312" i="1" l="1"/>
  <c r="E254" i="3"/>
  <c r="F205" i="1"/>
  <c r="F172" i="1"/>
  <c r="F186" i="1"/>
  <c r="N193" i="3" l="1"/>
  <c r="M193" i="3"/>
  <c r="L193" i="3"/>
  <c r="K193" i="3"/>
  <c r="J193" i="3"/>
  <c r="H193" i="3"/>
  <c r="G193" i="3"/>
  <c r="F193" i="3"/>
  <c r="J189" i="3"/>
  <c r="O225" i="1"/>
  <c r="N225" i="1"/>
  <c r="M225" i="1"/>
  <c r="L225" i="1"/>
  <c r="K225" i="1"/>
  <c r="I225" i="1"/>
  <c r="H225" i="1"/>
  <c r="G225" i="1"/>
  <c r="F225" i="1"/>
  <c r="M189" i="3"/>
  <c r="L189" i="3"/>
  <c r="K189" i="3"/>
  <c r="H189" i="3"/>
  <c r="G189" i="3"/>
  <c r="F189" i="3"/>
  <c r="E189" i="3"/>
  <c r="N190" i="3"/>
  <c r="M190" i="3"/>
  <c r="L190" i="3"/>
  <c r="K190" i="3"/>
  <c r="J190" i="3"/>
  <c r="H190" i="3"/>
  <c r="G190" i="3"/>
  <c r="F190" i="3"/>
  <c r="E190" i="3"/>
  <c r="F290" i="1"/>
  <c r="E193" i="3" s="1"/>
  <c r="O289" i="1"/>
  <c r="K289" i="1"/>
  <c r="K286" i="1" s="1"/>
  <c r="O286" i="1"/>
  <c r="N286" i="1"/>
  <c r="M286" i="1"/>
  <c r="I286" i="1"/>
  <c r="H286" i="1"/>
  <c r="G286" i="1"/>
  <c r="J290" i="1"/>
  <c r="E290" i="1"/>
  <c r="N189" i="3"/>
  <c r="O132" i="1"/>
  <c r="N132" i="1"/>
  <c r="M132" i="1"/>
  <c r="L132" i="1"/>
  <c r="K132" i="1"/>
  <c r="I132" i="1"/>
  <c r="H132" i="1"/>
  <c r="G132" i="1"/>
  <c r="F132" i="1"/>
  <c r="O74" i="1"/>
  <c r="N74" i="1"/>
  <c r="M74" i="1"/>
  <c r="L74" i="1"/>
  <c r="K74" i="1"/>
  <c r="I74" i="1"/>
  <c r="H74" i="1"/>
  <c r="G74" i="1"/>
  <c r="F74" i="1"/>
  <c r="E118" i="1"/>
  <c r="E74" i="1" s="1"/>
  <c r="E117" i="1"/>
  <c r="J118" i="1"/>
  <c r="P118" i="1" s="1"/>
  <c r="P74" i="1" s="1"/>
  <c r="J117" i="1"/>
  <c r="O213" i="1"/>
  <c r="K213" i="1"/>
  <c r="I253" i="1"/>
  <c r="O232" i="1"/>
  <c r="K232" i="1"/>
  <c r="O196" i="1"/>
  <c r="O161" i="1" s="1"/>
  <c r="K196" i="1"/>
  <c r="K161" i="1" s="1"/>
  <c r="O297" i="1"/>
  <c r="K297" i="1"/>
  <c r="O264" i="1"/>
  <c r="K264" i="1"/>
  <c r="O214" i="1"/>
  <c r="K214" i="1"/>
  <c r="P290" i="1" l="1"/>
  <c r="P117" i="1"/>
  <c r="F286" i="1"/>
  <c r="J74" i="1"/>
  <c r="N250" i="3" l="1"/>
  <c r="N242" i="3" s="1"/>
  <c r="J250" i="3"/>
  <c r="J242" i="3" s="1"/>
  <c r="F71" i="1"/>
  <c r="M19" i="3"/>
  <c r="L19" i="3"/>
  <c r="K19" i="3"/>
  <c r="H19" i="3"/>
  <c r="F19" i="3"/>
  <c r="N56" i="3" l="1"/>
  <c r="N26" i="3" s="1"/>
  <c r="M56" i="3"/>
  <c r="M26" i="3" s="1"/>
  <c r="L56" i="3"/>
  <c r="L26" i="3" s="1"/>
  <c r="K56" i="3"/>
  <c r="K26" i="3" s="1"/>
  <c r="J56" i="3"/>
  <c r="J26" i="3" s="1"/>
  <c r="H56" i="3"/>
  <c r="H26" i="3" s="1"/>
  <c r="G56" i="3"/>
  <c r="G26" i="3" s="1"/>
  <c r="F56" i="3"/>
  <c r="F26" i="3" s="1"/>
  <c r="E56" i="3"/>
  <c r="E26" i="3" s="1"/>
  <c r="O66" i="1"/>
  <c r="N66" i="1"/>
  <c r="M66" i="1"/>
  <c r="L66" i="1"/>
  <c r="K66" i="1"/>
  <c r="I66" i="1"/>
  <c r="H66" i="1"/>
  <c r="G66" i="1"/>
  <c r="F66" i="1"/>
  <c r="J89" i="1"/>
  <c r="I56" i="3" s="1"/>
  <c r="I26" i="3" s="1"/>
  <c r="E89" i="1"/>
  <c r="D56" i="3" s="1"/>
  <c r="D26" i="3" s="1"/>
  <c r="N21" i="3"/>
  <c r="M21" i="3"/>
  <c r="L21" i="3"/>
  <c r="K21" i="3"/>
  <c r="J21" i="3"/>
  <c r="H21" i="3"/>
  <c r="G21" i="3"/>
  <c r="F21" i="3"/>
  <c r="E21" i="3"/>
  <c r="J229" i="1"/>
  <c r="E229" i="1"/>
  <c r="G19" i="3"/>
  <c r="O275" i="1"/>
  <c r="K275" i="1"/>
  <c r="O273" i="1"/>
  <c r="K273" i="1"/>
  <c r="O277" i="1"/>
  <c r="K277" i="1"/>
  <c r="O205" i="1"/>
  <c r="K205" i="1"/>
  <c r="O204" i="1"/>
  <c r="K204" i="1"/>
  <c r="K202" i="1" s="1"/>
  <c r="F170" i="1"/>
  <c r="F161" i="1" s="1"/>
  <c r="F18" i="1"/>
  <c r="O270" i="1"/>
  <c r="O266" i="1" s="1"/>
  <c r="N19" i="3" l="1"/>
  <c r="O18" i="1"/>
  <c r="J19" i="3"/>
  <c r="K18" i="1"/>
  <c r="K266" i="1"/>
  <c r="P229" i="1"/>
  <c r="P89" i="1"/>
  <c r="E66" i="1"/>
  <c r="J66" i="1"/>
  <c r="L291" i="1"/>
  <c r="L286" i="1" s="1"/>
  <c r="O256" i="1"/>
  <c r="L256" i="1"/>
  <c r="L221" i="1" s="1"/>
  <c r="N206" i="3"/>
  <c r="M206" i="3"/>
  <c r="L206" i="3"/>
  <c r="K206" i="3"/>
  <c r="J206" i="3"/>
  <c r="H206" i="3"/>
  <c r="G206" i="3"/>
  <c r="F206" i="3"/>
  <c r="E206" i="3"/>
  <c r="N207" i="3"/>
  <c r="N196" i="3" s="1"/>
  <c r="M207" i="3"/>
  <c r="M196" i="3" s="1"/>
  <c r="L207" i="3"/>
  <c r="L196" i="3" s="1"/>
  <c r="K207" i="3"/>
  <c r="K196" i="3" s="1"/>
  <c r="J207" i="3"/>
  <c r="J196" i="3" s="1"/>
  <c r="H207" i="3"/>
  <c r="H196" i="3" s="1"/>
  <c r="G207" i="3"/>
  <c r="G196" i="3" s="1"/>
  <c r="F207" i="3"/>
  <c r="F196" i="3" s="1"/>
  <c r="E207" i="3"/>
  <c r="E196" i="3" s="1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N71" i="1"/>
  <c r="M71" i="1"/>
  <c r="L71" i="1"/>
  <c r="I71" i="1"/>
  <c r="H71" i="1"/>
  <c r="G71" i="1"/>
  <c r="J123" i="1"/>
  <c r="I249" i="3" s="1"/>
  <c r="I247" i="3" s="1"/>
  <c r="I243" i="3" s="1"/>
  <c r="J122" i="1"/>
  <c r="I248" i="3" s="1"/>
  <c r="I246" i="3" s="1"/>
  <c r="E123" i="1"/>
  <c r="P123" i="1" s="1"/>
  <c r="O249" i="3" s="1"/>
  <c r="O247" i="3" s="1"/>
  <c r="O243" i="3" s="1"/>
  <c r="E122" i="1"/>
  <c r="P122" i="1" s="1"/>
  <c r="O248" i="3" s="1"/>
  <c r="O246" i="3" s="1"/>
  <c r="J92" i="1"/>
  <c r="I59" i="3" s="1"/>
  <c r="J91" i="1"/>
  <c r="I58" i="3" s="1"/>
  <c r="E92" i="1"/>
  <c r="P92" i="1" s="1"/>
  <c r="O59" i="3" s="1"/>
  <c r="E91" i="1"/>
  <c r="P91" i="1" s="1"/>
  <c r="O58" i="3" s="1"/>
  <c r="O71" i="1"/>
  <c r="K71" i="1"/>
  <c r="D249" i="3" l="1"/>
  <c r="D247" i="3" s="1"/>
  <c r="D243" i="3" s="1"/>
  <c r="D59" i="3"/>
  <c r="O56" i="3"/>
  <c r="O26" i="3" s="1"/>
  <c r="P66" i="1"/>
  <c r="D58" i="3"/>
  <c r="D248" i="3"/>
  <c r="D246" i="3" s="1"/>
  <c r="J168" i="1" l="1"/>
  <c r="E168" i="1" l="1"/>
  <c r="P168" i="1" s="1"/>
  <c r="E19" i="3" l="1"/>
  <c r="K127" i="1"/>
  <c r="N57" i="3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J90" i="1"/>
  <c r="J71" i="1" s="1"/>
  <c r="E90" i="1"/>
  <c r="E71" i="1" s="1"/>
  <c r="E250" i="3" l="1"/>
  <c r="E242" i="3" s="1"/>
  <c r="P90" i="1"/>
  <c r="P71" i="1" s="1"/>
  <c r="D57" i="3"/>
  <c r="D32" i="3" s="1"/>
  <c r="I57" i="3"/>
  <c r="I32" i="3" s="1"/>
  <c r="O240" i="1"/>
  <c r="O221" i="1" s="1"/>
  <c r="K240" i="1"/>
  <c r="K221" i="1" s="1"/>
  <c r="O57" i="3" l="1"/>
  <c r="O32" i="3" s="1"/>
  <c r="F198" i="1"/>
  <c r="F164" i="1" s="1"/>
  <c r="G18" i="1" l="1"/>
  <c r="I232" i="1" l="1"/>
  <c r="I221" i="1" s="1"/>
  <c r="F313" i="1"/>
  <c r="F302" i="1"/>
  <c r="F298" i="1"/>
  <c r="N178" i="3" l="1"/>
  <c r="M178" i="3"/>
  <c r="L178" i="3"/>
  <c r="K178" i="3"/>
  <c r="J178" i="3"/>
  <c r="H178" i="3"/>
  <c r="G178" i="3"/>
  <c r="F178" i="3"/>
  <c r="E178" i="3"/>
  <c r="K131" i="1" l="1"/>
  <c r="N55" i="3" l="1"/>
  <c r="M55" i="3"/>
  <c r="L55" i="3"/>
  <c r="K55" i="3"/>
  <c r="J55" i="3"/>
  <c r="H55" i="3"/>
  <c r="G55" i="3"/>
  <c r="F55" i="3"/>
  <c r="E55" i="3"/>
  <c r="J88" i="1"/>
  <c r="I55" i="3" s="1"/>
  <c r="E88" i="1"/>
  <c r="J284" i="1"/>
  <c r="I252" i="3" s="1"/>
  <c r="E284" i="1"/>
  <c r="D252" i="3" s="1"/>
  <c r="D55" i="3" l="1"/>
  <c r="P284" i="1"/>
  <c r="O252" i="3" s="1"/>
  <c r="P88" i="1"/>
  <c r="O55" i="3" s="1"/>
  <c r="J125" i="1"/>
  <c r="E125" i="1" l="1"/>
  <c r="N78" i="3"/>
  <c r="N31" i="3" s="1"/>
  <c r="M78" i="3"/>
  <c r="M31" i="3" s="1"/>
  <c r="L78" i="3"/>
  <c r="L31" i="3" s="1"/>
  <c r="K78" i="3"/>
  <c r="K31" i="3" s="1"/>
  <c r="J78" i="3"/>
  <c r="J31" i="3" s="1"/>
  <c r="H78" i="3"/>
  <c r="H31" i="3" s="1"/>
  <c r="G78" i="3"/>
  <c r="G31" i="3" s="1"/>
  <c r="F78" i="3"/>
  <c r="F31" i="3" s="1"/>
  <c r="E78" i="3"/>
  <c r="E31" i="3" s="1"/>
  <c r="N77" i="3"/>
  <c r="M77" i="3"/>
  <c r="L77" i="3"/>
  <c r="K77" i="3"/>
  <c r="J77" i="3"/>
  <c r="H77" i="3"/>
  <c r="G77" i="3"/>
  <c r="F77" i="3"/>
  <c r="E77" i="3"/>
  <c r="O70" i="1"/>
  <c r="N70" i="1"/>
  <c r="M70" i="1"/>
  <c r="L70" i="1"/>
  <c r="K70" i="1"/>
  <c r="I70" i="1"/>
  <c r="H70" i="1"/>
  <c r="G70" i="1"/>
  <c r="F70" i="1"/>
  <c r="J110" i="1"/>
  <c r="I78" i="3" s="1"/>
  <c r="I31" i="3" s="1"/>
  <c r="J109" i="1"/>
  <c r="I77" i="3" s="1"/>
  <c r="E110" i="1"/>
  <c r="P110" i="1" s="1"/>
  <c r="O78" i="3" s="1"/>
  <c r="O31" i="3" s="1"/>
  <c r="E109" i="1"/>
  <c r="P109" i="1" s="1"/>
  <c r="O77" i="3" s="1"/>
  <c r="D78" i="3" l="1"/>
  <c r="D31" i="3" s="1"/>
  <c r="E70" i="1"/>
  <c r="P125" i="1"/>
  <c r="D77" i="3"/>
  <c r="J70" i="1"/>
  <c r="P70" i="1"/>
  <c r="N237" i="3" l="1"/>
  <c r="M237" i="3"/>
  <c r="L237" i="3"/>
  <c r="K237" i="3"/>
  <c r="J237" i="3"/>
  <c r="H237" i="3"/>
  <c r="G237" i="3"/>
  <c r="F237" i="3"/>
  <c r="E237" i="3"/>
  <c r="M215" i="3"/>
  <c r="L215" i="3"/>
  <c r="K215" i="3"/>
  <c r="H215" i="3"/>
  <c r="G215" i="3"/>
  <c r="F215" i="3"/>
  <c r="N61" i="3"/>
  <c r="M61" i="3"/>
  <c r="L61" i="3"/>
  <c r="K61" i="3"/>
  <c r="J61" i="3"/>
  <c r="H61" i="3"/>
  <c r="G61" i="3"/>
  <c r="F61" i="3"/>
  <c r="E61" i="3"/>
  <c r="E212" i="1"/>
  <c r="J212" i="1"/>
  <c r="I61" i="3" s="1"/>
  <c r="D61" i="3" l="1"/>
  <c r="P212" i="1"/>
  <c r="O61" i="3" s="1"/>
  <c r="N225" i="3" l="1"/>
  <c r="M225" i="3"/>
  <c r="L225" i="3"/>
  <c r="K225" i="3"/>
  <c r="J225" i="3"/>
  <c r="H225" i="3"/>
  <c r="G225" i="3"/>
  <c r="F225" i="3"/>
  <c r="E225" i="3"/>
  <c r="E120" i="1"/>
  <c r="D225" i="3" s="1"/>
  <c r="J120" i="1"/>
  <c r="I225" i="3" s="1"/>
  <c r="N150" i="3"/>
  <c r="M150" i="3"/>
  <c r="L150" i="3"/>
  <c r="K150" i="3"/>
  <c r="J150" i="3"/>
  <c r="H150" i="3"/>
  <c r="G150" i="3"/>
  <c r="F150" i="3"/>
  <c r="E150" i="3"/>
  <c r="N139" i="3"/>
  <c r="M139" i="3"/>
  <c r="L139" i="3"/>
  <c r="K139" i="3"/>
  <c r="J139" i="3"/>
  <c r="H139" i="3"/>
  <c r="G139" i="3"/>
  <c r="F139" i="3"/>
  <c r="N121" i="3"/>
  <c r="M121" i="3"/>
  <c r="L121" i="3"/>
  <c r="K121" i="3"/>
  <c r="J121" i="3"/>
  <c r="H121" i="3"/>
  <c r="G121" i="3"/>
  <c r="F121" i="3"/>
  <c r="E121" i="3"/>
  <c r="N76" i="3"/>
  <c r="N29" i="3" s="1"/>
  <c r="M76" i="3"/>
  <c r="M29" i="3" s="1"/>
  <c r="L76" i="3"/>
  <c r="L29" i="3" s="1"/>
  <c r="K76" i="3"/>
  <c r="K29" i="3" s="1"/>
  <c r="J76" i="3"/>
  <c r="J29" i="3" s="1"/>
  <c r="H76" i="3"/>
  <c r="H29" i="3" s="1"/>
  <c r="G76" i="3"/>
  <c r="G29" i="3" s="1"/>
  <c r="F76" i="3"/>
  <c r="F29" i="3" s="1"/>
  <c r="E76" i="3"/>
  <c r="E29" i="3" s="1"/>
  <c r="N75" i="3"/>
  <c r="M75" i="3"/>
  <c r="L75" i="3"/>
  <c r="K75" i="3"/>
  <c r="J75" i="3"/>
  <c r="H75" i="3"/>
  <c r="G75" i="3"/>
  <c r="F75" i="3"/>
  <c r="E75" i="3"/>
  <c r="N67" i="3"/>
  <c r="M67" i="3"/>
  <c r="L67" i="3"/>
  <c r="K67" i="3"/>
  <c r="J67" i="3"/>
  <c r="H67" i="3"/>
  <c r="G67" i="3"/>
  <c r="F67" i="3"/>
  <c r="E67" i="3"/>
  <c r="B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4" i="3"/>
  <c r="M64" i="3"/>
  <c r="L64" i="3"/>
  <c r="K64" i="3"/>
  <c r="J64" i="3"/>
  <c r="H64" i="3"/>
  <c r="G64" i="3"/>
  <c r="F64" i="3"/>
  <c r="E64" i="3"/>
  <c r="N63" i="3"/>
  <c r="M63" i="3"/>
  <c r="L63" i="3"/>
  <c r="K63" i="3"/>
  <c r="J63" i="3"/>
  <c r="H63" i="3"/>
  <c r="G63" i="3"/>
  <c r="F63" i="3"/>
  <c r="E63" i="3"/>
  <c r="N62" i="3"/>
  <c r="M62" i="3"/>
  <c r="L62" i="3"/>
  <c r="K62" i="3"/>
  <c r="J62" i="3"/>
  <c r="H62" i="3"/>
  <c r="G62" i="3"/>
  <c r="F62" i="3"/>
  <c r="E62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7" i="3" s="1"/>
  <c r="M50" i="3"/>
  <c r="M27" i="3" s="1"/>
  <c r="L50" i="3"/>
  <c r="L27" i="3" s="1"/>
  <c r="K50" i="3"/>
  <c r="K27" i="3" s="1"/>
  <c r="J50" i="3"/>
  <c r="J27" i="3" s="1"/>
  <c r="H50" i="3"/>
  <c r="H27" i="3" s="1"/>
  <c r="G50" i="3"/>
  <c r="G27" i="3" s="1"/>
  <c r="F50" i="3"/>
  <c r="F27" i="3" s="1"/>
  <c r="E50" i="3"/>
  <c r="E27" i="3" s="1"/>
  <c r="N49" i="3"/>
  <c r="N25" i="3" s="1"/>
  <c r="M49" i="3"/>
  <c r="M25" i="3" s="1"/>
  <c r="L49" i="3"/>
  <c r="L25" i="3" s="1"/>
  <c r="K49" i="3"/>
  <c r="K25" i="3" s="1"/>
  <c r="J49" i="3"/>
  <c r="J25" i="3" s="1"/>
  <c r="H49" i="3"/>
  <c r="H25" i="3" s="1"/>
  <c r="G49" i="3"/>
  <c r="G25" i="3" s="1"/>
  <c r="F49" i="3"/>
  <c r="F25" i="3" s="1"/>
  <c r="E49" i="3"/>
  <c r="E25" i="3" s="1"/>
  <c r="N48" i="3"/>
  <c r="M48" i="3"/>
  <c r="L48" i="3"/>
  <c r="K48" i="3"/>
  <c r="J48" i="3"/>
  <c r="H48" i="3"/>
  <c r="G48" i="3"/>
  <c r="F48" i="3"/>
  <c r="E48" i="3"/>
  <c r="N45" i="3"/>
  <c r="M45" i="3"/>
  <c r="L45" i="3"/>
  <c r="K45" i="3"/>
  <c r="J45" i="3"/>
  <c r="H45" i="3"/>
  <c r="G45" i="3"/>
  <c r="F45" i="3"/>
  <c r="E45" i="3"/>
  <c r="N38" i="3"/>
  <c r="M38" i="3"/>
  <c r="L38" i="3"/>
  <c r="K38" i="3"/>
  <c r="J38" i="3"/>
  <c r="H38" i="3"/>
  <c r="G38" i="3"/>
  <c r="F38" i="3"/>
  <c r="E38" i="3"/>
  <c r="N36" i="3"/>
  <c r="M36" i="3"/>
  <c r="M24" i="3" s="1"/>
  <c r="L36" i="3"/>
  <c r="L24" i="3" s="1"/>
  <c r="K36" i="3"/>
  <c r="K24" i="3" s="1"/>
  <c r="J36" i="3"/>
  <c r="H36" i="3"/>
  <c r="H24" i="3" s="1"/>
  <c r="G36" i="3"/>
  <c r="G24" i="3" s="1"/>
  <c r="F36" i="3"/>
  <c r="F24" i="3" s="1"/>
  <c r="E36" i="3"/>
  <c r="J24" i="3" l="1"/>
  <c r="E24" i="3"/>
  <c r="N24" i="3"/>
  <c r="N215" i="3"/>
  <c r="P120" i="1"/>
  <c r="O225" i="3" s="1"/>
  <c r="J121" i="1"/>
  <c r="J119" i="1"/>
  <c r="J115" i="1"/>
  <c r="J113" i="1"/>
  <c r="J112" i="1"/>
  <c r="J111" i="1"/>
  <c r="E121" i="1"/>
  <c r="E119" i="1"/>
  <c r="E115" i="1"/>
  <c r="E113" i="1"/>
  <c r="E112" i="1"/>
  <c r="E111" i="1"/>
  <c r="P111" i="1" l="1"/>
  <c r="P113" i="1"/>
  <c r="P119" i="1"/>
  <c r="P115" i="1"/>
  <c r="P121" i="1"/>
  <c r="P112" i="1"/>
  <c r="O69" i="1"/>
  <c r="N69" i="1"/>
  <c r="M69" i="1"/>
  <c r="L69" i="1"/>
  <c r="K69" i="1"/>
  <c r="I69" i="1"/>
  <c r="H69" i="1"/>
  <c r="G69" i="1"/>
  <c r="F69" i="1"/>
  <c r="O67" i="1"/>
  <c r="N67" i="1"/>
  <c r="M67" i="1"/>
  <c r="L67" i="1"/>
  <c r="K67" i="1"/>
  <c r="I67" i="1"/>
  <c r="H67" i="1"/>
  <c r="G67" i="1"/>
  <c r="F67" i="1"/>
  <c r="J98" i="1"/>
  <c r="I66" i="3" s="1"/>
  <c r="E98" i="1"/>
  <c r="D66" i="3" s="1"/>
  <c r="J85" i="1"/>
  <c r="I52" i="3" s="1"/>
  <c r="E85" i="1"/>
  <c r="D52" i="3" s="1"/>
  <c r="P98" i="1" l="1"/>
  <c r="O66" i="3" s="1"/>
  <c r="P85" i="1"/>
  <c r="O52" i="3" s="1"/>
  <c r="J215" i="3" l="1"/>
  <c r="E139" i="3" l="1"/>
  <c r="D214" i="1" l="1"/>
  <c r="E215" i="3" l="1"/>
  <c r="D56" i="1" l="1"/>
  <c r="N222" i="3" l="1"/>
  <c r="M222" i="3"/>
  <c r="L222" i="3"/>
  <c r="K222" i="3"/>
  <c r="J222" i="3"/>
  <c r="H222" i="3"/>
  <c r="G222" i="3"/>
  <c r="F222" i="3"/>
  <c r="E222" i="3"/>
  <c r="N183" i="3"/>
  <c r="N186" i="3"/>
  <c r="M186" i="3"/>
  <c r="L186" i="3"/>
  <c r="K186" i="3"/>
  <c r="J186" i="3"/>
  <c r="H186" i="3"/>
  <c r="G186" i="3"/>
  <c r="F186" i="3"/>
  <c r="E186" i="3"/>
  <c r="O210" i="1"/>
  <c r="N210" i="1"/>
  <c r="M210" i="1"/>
  <c r="L210" i="1"/>
  <c r="K210" i="1"/>
  <c r="I210" i="1"/>
  <c r="H210" i="1"/>
  <c r="G210" i="1"/>
  <c r="F210" i="1"/>
  <c r="N220" i="3"/>
  <c r="M220" i="3"/>
  <c r="L220" i="3"/>
  <c r="K220" i="3"/>
  <c r="J220" i="3"/>
  <c r="H220" i="3"/>
  <c r="G220" i="3"/>
  <c r="F220" i="3"/>
  <c r="E220" i="3"/>
  <c r="O227" i="1"/>
  <c r="N227" i="1"/>
  <c r="M227" i="1"/>
  <c r="L227" i="1"/>
  <c r="K227" i="1"/>
  <c r="I227" i="1"/>
  <c r="H227" i="1"/>
  <c r="G227" i="1"/>
  <c r="F227" i="1"/>
  <c r="J289" i="1"/>
  <c r="E289" i="1"/>
  <c r="E255" i="1"/>
  <c r="D220" i="3" s="1"/>
  <c r="J255" i="1"/>
  <c r="I220" i="3" s="1"/>
  <c r="E217" i="1"/>
  <c r="D182" i="3" s="1"/>
  <c r="J217" i="1"/>
  <c r="I182" i="3" s="1"/>
  <c r="D186" i="3" l="1"/>
  <c r="I186" i="3"/>
  <c r="P217" i="1"/>
  <c r="O182" i="3" s="1"/>
  <c r="P255" i="1"/>
  <c r="E227" i="1"/>
  <c r="P289" i="1"/>
  <c r="J227" i="1"/>
  <c r="E20" i="3"/>
  <c r="F20" i="3"/>
  <c r="G20" i="3"/>
  <c r="H20" i="3"/>
  <c r="J20" i="3"/>
  <c r="K20" i="3"/>
  <c r="L20" i="3"/>
  <c r="M20" i="3"/>
  <c r="N20" i="3"/>
  <c r="O186" i="3" l="1"/>
  <c r="O220" i="3"/>
  <c r="P227" i="1"/>
  <c r="N205" i="3"/>
  <c r="M205" i="3"/>
  <c r="L205" i="3"/>
  <c r="K205" i="3"/>
  <c r="J205" i="3"/>
  <c r="H205" i="3"/>
  <c r="G205" i="3"/>
  <c r="F205" i="3"/>
  <c r="E205" i="3"/>
  <c r="J48" i="1" l="1"/>
  <c r="I205" i="3" s="1"/>
  <c r="E48" i="1"/>
  <c r="J22" i="1"/>
  <c r="I20" i="3" s="1"/>
  <c r="E22" i="1"/>
  <c r="D205" i="3" l="1"/>
  <c r="P48" i="1"/>
  <c r="O205" i="3" s="1"/>
  <c r="P22" i="1"/>
  <c r="O20" i="3" s="1"/>
  <c r="D20" i="3"/>
  <c r="F203" i="1" l="1"/>
  <c r="G203" i="1"/>
  <c r="H203" i="1"/>
  <c r="I203" i="1"/>
  <c r="K203" i="1"/>
  <c r="L203" i="1"/>
  <c r="M203" i="1"/>
  <c r="N203" i="1"/>
  <c r="O203" i="1"/>
  <c r="E88" i="3" l="1"/>
  <c r="F88" i="3"/>
  <c r="G88" i="3"/>
  <c r="H88" i="3"/>
  <c r="J88" i="3"/>
  <c r="K88" i="3"/>
  <c r="L88" i="3"/>
  <c r="M88" i="3"/>
  <c r="N88" i="3"/>
  <c r="F127" i="1" l="1"/>
  <c r="G127" i="1"/>
  <c r="H127" i="1"/>
  <c r="I127" i="1"/>
  <c r="L127" i="1"/>
  <c r="M127" i="1"/>
  <c r="N127" i="1"/>
  <c r="O127" i="1"/>
  <c r="E140" i="1"/>
  <c r="J140" i="1"/>
  <c r="I88" i="3" s="1"/>
  <c r="D140" i="1"/>
  <c r="P140" i="1" l="1"/>
  <c r="O88" i="3" s="1"/>
  <c r="D88" i="3"/>
  <c r="E204" i="3"/>
  <c r="F204" i="3"/>
  <c r="G204" i="3"/>
  <c r="H204" i="3"/>
  <c r="J204" i="3"/>
  <c r="K204" i="3"/>
  <c r="L204" i="3"/>
  <c r="M204" i="3"/>
  <c r="N204" i="3"/>
  <c r="E249" i="1"/>
  <c r="J249" i="1"/>
  <c r="F224" i="1"/>
  <c r="G224" i="1"/>
  <c r="H224" i="1"/>
  <c r="I224" i="1"/>
  <c r="K224" i="1"/>
  <c r="L224" i="1"/>
  <c r="M224" i="1"/>
  <c r="N224" i="1"/>
  <c r="O224" i="1"/>
  <c r="D204" i="3" l="1"/>
  <c r="D207" i="3"/>
  <c r="D196" i="3" s="1"/>
  <c r="J224" i="1"/>
  <c r="I207" i="3"/>
  <c r="I196" i="3" s="1"/>
  <c r="E224" i="1"/>
  <c r="P249" i="1"/>
  <c r="O207" i="3" s="1"/>
  <c r="O196" i="3" s="1"/>
  <c r="I204" i="3"/>
  <c r="E208" i="1"/>
  <c r="E203" i="1" s="1"/>
  <c r="J208" i="1"/>
  <c r="L162" i="1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6" i="3"/>
  <c r="F136" i="3"/>
  <c r="G136" i="3"/>
  <c r="H136" i="3"/>
  <c r="J136" i="3"/>
  <c r="K136" i="3"/>
  <c r="L136" i="3"/>
  <c r="M136" i="3"/>
  <c r="N136" i="3"/>
  <c r="E137" i="3"/>
  <c r="E102" i="3" s="1"/>
  <c r="F137" i="3"/>
  <c r="F102" i="3" s="1"/>
  <c r="G137" i="3"/>
  <c r="G102" i="3" s="1"/>
  <c r="H137" i="3"/>
  <c r="H102" i="3" s="1"/>
  <c r="J137" i="3"/>
  <c r="J102" i="3" s="1"/>
  <c r="K137" i="3"/>
  <c r="K102" i="3" s="1"/>
  <c r="L137" i="3"/>
  <c r="L102" i="3" s="1"/>
  <c r="M137" i="3"/>
  <c r="M102" i="3" s="1"/>
  <c r="N137" i="3"/>
  <c r="N102" i="3" s="1"/>
  <c r="E191" i="1"/>
  <c r="E190" i="1"/>
  <c r="D132" i="3" s="1"/>
  <c r="J191" i="1"/>
  <c r="J165" i="1" s="1"/>
  <c r="J190" i="1"/>
  <c r="I132" i="3" s="1"/>
  <c r="E164" i="3"/>
  <c r="F164" i="3"/>
  <c r="F156" i="3" s="1"/>
  <c r="G164" i="3"/>
  <c r="G156" i="3" s="1"/>
  <c r="H164" i="3"/>
  <c r="H156" i="3" s="1"/>
  <c r="J164" i="3"/>
  <c r="J156" i="3" s="1"/>
  <c r="K164" i="3"/>
  <c r="K156" i="3" s="1"/>
  <c r="L164" i="3"/>
  <c r="L156" i="3" s="1"/>
  <c r="M164" i="3"/>
  <c r="N164" i="3"/>
  <c r="N156" i="3" s="1"/>
  <c r="D164" i="3"/>
  <c r="D156" i="3" s="1"/>
  <c r="E156" i="3"/>
  <c r="M156" i="3"/>
  <c r="J194" i="1"/>
  <c r="I136" i="3" s="1"/>
  <c r="J195" i="1"/>
  <c r="J163" i="1" s="1"/>
  <c r="E194" i="1"/>
  <c r="D136" i="3" s="1"/>
  <c r="E195" i="1"/>
  <c r="F163" i="1"/>
  <c r="G163" i="1"/>
  <c r="H163" i="1"/>
  <c r="I163" i="1"/>
  <c r="K163" i="1"/>
  <c r="L163" i="1"/>
  <c r="M163" i="1"/>
  <c r="N163" i="1"/>
  <c r="O163" i="1"/>
  <c r="F162" i="1"/>
  <c r="G162" i="1"/>
  <c r="H162" i="1"/>
  <c r="I162" i="1"/>
  <c r="K162" i="1"/>
  <c r="M162" i="1"/>
  <c r="N162" i="1"/>
  <c r="O162" i="1"/>
  <c r="D162" i="1"/>
  <c r="D195" i="1"/>
  <c r="D163" i="1"/>
  <c r="D194" i="1"/>
  <c r="J23" i="1"/>
  <c r="I21" i="3" s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D133" i="3" l="1"/>
  <c r="D104" i="3" s="1"/>
  <c r="E165" i="1"/>
  <c r="N101" i="3"/>
  <c r="N104" i="3"/>
  <c r="L101" i="3"/>
  <c r="L104" i="3"/>
  <c r="J101" i="3"/>
  <c r="J104" i="3"/>
  <c r="G101" i="3"/>
  <c r="G104" i="3"/>
  <c r="E101" i="3"/>
  <c r="E104" i="3"/>
  <c r="M101" i="3"/>
  <c r="M104" i="3"/>
  <c r="K101" i="3"/>
  <c r="K104" i="3"/>
  <c r="H101" i="3"/>
  <c r="H104" i="3"/>
  <c r="F101" i="3"/>
  <c r="F104" i="3"/>
  <c r="P224" i="1"/>
  <c r="O204" i="3"/>
  <c r="P208" i="1"/>
  <c r="P203" i="1" s="1"/>
  <c r="J203" i="1"/>
  <c r="P191" i="1"/>
  <c r="I164" i="3"/>
  <c r="I156" i="3" s="1"/>
  <c r="D137" i="3"/>
  <c r="D102" i="3" s="1"/>
  <c r="I133" i="3"/>
  <c r="J162" i="1"/>
  <c r="I137" i="3"/>
  <c r="I102" i="3" s="1"/>
  <c r="O164" i="3"/>
  <c r="O156" i="3" s="1"/>
  <c r="P190" i="1"/>
  <c r="P194" i="1"/>
  <c r="O136" i="3" s="1"/>
  <c r="E162" i="1"/>
  <c r="D101" i="3"/>
  <c r="P195" i="1"/>
  <c r="E163" i="1"/>
  <c r="P25" i="1"/>
  <c r="P20" i="1" s="1"/>
  <c r="E20" i="1"/>
  <c r="O133" i="3" l="1"/>
  <c r="O104" i="3" s="1"/>
  <c r="P165" i="1"/>
  <c r="I101" i="3"/>
  <c r="I104" i="3"/>
  <c r="O101" i="3"/>
  <c r="P162" i="1"/>
  <c r="O132" i="3"/>
  <c r="P163" i="1"/>
  <c r="O137" i="3"/>
  <c r="O102" i="3" s="1"/>
  <c r="O23" i="3"/>
  <c r="O18" i="3" s="1"/>
  <c r="N163" i="3" l="1"/>
  <c r="M163" i="3"/>
  <c r="L163" i="3"/>
  <c r="K163" i="3"/>
  <c r="J163" i="3"/>
  <c r="H163" i="3"/>
  <c r="G163" i="3"/>
  <c r="F163" i="3"/>
  <c r="E163" i="3"/>
  <c r="O202" i="1"/>
  <c r="N202" i="1"/>
  <c r="M202" i="1"/>
  <c r="L202" i="1"/>
  <c r="I202" i="1"/>
  <c r="H202" i="1"/>
  <c r="J207" i="1"/>
  <c r="I163" i="3" s="1"/>
  <c r="E207" i="1"/>
  <c r="D163" i="3" s="1"/>
  <c r="E282" i="1"/>
  <c r="E280" i="1"/>
  <c r="D193" i="3" s="1"/>
  <c r="N22" i="3"/>
  <c r="M22" i="3"/>
  <c r="L22" i="3"/>
  <c r="K22" i="3"/>
  <c r="J22" i="3"/>
  <c r="H22" i="3"/>
  <c r="G22" i="3"/>
  <c r="F22" i="3"/>
  <c r="E22" i="3"/>
  <c r="I22" i="3"/>
  <c r="E24" i="1"/>
  <c r="P207" i="1" l="1"/>
  <c r="O163" i="3" s="1"/>
  <c r="P24" i="1"/>
  <c r="D22" i="3"/>
  <c r="J159" i="1"/>
  <c r="E159" i="1"/>
  <c r="O22" i="3" l="1"/>
  <c r="P159" i="1"/>
  <c r="J280" i="1" l="1"/>
  <c r="I193" i="3" s="1"/>
  <c r="P280" i="1" l="1"/>
  <c r="O193" i="3" s="1"/>
  <c r="N68" i="1" l="1"/>
  <c r="M68" i="1"/>
  <c r="L68" i="1"/>
  <c r="I68" i="1"/>
  <c r="H68" i="1"/>
  <c r="G68" i="1"/>
  <c r="J95" i="1"/>
  <c r="I63" i="3" s="1"/>
  <c r="E95" i="1"/>
  <c r="D63" i="3" s="1"/>
  <c r="P95" i="1" l="1"/>
  <c r="O63" i="3" s="1"/>
  <c r="J305" i="1"/>
  <c r="M211" i="3" l="1"/>
  <c r="M210" i="3" s="1"/>
  <c r="L211" i="3"/>
  <c r="L210" i="3" s="1"/>
  <c r="K211" i="3"/>
  <c r="K210" i="3" s="1"/>
  <c r="H211" i="3"/>
  <c r="H210" i="3" s="1"/>
  <c r="G211" i="3"/>
  <c r="G210" i="3" s="1"/>
  <c r="F211" i="3"/>
  <c r="F210" i="3" s="1"/>
  <c r="J252" i="1" l="1"/>
  <c r="E252" i="1"/>
  <c r="P252" i="1" l="1"/>
  <c r="N185" i="3" l="1"/>
  <c r="M185" i="3"/>
  <c r="L185" i="3"/>
  <c r="K185" i="3"/>
  <c r="J185" i="3"/>
  <c r="H185" i="3"/>
  <c r="G185" i="3"/>
  <c r="F185" i="3"/>
  <c r="E185" i="3"/>
  <c r="J277" i="1"/>
  <c r="E277" i="1"/>
  <c r="E275" i="1"/>
  <c r="O304" i="1"/>
  <c r="O303" i="1" s="1"/>
  <c r="N304" i="1"/>
  <c r="N303" i="1" s="1"/>
  <c r="M304" i="1"/>
  <c r="M303" i="1" s="1"/>
  <c r="L304" i="1"/>
  <c r="L303" i="1" s="1"/>
  <c r="K304" i="1"/>
  <c r="K303" i="1" s="1"/>
  <c r="J304" i="1"/>
  <c r="J303" i="1" s="1"/>
  <c r="I304" i="1"/>
  <c r="I303" i="1" s="1"/>
  <c r="H304" i="1"/>
  <c r="H303" i="1" s="1"/>
  <c r="G304" i="1"/>
  <c r="G303" i="1" s="1"/>
  <c r="F304" i="1"/>
  <c r="F303" i="1" s="1"/>
  <c r="E305" i="1"/>
  <c r="P305" i="1" s="1"/>
  <c r="P304" i="1" s="1"/>
  <c r="P303" i="1" s="1"/>
  <c r="N211" i="3"/>
  <c r="N210" i="3" s="1"/>
  <c r="J211" i="3"/>
  <c r="J210" i="3" s="1"/>
  <c r="E304" i="1" l="1"/>
  <c r="E303" i="1" s="1"/>
  <c r="P277" i="1"/>
  <c r="O68" i="1"/>
  <c r="K68" i="1"/>
  <c r="F68" i="1"/>
  <c r="O129" i="1" l="1"/>
  <c r="N129" i="1"/>
  <c r="M129" i="1"/>
  <c r="L129" i="1"/>
  <c r="K129" i="1"/>
  <c r="I129" i="1"/>
  <c r="H129" i="1"/>
  <c r="G129" i="1"/>
  <c r="F129" i="1"/>
  <c r="J154" i="1"/>
  <c r="J155" i="1"/>
  <c r="E154" i="1"/>
  <c r="E155" i="1"/>
  <c r="J132" i="1" l="1"/>
  <c r="E129" i="1"/>
  <c r="E132" i="1"/>
  <c r="P155" i="1"/>
  <c r="P154" i="1"/>
  <c r="J129" i="1"/>
  <c r="P129" i="1" l="1"/>
  <c r="P132" i="1"/>
  <c r="D240" i="1"/>
  <c r="N216" i="3" l="1"/>
  <c r="M216" i="3"/>
  <c r="L216" i="3"/>
  <c r="K216" i="3"/>
  <c r="J216" i="3"/>
  <c r="H216" i="3"/>
  <c r="G216" i="3"/>
  <c r="F216" i="3"/>
  <c r="E216" i="3"/>
  <c r="F213" i="3" l="1"/>
  <c r="F171" i="3" s="1"/>
  <c r="F258" i="3" s="1"/>
  <c r="H213" i="3"/>
  <c r="H171" i="3" s="1"/>
  <c r="H258" i="3" s="1"/>
  <c r="K213" i="3"/>
  <c r="K171" i="3" s="1"/>
  <c r="K258" i="3" s="1"/>
  <c r="M213" i="3"/>
  <c r="M171" i="3" s="1"/>
  <c r="M258" i="3" s="1"/>
  <c r="E213" i="3"/>
  <c r="E171" i="3" s="1"/>
  <c r="E258" i="3" s="1"/>
  <c r="G213" i="3"/>
  <c r="G171" i="3" s="1"/>
  <c r="G258" i="3" s="1"/>
  <c r="L213" i="3"/>
  <c r="L171" i="3" s="1"/>
  <c r="L258" i="3" s="1"/>
  <c r="N213" i="3"/>
  <c r="N171" i="3" s="1"/>
  <c r="N258" i="3" s="1"/>
  <c r="J213" i="3"/>
  <c r="J171" i="3" s="1"/>
  <c r="J258" i="3" s="1"/>
  <c r="O134" i="1"/>
  <c r="N134" i="1"/>
  <c r="M134" i="1"/>
  <c r="L134" i="1"/>
  <c r="K134" i="1"/>
  <c r="I134" i="1"/>
  <c r="H134" i="1"/>
  <c r="G134" i="1"/>
  <c r="F134" i="1"/>
  <c r="O267" i="1"/>
  <c r="N267" i="1"/>
  <c r="M267" i="1"/>
  <c r="L267" i="1"/>
  <c r="K267" i="1"/>
  <c r="I267" i="1"/>
  <c r="H267" i="1"/>
  <c r="G267" i="1"/>
  <c r="F267" i="1"/>
  <c r="E267" i="1"/>
  <c r="F319" i="1" l="1"/>
  <c r="H319" i="1"/>
  <c r="K319" i="1"/>
  <c r="M319" i="1"/>
  <c r="O319" i="1"/>
  <c r="G319" i="1"/>
  <c r="I319" i="1"/>
  <c r="L319" i="1"/>
  <c r="N319" i="1"/>
  <c r="E211" i="3" l="1"/>
  <c r="E210" i="3" s="1"/>
  <c r="M183" i="3" l="1"/>
  <c r="L183" i="3"/>
  <c r="K183" i="3"/>
  <c r="H183" i="3"/>
  <c r="G183" i="3"/>
  <c r="F183" i="3"/>
  <c r="E183" i="3"/>
  <c r="N181" i="3" l="1"/>
  <c r="M181" i="3"/>
  <c r="L181" i="3"/>
  <c r="K181" i="3"/>
  <c r="J181" i="3"/>
  <c r="H181" i="3"/>
  <c r="G181" i="3"/>
  <c r="F181" i="3"/>
  <c r="E181" i="3"/>
  <c r="M180" i="3"/>
  <c r="L180" i="3"/>
  <c r="K180" i="3"/>
  <c r="H180" i="3"/>
  <c r="G180" i="3"/>
  <c r="F180" i="3"/>
  <c r="E180" i="3"/>
  <c r="M184" i="3"/>
  <c r="L184" i="3"/>
  <c r="K184" i="3"/>
  <c r="H184" i="3"/>
  <c r="G184" i="3"/>
  <c r="F184" i="3"/>
  <c r="E184" i="3"/>
  <c r="J199" i="1" l="1"/>
  <c r="E199" i="1"/>
  <c r="D181" i="3" s="1"/>
  <c r="J152" i="1"/>
  <c r="E152" i="1"/>
  <c r="E43" i="1"/>
  <c r="E42" i="1"/>
  <c r="D183" i="3" s="1"/>
  <c r="J43" i="1"/>
  <c r="P43" i="1" s="1"/>
  <c r="J42" i="1"/>
  <c r="P42" i="1" l="1"/>
  <c r="P152" i="1"/>
  <c r="P199" i="1"/>
  <c r="O181" i="3" s="1"/>
  <c r="I181" i="3"/>
  <c r="N184" i="3"/>
  <c r="J184" i="3"/>
  <c r="E157" i="1" l="1"/>
  <c r="J157" i="1"/>
  <c r="J134" i="1" l="1"/>
  <c r="D216" i="3"/>
  <c r="E134" i="1"/>
  <c r="E319" i="1" s="1"/>
  <c r="P157" i="1"/>
  <c r="J282" i="1"/>
  <c r="J267" i="1" s="1"/>
  <c r="J319" i="1" l="1"/>
  <c r="D213" i="3"/>
  <c r="I216" i="3"/>
  <c r="P134" i="1"/>
  <c r="P282" i="1"/>
  <c r="P267" i="1" s="1"/>
  <c r="N203" i="3"/>
  <c r="M203" i="3"/>
  <c r="L203" i="3"/>
  <c r="K203" i="3"/>
  <c r="J203" i="3"/>
  <c r="H203" i="3"/>
  <c r="G203" i="3"/>
  <c r="F203" i="3"/>
  <c r="E203" i="3"/>
  <c r="N140" i="3"/>
  <c r="M140" i="3"/>
  <c r="L140" i="3"/>
  <c r="K140" i="3"/>
  <c r="J140" i="3"/>
  <c r="H140" i="3"/>
  <c r="G140" i="3"/>
  <c r="F140" i="3"/>
  <c r="N126" i="3"/>
  <c r="M126" i="3"/>
  <c r="L126" i="3"/>
  <c r="K126" i="3"/>
  <c r="J126" i="3"/>
  <c r="H126" i="3"/>
  <c r="G126" i="3"/>
  <c r="F126" i="3"/>
  <c r="E126" i="3"/>
  <c r="N124" i="3"/>
  <c r="M124" i="3"/>
  <c r="L124" i="3"/>
  <c r="K124" i="3"/>
  <c r="J124" i="3"/>
  <c r="H124" i="3"/>
  <c r="G124" i="3"/>
  <c r="F124" i="3"/>
  <c r="E124" i="3"/>
  <c r="N115" i="3"/>
  <c r="M115" i="3"/>
  <c r="L115" i="3"/>
  <c r="K115" i="3"/>
  <c r="J115" i="3"/>
  <c r="H115" i="3"/>
  <c r="G115" i="3"/>
  <c r="F115" i="3"/>
  <c r="E115" i="3"/>
  <c r="N113" i="3"/>
  <c r="M113" i="3"/>
  <c r="L113" i="3"/>
  <c r="K113" i="3"/>
  <c r="J113" i="3"/>
  <c r="H113" i="3"/>
  <c r="G113" i="3"/>
  <c r="F113" i="3"/>
  <c r="E113" i="3"/>
  <c r="N109" i="3"/>
  <c r="M109" i="3"/>
  <c r="M103" i="3" s="1"/>
  <c r="L109" i="3"/>
  <c r="K109" i="3"/>
  <c r="K103" i="3" s="1"/>
  <c r="J109" i="3"/>
  <c r="H109" i="3"/>
  <c r="H103" i="3" s="1"/>
  <c r="G109" i="3"/>
  <c r="F109" i="3"/>
  <c r="F103" i="3" s="1"/>
  <c r="N97" i="3"/>
  <c r="M97" i="3"/>
  <c r="L97" i="3"/>
  <c r="K97" i="3"/>
  <c r="J97" i="3"/>
  <c r="H97" i="3"/>
  <c r="G97" i="3"/>
  <c r="F97" i="3"/>
  <c r="E97" i="3"/>
  <c r="N96" i="3"/>
  <c r="M96" i="3"/>
  <c r="L96" i="3"/>
  <c r="K96" i="3"/>
  <c r="J96" i="3"/>
  <c r="H96" i="3"/>
  <c r="G96" i="3"/>
  <c r="F96" i="3"/>
  <c r="E96" i="3"/>
  <c r="N94" i="3"/>
  <c r="M94" i="3"/>
  <c r="L94" i="3"/>
  <c r="K94" i="3"/>
  <c r="J94" i="3"/>
  <c r="H94" i="3"/>
  <c r="G94" i="3"/>
  <c r="F94" i="3"/>
  <c r="E94" i="3"/>
  <c r="N92" i="3"/>
  <c r="M92" i="3"/>
  <c r="L92" i="3"/>
  <c r="K92" i="3"/>
  <c r="J92" i="3"/>
  <c r="H92" i="3"/>
  <c r="G92" i="3"/>
  <c r="F92" i="3"/>
  <c r="E92" i="3"/>
  <c r="N90" i="3"/>
  <c r="M90" i="3"/>
  <c r="L90" i="3"/>
  <c r="K90" i="3"/>
  <c r="J90" i="3"/>
  <c r="I90" i="3"/>
  <c r="H90" i="3"/>
  <c r="G90" i="3"/>
  <c r="F90" i="3"/>
  <c r="E90" i="3"/>
  <c r="N86" i="3"/>
  <c r="M86" i="3"/>
  <c r="L86" i="3"/>
  <c r="K86" i="3"/>
  <c r="J86" i="3"/>
  <c r="H86" i="3"/>
  <c r="G86" i="3"/>
  <c r="F86" i="3"/>
  <c r="N85" i="3"/>
  <c r="M85" i="3"/>
  <c r="L85" i="3"/>
  <c r="K85" i="3"/>
  <c r="J85" i="3"/>
  <c r="H85" i="3"/>
  <c r="G85" i="3"/>
  <c r="F85" i="3"/>
  <c r="E85" i="3"/>
  <c r="J68" i="1"/>
  <c r="E68" i="1"/>
  <c r="O222" i="1"/>
  <c r="N222" i="1"/>
  <c r="M222" i="1"/>
  <c r="L222" i="1"/>
  <c r="K222" i="1"/>
  <c r="I222" i="1"/>
  <c r="H222" i="1"/>
  <c r="G222" i="1"/>
  <c r="F222" i="1"/>
  <c r="O128" i="1"/>
  <c r="N128" i="1"/>
  <c r="M128" i="1"/>
  <c r="L128" i="1"/>
  <c r="K128" i="1"/>
  <c r="I128" i="1"/>
  <c r="H128" i="1"/>
  <c r="G128" i="1"/>
  <c r="F128" i="1"/>
  <c r="G103" i="3" l="1"/>
  <c r="J103" i="3"/>
  <c r="L103" i="3"/>
  <c r="N103" i="3"/>
  <c r="D171" i="3"/>
  <c r="D258" i="3" s="1"/>
  <c r="P319" i="1"/>
  <c r="I213" i="3"/>
  <c r="I171" i="3" s="1"/>
  <c r="I258" i="3" s="1"/>
  <c r="O216" i="3"/>
  <c r="P68" i="1"/>
  <c r="O213" i="3" l="1"/>
  <c r="O171" i="3" s="1"/>
  <c r="O258" i="3" s="1"/>
  <c r="O223" i="1"/>
  <c r="N223" i="1"/>
  <c r="M223" i="1"/>
  <c r="L223" i="1"/>
  <c r="K223" i="1"/>
  <c r="I223" i="1"/>
  <c r="H223" i="1"/>
  <c r="G223" i="1"/>
  <c r="F223" i="1"/>
  <c r="O130" i="1" l="1"/>
  <c r="N130" i="1"/>
  <c r="M130" i="1"/>
  <c r="L130" i="1"/>
  <c r="K130" i="1"/>
  <c r="I130" i="1"/>
  <c r="H130" i="1"/>
  <c r="G130" i="1"/>
  <c r="O131" i="1" l="1"/>
  <c r="N131" i="1"/>
  <c r="M131" i="1"/>
  <c r="L131" i="1"/>
  <c r="I131" i="1"/>
  <c r="H131" i="1"/>
  <c r="G131" i="1"/>
  <c r="F131" i="1"/>
  <c r="J139" i="1"/>
  <c r="E139" i="1"/>
  <c r="J138" i="1"/>
  <c r="I86" i="3" s="1"/>
  <c r="J137" i="1"/>
  <c r="I85" i="3" s="1"/>
  <c r="E137" i="1"/>
  <c r="D85" i="3" s="1"/>
  <c r="J144" i="1"/>
  <c r="I92" i="3" s="1"/>
  <c r="E144" i="1"/>
  <c r="D92" i="3" s="1"/>
  <c r="E142" i="1"/>
  <c r="E133" i="1" l="1"/>
  <c r="D87" i="3"/>
  <c r="D83" i="3" s="1"/>
  <c r="J133" i="1"/>
  <c r="I87" i="3"/>
  <c r="F130" i="1"/>
  <c r="E86" i="3"/>
  <c r="P142" i="1"/>
  <c r="O90" i="3" s="1"/>
  <c r="D90" i="3"/>
  <c r="E128" i="1"/>
  <c r="J128" i="1"/>
  <c r="E138" i="1"/>
  <c r="P144" i="1"/>
  <c r="O92" i="3" s="1"/>
  <c r="P137" i="1"/>
  <c r="O85" i="3" s="1"/>
  <c r="P139" i="1"/>
  <c r="P133" i="1" l="1"/>
  <c r="O87" i="3"/>
  <c r="P138" i="1"/>
  <c r="O86" i="3" s="1"/>
  <c r="D86" i="3"/>
  <c r="P128" i="1"/>
  <c r="N195" i="3"/>
  <c r="N169" i="3" s="1"/>
  <c r="M195" i="3"/>
  <c r="M169" i="3" s="1"/>
  <c r="L195" i="3"/>
  <c r="L169" i="3" s="1"/>
  <c r="K195" i="3"/>
  <c r="K169" i="3" s="1"/>
  <c r="J195" i="3"/>
  <c r="J169" i="3" s="1"/>
  <c r="H195" i="3"/>
  <c r="H169" i="3" s="1"/>
  <c r="G195" i="3"/>
  <c r="G169" i="3" s="1"/>
  <c r="F195" i="3"/>
  <c r="F169" i="3" s="1"/>
  <c r="E195" i="3"/>
  <c r="E169" i="3" s="1"/>
  <c r="N175" i="3"/>
  <c r="M175" i="3"/>
  <c r="L175" i="3"/>
  <c r="K175" i="3"/>
  <c r="J175" i="3"/>
  <c r="H175" i="3"/>
  <c r="G175" i="3"/>
  <c r="F175" i="3"/>
  <c r="E175" i="3"/>
  <c r="N82" i="3"/>
  <c r="M82" i="3"/>
  <c r="L82" i="3"/>
  <c r="K82" i="3"/>
  <c r="J82" i="3"/>
  <c r="H82" i="3"/>
  <c r="G82" i="3"/>
  <c r="F82" i="3"/>
  <c r="E82" i="3"/>
  <c r="N83" i="3"/>
  <c r="M83" i="3"/>
  <c r="L83" i="3"/>
  <c r="K83" i="3"/>
  <c r="J83" i="3"/>
  <c r="H83" i="3"/>
  <c r="G83" i="3"/>
  <c r="F83" i="3"/>
  <c r="E83" i="3"/>
  <c r="N81" i="3"/>
  <c r="M81" i="3"/>
  <c r="L81" i="3"/>
  <c r="K81" i="3"/>
  <c r="J81" i="3"/>
  <c r="H81" i="3"/>
  <c r="G81" i="3"/>
  <c r="F81" i="3"/>
  <c r="H80" i="3"/>
  <c r="G80" i="3"/>
  <c r="F80" i="3"/>
  <c r="E80" i="3"/>
  <c r="F168" i="3" l="1"/>
  <c r="H168" i="3"/>
  <c r="K168" i="3"/>
  <c r="M168" i="3"/>
  <c r="E168" i="3"/>
  <c r="G168" i="3"/>
  <c r="J168" i="3"/>
  <c r="L168" i="3"/>
  <c r="N168" i="3"/>
  <c r="K80" i="3"/>
  <c r="M80" i="3"/>
  <c r="J80" i="3"/>
  <c r="L80" i="3"/>
  <c r="N80" i="3"/>
  <c r="J248" i="1"/>
  <c r="E248" i="1"/>
  <c r="D203" i="3" s="1"/>
  <c r="J244" i="1"/>
  <c r="E244" i="1"/>
  <c r="J198" i="1"/>
  <c r="I140" i="3" s="1"/>
  <c r="J184" i="1"/>
  <c r="I126" i="3" s="1"/>
  <c r="E184" i="1"/>
  <c r="D126" i="3" s="1"/>
  <c r="J182" i="1"/>
  <c r="I124" i="3" s="1"/>
  <c r="E182" i="1"/>
  <c r="D124" i="3" s="1"/>
  <c r="J178" i="1"/>
  <c r="I115" i="3" s="1"/>
  <c r="E178" i="1"/>
  <c r="D115" i="3" s="1"/>
  <c r="J176" i="1"/>
  <c r="I113" i="3" s="1"/>
  <c r="E176" i="1"/>
  <c r="D113" i="3" s="1"/>
  <c r="J172" i="1"/>
  <c r="J149" i="1"/>
  <c r="I97" i="3" s="1"/>
  <c r="E149" i="1"/>
  <c r="J148" i="1"/>
  <c r="E148" i="1"/>
  <c r="J146" i="1"/>
  <c r="I94" i="3" s="1"/>
  <c r="E146" i="1"/>
  <c r="J108" i="1"/>
  <c r="E108" i="1"/>
  <c r="J94" i="1"/>
  <c r="I62" i="3" s="1"/>
  <c r="E94" i="1"/>
  <c r="D62" i="3" s="1"/>
  <c r="J83" i="1"/>
  <c r="I50" i="3" s="1"/>
  <c r="I27" i="3" s="1"/>
  <c r="E83" i="1"/>
  <c r="D50" i="3" s="1"/>
  <c r="D27" i="3" s="1"/>
  <c r="J82" i="1"/>
  <c r="E82" i="1"/>
  <c r="J79" i="1"/>
  <c r="I45" i="3" s="1"/>
  <c r="I49" i="3" l="1"/>
  <c r="I25" i="3" s="1"/>
  <c r="J64" i="1"/>
  <c r="D49" i="3"/>
  <c r="D25" i="3" s="1"/>
  <c r="E64" i="1"/>
  <c r="J164" i="1"/>
  <c r="J222" i="1"/>
  <c r="J225" i="1"/>
  <c r="I190" i="3"/>
  <c r="E222" i="1"/>
  <c r="E225" i="1"/>
  <c r="D190" i="3"/>
  <c r="D175" i="3" s="1"/>
  <c r="D97" i="3"/>
  <c r="E131" i="1"/>
  <c r="D94" i="3"/>
  <c r="D82" i="3" s="1"/>
  <c r="J69" i="1"/>
  <c r="I76" i="3"/>
  <c r="I29" i="3" s="1"/>
  <c r="E69" i="1"/>
  <c r="D76" i="3"/>
  <c r="D29" i="3" s="1"/>
  <c r="J67" i="1"/>
  <c r="E67" i="1"/>
  <c r="E172" i="1"/>
  <c r="E109" i="3"/>
  <c r="E198" i="1"/>
  <c r="E140" i="3"/>
  <c r="I109" i="3"/>
  <c r="I103" i="3" s="1"/>
  <c r="J223" i="1"/>
  <c r="I203" i="3"/>
  <c r="E130" i="1"/>
  <c r="D96" i="3"/>
  <c r="J130" i="1"/>
  <c r="I96" i="3"/>
  <c r="P248" i="1"/>
  <c r="E223" i="1"/>
  <c r="P244" i="1"/>
  <c r="J131" i="1"/>
  <c r="E79" i="1"/>
  <c r="P176" i="1"/>
  <c r="O113" i="3" s="1"/>
  <c r="P178" i="1"/>
  <c r="O115" i="3" s="1"/>
  <c r="P182" i="1"/>
  <c r="O124" i="3" s="1"/>
  <c r="P184" i="1"/>
  <c r="O126" i="3" s="1"/>
  <c r="P146" i="1"/>
  <c r="O94" i="3" s="1"/>
  <c r="P148" i="1"/>
  <c r="P149" i="1"/>
  <c r="O97" i="3" s="1"/>
  <c r="P82" i="1"/>
  <c r="P83" i="1"/>
  <c r="O50" i="3" s="1"/>
  <c r="O27" i="3" s="1"/>
  <c r="P94" i="1"/>
  <c r="O62" i="3" s="1"/>
  <c r="P108" i="1"/>
  <c r="O49" i="3" l="1"/>
  <c r="O25" i="3" s="1"/>
  <c r="P64" i="1"/>
  <c r="E164" i="1"/>
  <c r="E103" i="3"/>
  <c r="D109" i="3"/>
  <c r="P222" i="1"/>
  <c r="P225" i="1"/>
  <c r="O190" i="3"/>
  <c r="P198" i="1"/>
  <c r="O140" i="3" s="1"/>
  <c r="P69" i="1"/>
  <c r="O76" i="3"/>
  <c r="O29" i="3" s="1"/>
  <c r="D45" i="3"/>
  <c r="P67" i="1"/>
  <c r="D140" i="3"/>
  <c r="P172" i="1"/>
  <c r="P223" i="1"/>
  <c r="O203" i="3"/>
  <c r="P130" i="1"/>
  <c r="O96" i="3"/>
  <c r="P79" i="1"/>
  <c r="P131" i="1"/>
  <c r="P164" i="1" l="1"/>
  <c r="D103" i="3"/>
  <c r="O109" i="3"/>
  <c r="O103" i="3" s="1"/>
  <c r="O45" i="3"/>
  <c r="C229" i="3"/>
  <c r="N232" i="3"/>
  <c r="M232" i="3"/>
  <c r="L232" i="3"/>
  <c r="K232" i="3"/>
  <c r="J232" i="3"/>
  <c r="H232" i="3"/>
  <c r="G232" i="3"/>
  <c r="F232" i="3"/>
  <c r="E232" i="3"/>
  <c r="E229" i="3" s="1"/>
  <c r="E227" i="3" s="1"/>
  <c r="D57" i="1"/>
  <c r="O19" i="1"/>
  <c r="N19" i="1"/>
  <c r="M19" i="1"/>
  <c r="L19" i="1"/>
  <c r="K19" i="1"/>
  <c r="I19" i="1"/>
  <c r="H19" i="1"/>
  <c r="G19" i="1"/>
  <c r="F19" i="1"/>
  <c r="J57" i="1"/>
  <c r="J19" i="1" s="1"/>
  <c r="E57" i="1"/>
  <c r="E19" i="1" s="1"/>
  <c r="F229" i="3" l="1"/>
  <c r="F227" i="3" s="1"/>
  <c r="K229" i="3"/>
  <c r="K227" i="3" s="1"/>
  <c r="M229" i="3"/>
  <c r="M227" i="3" s="1"/>
  <c r="H229" i="3"/>
  <c r="H227" i="3" s="1"/>
  <c r="G229" i="3"/>
  <c r="G227" i="3" s="1"/>
  <c r="J229" i="3"/>
  <c r="J227" i="3" s="1"/>
  <c r="L229" i="3"/>
  <c r="L227" i="3" s="1"/>
  <c r="N229" i="3"/>
  <c r="N227" i="3" s="1"/>
  <c r="I232" i="3"/>
  <c r="P57" i="1"/>
  <c r="D232" i="3"/>
  <c r="I229" i="3" l="1"/>
  <c r="I227" i="3" s="1"/>
  <c r="D229" i="3"/>
  <c r="D227" i="3" s="1"/>
  <c r="P19" i="1"/>
  <c r="O232" i="3"/>
  <c r="O229" i="3" l="1"/>
  <c r="O227" i="3" s="1"/>
  <c r="E151" i="1"/>
  <c r="J61" i="1"/>
  <c r="E61" i="1"/>
  <c r="I254" i="3" l="1"/>
  <c r="D254" i="3"/>
  <c r="P61" i="1"/>
  <c r="O254" i="3" l="1"/>
  <c r="J240" i="1"/>
  <c r="I185" i="3" s="1"/>
  <c r="E240" i="1"/>
  <c r="D185" i="3" s="1"/>
  <c r="C240" i="1"/>
  <c r="P240" i="1" l="1"/>
  <c r="O185" i="3" s="1"/>
  <c r="J183" i="3" l="1"/>
  <c r="G202" i="1"/>
  <c r="F202" i="1" l="1"/>
  <c r="E230" i="3" l="1"/>
  <c r="F230" i="3"/>
  <c r="G230" i="3"/>
  <c r="H230" i="3"/>
  <c r="J230" i="3"/>
  <c r="K230" i="3"/>
  <c r="L230" i="3"/>
  <c r="M230" i="3"/>
  <c r="N230" i="3"/>
  <c r="J257" i="1"/>
  <c r="E257" i="1"/>
  <c r="C257" i="1"/>
  <c r="D257" i="1"/>
  <c r="B257" i="1"/>
  <c r="P257" i="1" l="1"/>
  <c r="E234" i="3" l="1"/>
  <c r="F234" i="3"/>
  <c r="G234" i="3"/>
  <c r="H234" i="3"/>
  <c r="J234" i="3"/>
  <c r="K234" i="3"/>
  <c r="L234" i="3"/>
  <c r="M234" i="3"/>
  <c r="N234" i="3"/>
  <c r="J258" i="1"/>
  <c r="E258" i="1"/>
  <c r="C258" i="1"/>
  <c r="D258" i="1"/>
  <c r="B258" i="1"/>
  <c r="P258" i="1" l="1"/>
  <c r="E199" i="3" l="1"/>
  <c r="F199" i="3"/>
  <c r="G199" i="3"/>
  <c r="H199" i="3"/>
  <c r="J199" i="3"/>
  <c r="K199" i="3"/>
  <c r="L199" i="3"/>
  <c r="M199" i="3"/>
  <c r="N199" i="3"/>
  <c r="E201" i="3"/>
  <c r="F201" i="3"/>
  <c r="G201" i="3"/>
  <c r="H201" i="3"/>
  <c r="J201" i="3"/>
  <c r="K201" i="3"/>
  <c r="L201" i="3"/>
  <c r="M201" i="3"/>
  <c r="N201" i="3"/>
  <c r="E45" i="1"/>
  <c r="E47" i="1"/>
  <c r="J44" i="1"/>
  <c r="J45" i="1"/>
  <c r="I199" i="3" s="1"/>
  <c r="J47" i="1"/>
  <c r="I201" i="3" s="1"/>
  <c r="C45" i="1"/>
  <c r="D45" i="1"/>
  <c r="D47" i="1"/>
  <c r="B47" i="1"/>
  <c r="B45" i="1"/>
  <c r="D201" i="3" l="1"/>
  <c r="P47" i="1"/>
  <c r="O201" i="3" s="1"/>
  <c r="P45" i="1"/>
  <c r="O199" i="3" s="1"/>
  <c r="D199" i="3"/>
  <c r="N180" i="3" l="1"/>
  <c r="J180" i="3" l="1"/>
  <c r="E202" i="3" l="1"/>
  <c r="F202" i="3"/>
  <c r="G202" i="3"/>
  <c r="H202" i="3"/>
  <c r="J202" i="3"/>
  <c r="K202" i="3"/>
  <c r="L202" i="3"/>
  <c r="M202" i="3"/>
  <c r="N202" i="3"/>
  <c r="J247" i="1"/>
  <c r="E247" i="1"/>
  <c r="D206" i="3" s="1"/>
  <c r="B247" i="1"/>
  <c r="I202" i="3" l="1"/>
  <c r="I206" i="3"/>
  <c r="P247" i="1"/>
  <c r="D202" i="3"/>
  <c r="N187" i="3"/>
  <c r="M187" i="3"/>
  <c r="L187" i="3"/>
  <c r="K187" i="3"/>
  <c r="J187" i="3"/>
  <c r="H187" i="3"/>
  <c r="G187" i="3"/>
  <c r="F187" i="3"/>
  <c r="E187" i="3"/>
  <c r="J153" i="1"/>
  <c r="E153" i="1"/>
  <c r="D153" i="1"/>
  <c r="C153" i="1"/>
  <c r="B153" i="1"/>
  <c r="D278" i="1"/>
  <c r="C278" i="1"/>
  <c r="B278" i="1"/>
  <c r="D241" i="1"/>
  <c r="C241" i="1"/>
  <c r="B241" i="1"/>
  <c r="O202" i="3" l="1"/>
  <c r="O206" i="3"/>
  <c r="P153" i="1"/>
  <c r="J278" i="1"/>
  <c r="E278" i="1"/>
  <c r="J241" i="1"/>
  <c r="E241" i="1"/>
  <c r="D187" i="3" l="1"/>
  <c r="P278" i="1"/>
  <c r="I187" i="3"/>
  <c r="P241" i="1"/>
  <c r="O187" i="3" l="1"/>
  <c r="K296" i="1"/>
  <c r="J283" i="1" l="1"/>
  <c r="E283" i="1"/>
  <c r="E243" i="1"/>
  <c r="D189" i="3" s="1"/>
  <c r="J243" i="1" l="1"/>
  <c r="P283" i="1"/>
  <c r="P243" i="1" l="1"/>
  <c r="O189" i="3" s="1"/>
  <c r="I189" i="3"/>
  <c r="J279" i="1"/>
  <c r="E279" i="1"/>
  <c r="P279" i="1" l="1"/>
  <c r="N224" i="3" l="1"/>
  <c r="M224" i="3"/>
  <c r="L224" i="3"/>
  <c r="K224" i="3"/>
  <c r="J224" i="3"/>
  <c r="H224" i="3"/>
  <c r="G224" i="3"/>
  <c r="F224" i="3"/>
  <c r="E224" i="3"/>
  <c r="J158" i="1"/>
  <c r="I224" i="3" s="1"/>
  <c r="E158" i="1"/>
  <c r="D224" i="3" s="1"/>
  <c r="P158" i="1" l="1"/>
  <c r="D170" i="1"/>
  <c r="O224" i="3" l="1"/>
  <c r="B275" i="1" l="1"/>
  <c r="J275" i="1"/>
  <c r="I183" i="3" s="1"/>
  <c r="P275" i="1" l="1"/>
  <c r="O183" i="3" s="1"/>
  <c r="D200" i="1" l="1"/>
  <c r="F223" i="3"/>
  <c r="G223" i="3"/>
  <c r="H223" i="3"/>
  <c r="J223" i="3"/>
  <c r="K223" i="3"/>
  <c r="L223" i="3"/>
  <c r="M223" i="3"/>
  <c r="N223" i="3"/>
  <c r="F166" i="3"/>
  <c r="G166" i="3"/>
  <c r="H166" i="3"/>
  <c r="J166" i="3"/>
  <c r="K166" i="3"/>
  <c r="L166" i="3"/>
  <c r="M166" i="3"/>
  <c r="N166" i="3"/>
  <c r="G307" i="1"/>
  <c r="H307" i="1"/>
  <c r="I307" i="1"/>
  <c r="K307" i="1"/>
  <c r="L307" i="1"/>
  <c r="M307" i="1"/>
  <c r="N307" i="1"/>
  <c r="O307" i="1"/>
  <c r="G296" i="1"/>
  <c r="H296" i="1"/>
  <c r="L296" i="1"/>
  <c r="M296" i="1"/>
  <c r="N296" i="1"/>
  <c r="O296" i="1"/>
  <c r="G126" i="1"/>
  <c r="H126" i="1"/>
  <c r="I126" i="1"/>
  <c r="L126" i="1"/>
  <c r="M126" i="1"/>
  <c r="N126" i="1"/>
  <c r="I296" i="1" l="1"/>
  <c r="E223" i="3" l="1"/>
  <c r="F296" i="1" l="1"/>
  <c r="F126" i="1"/>
  <c r="D261" i="1" l="1"/>
  <c r="F307" i="1" l="1"/>
  <c r="O126" i="1" l="1"/>
  <c r="K126" i="1"/>
  <c r="J219" i="1"/>
  <c r="E219" i="1"/>
  <c r="C219" i="1"/>
  <c r="D219" i="1"/>
  <c r="B219" i="1"/>
  <c r="P219" i="1" l="1"/>
  <c r="E17" i="3"/>
  <c r="F17" i="3"/>
  <c r="G17" i="3"/>
  <c r="H17" i="3"/>
  <c r="J17" i="3"/>
  <c r="K17" i="3"/>
  <c r="L17" i="3"/>
  <c r="M17" i="3"/>
  <c r="N17" i="3"/>
  <c r="E84" i="3"/>
  <c r="F84" i="3"/>
  <c r="G84" i="3"/>
  <c r="H84" i="3"/>
  <c r="J84" i="3"/>
  <c r="K84" i="3"/>
  <c r="L84" i="3"/>
  <c r="M84" i="3"/>
  <c r="N84" i="3"/>
  <c r="E89" i="3"/>
  <c r="F89" i="3"/>
  <c r="G89" i="3"/>
  <c r="H89" i="3"/>
  <c r="J89" i="3"/>
  <c r="K89" i="3"/>
  <c r="L89" i="3"/>
  <c r="M89" i="3"/>
  <c r="N89" i="3"/>
  <c r="E91" i="3"/>
  <c r="F91" i="3"/>
  <c r="G91" i="3"/>
  <c r="H91" i="3"/>
  <c r="J91" i="3"/>
  <c r="K91" i="3"/>
  <c r="L91" i="3"/>
  <c r="M91" i="3"/>
  <c r="N91" i="3"/>
  <c r="E93" i="3"/>
  <c r="F93" i="3"/>
  <c r="G93" i="3"/>
  <c r="H93" i="3"/>
  <c r="J93" i="3"/>
  <c r="K93" i="3"/>
  <c r="L93" i="3"/>
  <c r="M93" i="3"/>
  <c r="N93" i="3"/>
  <c r="E95" i="3"/>
  <c r="F95" i="3"/>
  <c r="G95" i="3"/>
  <c r="H95" i="3"/>
  <c r="J95" i="3"/>
  <c r="K95" i="3"/>
  <c r="L95" i="3"/>
  <c r="M95" i="3"/>
  <c r="N95" i="3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6" i="3"/>
  <c r="F106" i="3"/>
  <c r="G106" i="3"/>
  <c r="H106" i="3"/>
  <c r="K106" i="3"/>
  <c r="L106" i="3"/>
  <c r="M106" i="3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4" i="3"/>
  <c r="F114" i="3"/>
  <c r="G114" i="3"/>
  <c r="H114" i="3"/>
  <c r="J114" i="3"/>
  <c r="K114" i="3"/>
  <c r="L114" i="3"/>
  <c r="M114" i="3"/>
  <c r="N114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5" i="3"/>
  <c r="F125" i="3"/>
  <c r="G125" i="3"/>
  <c r="H125" i="3"/>
  <c r="J125" i="3"/>
  <c r="K125" i="3"/>
  <c r="L125" i="3"/>
  <c r="M125" i="3"/>
  <c r="N125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8" i="3"/>
  <c r="F138" i="3"/>
  <c r="G138" i="3"/>
  <c r="H138" i="3"/>
  <c r="J138" i="3"/>
  <c r="K138" i="3"/>
  <c r="L138" i="3"/>
  <c r="M138" i="3"/>
  <c r="N138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8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K149" i="3"/>
  <c r="L149" i="3"/>
  <c r="M149" i="3"/>
  <c r="N149" i="3"/>
  <c r="E152" i="3"/>
  <c r="F152" i="3"/>
  <c r="G152" i="3"/>
  <c r="H152" i="3"/>
  <c r="J152" i="3"/>
  <c r="K152" i="3"/>
  <c r="L152" i="3"/>
  <c r="M152" i="3"/>
  <c r="N152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5" i="3"/>
  <c r="F165" i="3"/>
  <c r="G165" i="3"/>
  <c r="H165" i="3"/>
  <c r="J165" i="3"/>
  <c r="K165" i="3"/>
  <c r="L165" i="3"/>
  <c r="M165" i="3"/>
  <c r="N165" i="3"/>
  <c r="E173" i="3"/>
  <c r="E172" i="3" s="1"/>
  <c r="F173" i="3"/>
  <c r="F172" i="3" s="1"/>
  <c r="G173" i="3"/>
  <c r="G172" i="3" s="1"/>
  <c r="H173" i="3"/>
  <c r="H172" i="3" s="1"/>
  <c r="J173" i="3"/>
  <c r="J172" i="3" s="1"/>
  <c r="K173" i="3"/>
  <c r="K172" i="3" s="1"/>
  <c r="L173" i="3"/>
  <c r="L172" i="3" s="1"/>
  <c r="M173" i="3"/>
  <c r="M172" i="3" s="1"/>
  <c r="N173" i="3"/>
  <c r="N172" i="3" s="1"/>
  <c r="E177" i="3"/>
  <c r="F177" i="3"/>
  <c r="G177" i="3"/>
  <c r="H177" i="3"/>
  <c r="J177" i="3"/>
  <c r="K177" i="3"/>
  <c r="L177" i="3"/>
  <c r="M177" i="3"/>
  <c r="N177" i="3"/>
  <c r="E188" i="3"/>
  <c r="F188" i="3"/>
  <c r="G188" i="3"/>
  <c r="H188" i="3"/>
  <c r="J188" i="3"/>
  <c r="K188" i="3"/>
  <c r="L188" i="3"/>
  <c r="M188" i="3"/>
  <c r="N188" i="3"/>
  <c r="E198" i="3"/>
  <c r="F198" i="3"/>
  <c r="G198" i="3"/>
  <c r="H198" i="3"/>
  <c r="J198" i="3"/>
  <c r="K198" i="3"/>
  <c r="L198" i="3"/>
  <c r="M198" i="3"/>
  <c r="N198" i="3"/>
  <c r="E214" i="3"/>
  <c r="F214" i="3"/>
  <c r="G214" i="3"/>
  <c r="H214" i="3"/>
  <c r="J214" i="3"/>
  <c r="K214" i="3"/>
  <c r="L214" i="3"/>
  <c r="M214" i="3"/>
  <c r="N214" i="3"/>
  <c r="E217" i="3"/>
  <c r="F217" i="3"/>
  <c r="G217" i="3"/>
  <c r="H217" i="3"/>
  <c r="J217" i="3"/>
  <c r="K217" i="3"/>
  <c r="L217" i="3"/>
  <c r="M217" i="3"/>
  <c r="N217" i="3"/>
  <c r="E218" i="3"/>
  <c r="F218" i="3"/>
  <c r="G218" i="3"/>
  <c r="H218" i="3"/>
  <c r="J218" i="3"/>
  <c r="K218" i="3"/>
  <c r="L218" i="3"/>
  <c r="M218" i="3"/>
  <c r="N218" i="3"/>
  <c r="E219" i="3"/>
  <c r="F219" i="3"/>
  <c r="G219" i="3"/>
  <c r="H219" i="3"/>
  <c r="J219" i="3"/>
  <c r="K219" i="3"/>
  <c r="L219" i="3"/>
  <c r="M219" i="3"/>
  <c r="N219" i="3"/>
  <c r="F221" i="3"/>
  <c r="G221" i="3"/>
  <c r="H221" i="3"/>
  <c r="J221" i="3"/>
  <c r="K221" i="3"/>
  <c r="L221" i="3"/>
  <c r="M221" i="3"/>
  <c r="N221" i="3"/>
  <c r="E231" i="3"/>
  <c r="F231" i="3"/>
  <c r="G231" i="3"/>
  <c r="H231" i="3"/>
  <c r="J231" i="3"/>
  <c r="K231" i="3"/>
  <c r="L231" i="3"/>
  <c r="M231" i="3"/>
  <c r="N231" i="3"/>
  <c r="E233" i="3"/>
  <c r="F233" i="3"/>
  <c r="G233" i="3"/>
  <c r="H233" i="3"/>
  <c r="J233" i="3"/>
  <c r="K233" i="3"/>
  <c r="L233" i="3"/>
  <c r="M233" i="3"/>
  <c r="N233" i="3"/>
  <c r="E236" i="3"/>
  <c r="E235" i="3" s="1"/>
  <c r="F236" i="3"/>
  <c r="F235" i="3" s="1"/>
  <c r="G236" i="3"/>
  <c r="H236" i="3"/>
  <c r="J236" i="3"/>
  <c r="K236" i="3"/>
  <c r="K235" i="3" s="1"/>
  <c r="L236" i="3"/>
  <c r="M236" i="3"/>
  <c r="M235" i="3" s="1"/>
  <c r="N236" i="3"/>
  <c r="E239" i="3"/>
  <c r="E238" i="3" s="1"/>
  <c r="F239" i="3"/>
  <c r="F238" i="3" s="1"/>
  <c r="G239" i="3"/>
  <c r="G238" i="3" s="1"/>
  <c r="H239" i="3"/>
  <c r="H238" i="3" s="1"/>
  <c r="J239" i="3"/>
  <c r="J238" i="3" s="1"/>
  <c r="K239" i="3"/>
  <c r="K238" i="3" s="1"/>
  <c r="L239" i="3"/>
  <c r="L238" i="3" s="1"/>
  <c r="M239" i="3"/>
  <c r="M238" i="3" s="1"/>
  <c r="N239" i="3"/>
  <c r="N238" i="3" s="1"/>
  <c r="E240" i="3"/>
  <c r="F240" i="3"/>
  <c r="G240" i="3"/>
  <c r="H240" i="3"/>
  <c r="J240" i="3"/>
  <c r="K240" i="3"/>
  <c r="L240" i="3"/>
  <c r="M240" i="3"/>
  <c r="N240" i="3"/>
  <c r="D241" i="3"/>
  <c r="E241" i="3"/>
  <c r="F241" i="3"/>
  <c r="G241" i="3"/>
  <c r="H241" i="3"/>
  <c r="J241" i="3"/>
  <c r="K241" i="3"/>
  <c r="L241" i="3"/>
  <c r="M241" i="3"/>
  <c r="N241" i="3"/>
  <c r="J77" i="1"/>
  <c r="J309" i="1"/>
  <c r="J310" i="1"/>
  <c r="J311" i="1"/>
  <c r="I236" i="3" s="1"/>
  <c r="J312" i="1"/>
  <c r="J313" i="1"/>
  <c r="I240" i="3" s="1"/>
  <c r="J314" i="1"/>
  <c r="I241" i="3" s="1"/>
  <c r="J315" i="1"/>
  <c r="I245" i="3" s="1"/>
  <c r="I244" i="3" s="1"/>
  <c r="J308" i="1"/>
  <c r="J298" i="1"/>
  <c r="I173" i="3" s="1"/>
  <c r="I172" i="3" s="1"/>
  <c r="J299" i="1"/>
  <c r="J300" i="1"/>
  <c r="I217" i="3" s="1"/>
  <c r="J301" i="1"/>
  <c r="I218" i="3" s="1"/>
  <c r="J302" i="1"/>
  <c r="J297" i="1"/>
  <c r="J294" i="1"/>
  <c r="J269" i="1"/>
  <c r="J270" i="1"/>
  <c r="I165" i="3" s="1"/>
  <c r="J271" i="1"/>
  <c r="J272" i="1"/>
  <c r="I178" i="3" s="1"/>
  <c r="J273" i="1"/>
  <c r="I180" i="3" s="1"/>
  <c r="J276" i="1"/>
  <c r="J287" i="1"/>
  <c r="J288" i="1"/>
  <c r="J291" i="1"/>
  <c r="J268" i="1"/>
  <c r="J264" i="1"/>
  <c r="J230" i="1"/>
  <c r="J231" i="1"/>
  <c r="J232" i="1"/>
  <c r="I158" i="3" s="1"/>
  <c r="J233" i="1"/>
  <c r="I159" i="3" s="1"/>
  <c r="J234" i="1"/>
  <c r="I160" i="3" s="1"/>
  <c r="J235" i="1"/>
  <c r="J236" i="1"/>
  <c r="J237" i="1"/>
  <c r="J238" i="1"/>
  <c r="J239" i="1"/>
  <c r="J242" i="1"/>
  <c r="I188" i="3" s="1"/>
  <c r="J253" i="1"/>
  <c r="J254" i="1"/>
  <c r="J259" i="1"/>
  <c r="J261" i="1"/>
  <c r="J228" i="1"/>
  <c r="J213" i="1"/>
  <c r="I142" i="3" s="1"/>
  <c r="J214" i="1"/>
  <c r="J215" i="1"/>
  <c r="J216" i="1"/>
  <c r="J218" i="1"/>
  <c r="J211" i="1"/>
  <c r="J205" i="1"/>
  <c r="I117" i="3" s="1"/>
  <c r="J206" i="1"/>
  <c r="I118" i="3" s="1"/>
  <c r="J204" i="1"/>
  <c r="J170" i="1"/>
  <c r="J171" i="1"/>
  <c r="J173" i="1"/>
  <c r="I110" i="3" s="1"/>
  <c r="J174" i="1"/>
  <c r="J175" i="1"/>
  <c r="I112" i="3" s="1"/>
  <c r="J177" i="1"/>
  <c r="I114" i="3" s="1"/>
  <c r="J179" i="1"/>
  <c r="I116" i="3" s="1"/>
  <c r="J180" i="1"/>
  <c r="I122" i="3" s="1"/>
  <c r="J181" i="1"/>
  <c r="I123" i="3" s="1"/>
  <c r="J183" i="1"/>
  <c r="I125" i="3" s="1"/>
  <c r="J185" i="1"/>
  <c r="I127" i="3" s="1"/>
  <c r="J186" i="1"/>
  <c r="I128" i="3" s="1"/>
  <c r="J187" i="1"/>
  <c r="I129" i="3" s="1"/>
  <c r="J188" i="1"/>
  <c r="I130" i="3" s="1"/>
  <c r="J189" i="1"/>
  <c r="J196" i="1"/>
  <c r="J197" i="1"/>
  <c r="J200" i="1"/>
  <c r="I253" i="3" s="1"/>
  <c r="J167" i="1"/>
  <c r="J136" i="1"/>
  <c r="J141" i="1"/>
  <c r="J143" i="1"/>
  <c r="I91" i="3" s="1"/>
  <c r="J145" i="1"/>
  <c r="I93" i="3" s="1"/>
  <c r="J147" i="1"/>
  <c r="I95" i="3" s="1"/>
  <c r="J150" i="1"/>
  <c r="I98" i="3" s="1"/>
  <c r="J151" i="1"/>
  <c r="I99" i="3" s="1"/>
  <c r="J135" i="1"/>
  <c r="J81" i="1"/>
  <c r="I48" i="3" s="1"/>
  <c r="J84" i="1"/>
  <c r="I51" i="3" s="1"/>
  <c r="J93" i="1"/>
  <c r="I60" i="3" s="1"/>
  <c r="J96" i="1"/>
  <c r="I64" i="3" s="1"/>
  <c r="J97" i="1"/>
  <c r="I65" i="3" s="1"/>
  <c r="J99" i="1"/>
  <c r="I67" i="3" s="1"/>
  <c r="J107" i="1"/>
  <c r="I75" i="3" s="1"/>
  <c r="J76" i="1"/>
  <c r="J26" i="1"/>
  <c r="J27" i="1"/>
  <c r="J28" i="1"/>
  <c r="I119" i="3" s="1"/>
  <c r="J29" i="1"/>
  <c r="I120" i="3" s="1"/>
  <c r="J30" i="1"/>
  <c r="I121" i="3" s="1"/>
  <c r="J31" i="1"/>
  <c r="J32" i="1"/>
  <c r="J33" i="1"/>
  <c r="J34" i="1"/>
  <c r="J35" i="1"/>
  <c r="J36" i="1"/>
  <c r="I148" i="3" s="1"/>
  <c r="J37" i="1"/>
  <c r="I149" i="3" s="1"/>
  <c r="J38" i="1"/>
  <c r="I150" i="3" s="1"/>
  <c r="J39" i="1"/>
  <c r="I152" i="3" s="1"/>
  <c r="J40" i="1"/>
  <c r="I153" i="3" s="1"/>
  <c r="J41" i="1"/>
  <c r="I154" i="3" s="1"/>
  <c r="I198" i="3"/>
  <c r="J49" i="1"/>
  <c r="J50" i="1"/>
  <c r="J51" i="1"/>
  <c r="J52" i="1"/>
  <c r="I221" i="3" s="1"/>
  <c r="J53" i="1"/>
  <c r="J54" i="1"/>
  <c r="J55" i="1"/>
  <c r="I230" i="3" s="1"/>
  <c r="J56" i="1"/>
  <c r="I231" i="3" s="1"/>
  <c r="J58" i="1"/>
  <c r="J59" i="1"/>
  <c r="J60" i="1"/>
  <c r="I239" i="3" s="1"/>
  <c r="I238" i="3" s="1"/>
  <c r="J21" i="1"/>
  <c r="J18" i="1" l="1"/>
  <c r="M100" i="3"/>
  <c r="K100" i="3"/>
  <c r="G100" i="3"/>
  <c r="L100" i="3"/>
  <c r="H100" i="3"/>
  <c r="F100" i="3"/>
  <c r="J286" i="1"/>
  <c r="J285" i="1" s="1"/>
  <c r="N155" i="3"/>
  <c r="L155" i="3"/>
  <c r="J155" i="3"/>
  <c r="G155" i="3"/>
  <c r="M155" i="3"/>
  <c r="K155" i="3"/>
  <c r="H155" i="3"/>
  <c r="F155" i="3"/>
  <c r="I19" i="3"/>
  <c r="I36" i="3"/>
  <c r="I237" i="3"/>
  <c r="I235" i="3" s="1"/>
  <c r="I139" i="3"/>
  <c r="M212" i="3"/>
  <c r="M167" i="3" s="1"/>
  <c r="K212" i="3"/>
  <c r="K167" i="3" s="1"/>
  <c r="H212" i="3"/>
  <c r="H167" i="3" s="1"/>
  <c r="F212" i="3"/>
  <c r="F167" i="3" s="1"/>
  <c r="N212" i="3"/>
  <c r="N167" i="3" s="1"/>
  <c r="L212" i="3"/>
  <c r="L167" i="3" s="1"/>
  <c r="J212" i="3"/>
  <c r="J167" i="3" s="1"/>
  <c r="G212" i="3"/>
  <c r="G167" i="3" s="1"/>
  <c r="H79" i="3"/>
  <c r="M79" i="3"/>
  <c r="K79" i="3"/>
  <c r="L79" i="3"/>
  <c r="F79" i="3"/>
  <c r="G79" i="3"/>
  <c r="E79" i="3"/>
  <c r="N79" i="3"/>
  <c r="J79" i="3"/>
  <c r="J202" i="1"/>
  <c r="I211" i="3"/>
  <c r="I210" i="3" s="1"/>
  <c r="I184" i="3"/>
  <c r="I84" i="3"/>
  <c r="I107" i="3"/>
  <c r="I89" i="3"/>
  <c r="I234" i="3"/>
  <c r="I233" i="3" s="1"/>
  <c r="I161" i="3"/>
  <c r="I157" i="3"/>
  <c r="I166" i="3"/>
  <c r="J307" i="1"/>
  <c r="I223" i="3"/>
  <c r="J296" i="1"/>
  <c r="J281" i="1"/>
  <c r="J266" i="1" s="1"/>
  <c r="I145" i="3"/>
  <c r="I143" i="3"/>
  <c r="I219" i="3"/>
  <c r="I144" i="3"/>
  <c r="E153" i="3"/>
  <c r="E146" i="3" s="1"/>
  <c r="I177" i="3"/>
  <c r="L228" i="3"/>
  <c r="J228" i="3"/>
  <c r="G228" i="3"/>
  <c r="I108" i="3"/>
  <c r="I214" i="3"/>
  <c r="I146" i="3"/>
  <c r="I131" i="3"/>
  <c r="N228" i="3"/>
  <c r="H228" i="3"/>
  <c r="M228" i="3"/>
  <c r="M226" i="3" s="1"/>
  <c r="K228" i="3"/>
  <c r="K226" i="3" s="1"/>
  <c r="F228" i="3"/>
  <c r="F226" i="3" s="1"/>
  <c r="E228" i="3"/>
  <c r="E226" i="3" s="1"/>
  <c r="I162" i="3"/>
  <c r="I228" i="3"/>
  <c r="M146" i="3"/>
  <c r="F146" i="3"/>
  <c r="I138" i="3"/>
  <c r="I111" i="3"/>
  <c r="N235" i="3"/>
  <c r="L235" i="3"/>
  <c r="J235" i="3"/>
  <c r="H235" i="3"/>
  <c r="G235" i="3"/>
  <c r="K146" i="3"/>
  <c r="L141" i="3"/>
  <c r="H141" i="3"/>
  <c r="N141" i="3"/>
  <c r="J141" i="3"/>
  <c r="G141" i="3"/>
  <c r="M141" i="3"/>
  <c r="K141" i="3"/>
  <c r="F141" i="3"/>
  <c r="E141" i="3"/>
  <c r="N146" i="3"/>
  <c r="L146" i="3"/>
  <c r="J146" i="3"/>
  <c r="H146" i="3"/>
  <c r="G146" i="3"/>
  <c r="J256" i="1"/>
  <c r="J221" i="1" s="1"/>
  <c r="I250" i="3" l="1"/>
  <c r="I242" i="3" s="1"/>
  <c r="M255" i="3"/>
  <c r="N321" i="1" s="1"/>
  <c r="F255" i="3"/>
  <c r="G321" i="1" s="1"/>
  <c r="K255" i="3"/>
  <c r="L321" i="1" s="1"/>
  <c r="I155" i="3"/>
  <c r="I222" i="3"/>
  <c r="I17" i="3"/>
  <c r="I79" i="3"/>
  <c r="I141" i="3"/>
  <c r="L226" i="3"/>
  <c r="L255" i="3" s="1"/>
  <c r="M321" i="1" s="1"/>
  <c r="G226" i="3"/>
  <c r="G255" i="3" s="1"/>
  <c r="H321" i="1" s="1"/>
  <c r="N226" i="3"/>
  <c r="J226" i="3"/>
  <c r="I226" i="3"/>
  <c r="H226" i="3"/>
  <c r="H255" i="3" s="1"/>
  <c r="I321" i="1" s="1"/>
  <c r="E311" i="1"/>
  <c r="D236" i="3" s="1"/>
  <c r="D311" i="1"/>
  <c r="B311" i="1"/>
  <c r="E166" i="3" l="1"/>
  <c r="E155" i="3" s="1"/>
  <c r="E221" i="3"/>
  <c r="J156" i="1"/>
  <c r="P311" i="1"/>
  <c r="O236" i="3" s="1"/>
  <c r="J127" i="1" l="1"/>
  <c r="J126" i="1" s="1"/>
  <c r="I215" i="3"/>
  <c r="I212" i="3" s="1"/>
  <c r="I167" i="3" s="1"/>
  <c r="E212" i="3"/>
  <c r="E242" i="1" l="1"/>
  <c r="C242" i="1"/>
  <c r="D242" i="1"/>
  <c r="B242" i="1"/>
  <c r="D188" i="3" l="1"/>
  <c r="P242" i="1"/>
  <c r="O188" i="3" s="1"/>
  <c r="E127" i="3" l="1"/>
  <c r="E100" i="3" s="1"/>
  <c r="E255" i="3" l="1"/>
  <c r="F321" i="1" s="1"/>
  <c r="J78" i="1"/>
  <c r="J63" i="1" s="1"/>
  <c r="I38" i="3" l="1"/>
  <c r="I24" i="3" s="1"/>
  <c r="J210" i="1"/>
  <c r="D53" i="1"/>
  <c r="D291" i="1"/>
  <c r="D256" i="1"/>
  <c r="C214" i="1"/>
  <c r="B214" i="1"/>
  <c r="D205" i="1"/>
  <c r="P314" i="1"/>
  <c r="O241" i="3" s="1"/>
  <c r="E309" i="1"/>
  <c r="E310" i="1"/>
  <c r="E312" i="1"/>
  <c r="E313" i="1"/>
  <c r="D240" i="3" s="1"/>
  <c r="E315" i="1"/>
  <c r="D245" i="3" s="1"/>
  <c r="D244" i="3" s="1"/>
  <c r="E308" i="1"/>
  <c r="K306" i="1"/>
  <c r="L306" i="1"/>
  <c r="M306" i="1"/>
  <c r="N306" i="1"/>
  <c r="O306" i="1"/>
  <c r="F306" i="1"/>
  <c r="G306" i="1"/>
  <c r="H306" i="1"/>
  <c r="I306" i="1"/>
  <c r="E298" i="1"/>
  <c r="D173" i="3" s="1"/>
  <c r="D172" i="3" s="1"/>
  <c r="E299" i="1"/>
  <c r="E300" i="1"/>
  <c r="D217" i="3" s="1"/>
  <c r="E301" i="1"/>
  <c r="D218" i="3" s="1"/>
  <c r="E302" i="1"/>
  <c r="E297" i="1"/>
  <c r="E296" i="1" s="1"/>
  <c r="K295" i="1"/>
  <c r="L295" i="1"/>
  <c r="M295" i="1"/>
  <c r="N295" i="1"/>
  <c r="O295" i="1"/>
  <c r="F295" i="1"/>
  <c r="G295" i="1"/>
  <c r="H295" i="1"/>
  <c r="I295" i="1"/>
  <c r="J293" i="1"/>
  <c r="J292" i="1" s="1"/>
  <c r="E294" i="1"/>
  <c r="E293" i="1" s="1"/>
  <c r="E292" i="1" s="1"/>
  <c r="K293" i="1"/>
  <c r="K292" i="1" s="1"/>
  <c r="L293" i="1"/>
  <c r="L292" i="1" s="1"/>
  <c r="M293" i="1"/>
  <c r="M292" i="1" s="1"/>
  <c r="N293" i="1"/>
  <c r="N292" i="1" s="1"/>
  <c r="O293" i="1"/>
  <c r="O292" i="1" s="1"/>
  <c r="F293" i="1"/>
  <c r="F292" i="1" s="1"/>
  <c r="G293" i="1"/>
  <c r="G292" i="1" s="1"/>
  <c r="H293" i="1"/>
  <c r="H292" i="1" s="1"/>
  <c r="I293" i="1"/>
  <c r="I292" i="1" s="1"/>
  <c r="E288" i="1"/>
  <c r="E291" i="1"/>
  <c r="E287" i="1"/>
  <c r="K285" i="1"/>
  <c r="L285" i="1"/>
  <c r="M285" i="1"/>
  <c r="N285" i="1"/>
  <c r="O285" i="1"/>
  <c r="F285" i="1"/>
  <c r="G285" i="1"/>
  <c r="H285" i="1"/>
  <c r="I285" i="1"/>
  <c r="E269" i="1"/>
  <c r="E270" i="1"/>
  <c r="D165" i="3" s="1"/>
  <c r="E271" i="1"/>
  <c r="E272" i="1"/>
  <c r="D178" i="3" s="1"/>
  <c r="E273" i="1"/>
  <c r="D180" i="3" s="1"/>
  <c r="E276" i="1"/>
  <c r="E281" i="1"/>
  <c r="E268" i="1"/>
  <c r="E266" i="1" s="1"/>
  <c r="K265" i="1"/>
  <c r="M265" i="1"/>
  <c r="N265" i="1"/>
  <c r="O265" i="1"/>
  <c r="F265" i="1"/>
  <c r="G265" i="1"/>
  <c r="H265" i="1"/>
  <c r="I265" i="1"/>
  <c r="J263" i="1"/>
  <c r="J262" i="1" s="1"/>
  <c r="E264" i="1"/>
  <c r="E263" i="1" s="1"/>
  <c r="E262" i="1" s="1"/>
  <c r="K263" i="1"/>
  <c r="K262" i="1" s="1"/>
  <c r="L263" i="1"/>
  <c r="L262" i="1" s="1"/>
  <c r="M263" i="1"/>
  <c r="M262" i="1" s="1"/>
  <c r="N263" i="1"/>
  <c r="N262" i="1" s="1"/>
  <c r="O263" i="1"/>
  <c r="O262" i="1" s="1"/>
  <c r="F263" i="1"/>
  <c r="F262" i="1" s="1"/>
  <c r="G263" i="1"/>
  <c r="G262" i="1" s="1"/>
  <c r="H263" i="1"/>
  <c r="H262" i="1" s="1"/>
  <c r="I263" i="1"/>
  <c r="I262" i="1" s="1"/>
  <c r="E230" i="1"/>
  <c r="E231" i="1"/>
  <c r="D157" i="3" s="1"/>
  <c r="E232" i="1"/>
  <c r="E233" i="1"/>
  <c r="D159" i="3" s="1"/>
  <c r="E234" i="1"/>
  <c r="E235" i="1"/>
  <c r="E236" i="1"/>
  <c r="E237" i="1"/>
  <c r="E238" i="1"/>
  <c r="E239" i="1"/>
  <c r="P239" i="1" s="1"/>
  <c r="E253" i="1"/>
  <c r="E254" i="1"/>
  <c r="P254" i="1" s="1"/>
  <c r="E256" i="1"/>
  <c r="P256" i="1" s="1"/>
  <c r="E259" i="1"/>
  <c r="P259" i="1" s="1"/>
  <c r="E261" i="1"/>
  <c r="E228" i="1"/>
  <c r="K220" i="1"/>
  <c r="L220" i="1"/>
  <c r="M220" i="1"/>
  <c r="N220" i="1"/>
  <c r="O220" i="1"/>
  <c r="F220" i="1"/>
  <c r="G220" i="1"/>
  <c r="H220" i="1"/>
  <c r="I220" i="1"/>
  <c r="E213" i="1"/>
  <c r="E214" i="1"/>
  <c r="E215" i="1"/>
  <c r="E216" i="1"/>
  <c r="E218" i="1"/>
  <c r="E211" i="1"/>
  <c r="K209" i="1"/>
  <c r="L209" i="1"/>
  <c r="M209" i="1"/>
  <c r="N209" i="1"/>
  <c r="F209" i="1"/>
  <c r="G209" i="1"/>
  <c r="H209" i="1"/>
  <c r="I209" i="1"/>
  <c r="E205" i="1"/>
  <c r="D117" i="3" s="1"/>
  <c r="E206" i="1"/>
  <c r="D118" i="3" s="1"/>
  <c r="E204" i="1"/>
  <c r="K201" i="1"/>
  <c r="L201" i="1"/>
  <c r="M201" i="1"/>
  <c r="N201" i="1"/>
  <c r="O201" i="1"/>
  <c r="F201" i="1"/>
  <c r="G201" i="1"/>
  <c r="H201" i="1"/>
  <c r="I201" i="1"/>
  <c r="E169" i="1"/>
  <c r="D106" i="3" s="1"/>
  <c r="E170" i="1"/>
  <c r="E171" i="1"/>
  <c r="E173" i="1"/>
  <c r="D110" i="3" s="1"/>
  <c r="E174" i="1"/>
  <c r="E175" i="1"/>
  <c r="D112" i="3" s="1"/>
  <c r="E177" i="1"/>
  <c r="D114" i="3" s="1"/>
  <c r="E179" i="1"/>
  <c r="E180" i="1"/>
  <c r="D122" i="3" s="1"/>
  <c r="E181" i="1"/>
  <c r="E183" i="1"/>
  <c r="D125" i="3" s="1"/>
  <c r="E185" i="1"/>
  <c r="D127" i="3" s="1"/>
  <c r="E186" i="1"/>
  <c r="D128" i="3" s="1"/>
  <c r="E187" i="1"/>
  <c r="D129" i="3" s="1"/>
  <c r="E188" i="1"/>
  <c r="D130" i="3" s="1"/>
  <c r="E189" i="1"/>
  <c r="E196" i="1"/>
  <c r="E197" i="1"/>
  <c r="E200" i="1"/>
  <c r="E167" i="1"/>
  <c r="L160" i="1"/>
  <c r="M160" i="1"/>
  <c r="N160" i="1"/>
  <c r="F160" i="1"/>
  <c r="G160" i="1"/>
  <c r="H160" i="1"/>
  <c r="I160" i="1"/>
  <c r="E136" i="1"/>
  <c r="E141" i="1"/>
  <c r="E143" i="1"/>
  <c r="D91" i="3" s="1"/>
  <c r="E145" i="1"/>
  <c r="D93" i="3" s="1"/>
  <c r="E147" i="1"/>
  <c r="D95" i="3" s="1"/>
  <c r="E150" i="1"/>
  <c r="D98" i="3" s="1"/>
  <c r="D99" i="3"/>
  <c r="E156" i="1"/>
  <c r="E135" i="1"/>
  <c r="K62" i="1"/>
  <c r="L62" i="1"/>
  <c r="M62" i="1"/>
  <c r="N62" i="1"/>
  <c r="O62" i="1"/>
  <c r="F62" i="1"/>
  <c r="G62" i="1"/>
  <c r="H62" i="1"/>
  <c r="I62" i="1"/>
  <c r="E77" i="1"/>
  <c r="E78" i="1"/>
  <c r="E81" i="1"/>
  <c r="D48" i="3" s="1"/>
  <c r="E84" i="1"/>
  <c r="D51" i="3" s="1"/>
  <c r="E93" i="1"/>
  <c r="D60" i="3" s="1"/>
  <c r="E96" i="1"/>
  <c r="D64" i="3" s="1"/>
  <c r="E97" i="1"/>
  <c r="D65" i="3" s="1"/>
  <c r="E99" i="1"/>
  <c r="D67" i="3" s="1"/>
  <c r="E107" i="1"/>
  <c r="D75" i="3" s="1"/>
  <c r="E76" i="1"/>
  <c r="E23" i="1"/>
  <c r="D21" i="3" s="1"/>
  <c r="E26" i="1"/>
  <c r="E27" i="1"/>
  <c r="E28" i="1"/>
  <c r="D119" i="3" s="1"/>
  <c r="E29" i="1"/>
  <c r="D120" i="3" s="1"/>
  <c r="E30" i="1"/>
  <c r="D121" i="3" s="1"/>
  <c r="E31" i="1"/>
  <c r="E32" i="1"/>
  <c r="E33" i="1"/>
  <c r="E34" i="1"/>
  <c r="E35" i="1"/>
  <c r="E36" i="1"/>
  <c r="D148" i="3" s="1"/>
  <c r="E37" i="1"/>
  <c r="D149" i="3" s="1"/>
  <c r="E38" i="1"/>
  <c r="E39" i="1"/>
  <c r="D152" i="3" s="1"/>
  <c r="E40" i="1"/>
  <c r="E41" i="1"/>
  <c r="D154" i="3" s="1"/>
  <c r="E44" i="1"/>
  <c r="D198" i="3" s="1"/>
  <c r="E49" i="1"/>
  <c r="E50" i="1"/>
  <c r="E51" i="1"/>
  <c r="E52" i="1"/>
  <c r="D221" i="3" s="1"/>
  <c r="E53" i="1"/>
  <c r="E54" i="1"/>
  <c r="E55" i="1"/>
  <c r="D230" i="3" s="1"/>
  <c r="E56" i="1"/>
  <c r="D231" i="3" s="1"/>
  <c r="E58" i="1"/>
  <c r="E59" i="1"/>
  <c r="E60" i="1"/>
  <c r="D239" i="3" s="1"/>
  <c r="D238" i="3" s="1"/>
  <c r="E21" i="1"/>
  <c r="K17" i="1"/>
  <c r="M17" i="1"/>
  <c r="N17" i="1"/>
  <c r="O17" i="1"/>
  <c r="F17" i="1"/>
  <c r="G17" i="1"/>
  <c r="H17" i="1"/>
  <c r="I17" i="1"/>
  <c r="L17" i="1"/>
  <c r="E63" i="1" l="1"/>
  <c r="E62" i="1" s="1"/>
  <c r="E221" i="1"/>
  <c r="E127" i="1"/>
  <c r="E126" i="1" s="1"/>
  <c r="E161" i="1"/>
  <c r="E160" i="1" s="1"/>
  <c r="E210" i="1"/>
  <c r="E209" i="1" s="1"/>
  <c r="D253" i="3"/>
  <c r="E202" i="1"/>
  <c r="E201" i="1" s="1"/>
  <c r="E220" i="1"/>
  <c r="E286" i="1"/>
  <c r="E307" i="1"/>
  <c r="E306" i="1" s="1"/>
  <c r="D36" i="3"/>
  <c r="E18" i="1"/>
  <c r="E17" i="1" s="1"/>
  <c r="D150" i="3"/>
  <c r="D142" i="3"/>
  <c r="I316" i="1"/>
  <c r="G316" i="1"/>
  <c r="M316" i="1"/>
  <c r="D19" i="3"/>
  <c r="D17" i="3" s="1"/>
  <c r="H316" i="1"/>
  <c r="N316" i="1"/>
  <c r="F316" i="1"/>
  <c r="D116" i="3"/>
  <c r="D38" i="3"/>
  <c r="D237" i="3"/>
  <c r="D235" i="3" s="1"/>
  <c r="D215" i="3"/>
  <c r="D139" i="3"/>
  <c r="D222" i="3"/>
  <c r="E285" i="1"/>
  <c r="D153" i="3"/>
  <c r="E265" i="1"/>
  <c r="D211" i="3"/>
  <c r="D210" i="3" s="1"/>
  <c r="D184" i="3"/>
  <c r="P197" i="1"/>
  <c r="D84" i="3"/>
  <c r="P230" i="1"/>
  <c r="D107" i="3"/>
  <c r="D89" i="3"/>
  <c r="D160" i="3"/>
  <c r="D234" i="3"/>
  <c r="D233" i="3" s="1"/>
  <c r="D161" i="3"/>
  <c r="D166" i="3"/>
  <c r="D223" i="3"/>
  <c r="P261" i="1"/>
  <c r="D158" i="3"/>
  <c r="E295" i="1"/>
  <c r="D162" i="3"/>
  <c r="D219" i="3"/>
  <c r="D123" i="3"/>
  <c r="D214" i="3"/>
  <c r="P228" i="1"/>
  <c r="O209" i="1"/>
  <c r="D144" i="3"/>
  <c r="D131" i="3"/>
  <c r="D177" i="3"/>
  <c r="D145" i="3"/>
  <c r="D143" i="3"/>
  <c r="J209" i="1"/>
  <c r="D228" i="3"/>
  <c r="P200" i="1"/>
  <c r="D138" i="3"/>
  <c r="D111" i="3"/>
  <c r="D108" i="3"/>
  <c r="P21" i="1"/>
  <c r="P59" i="1"/>
  <c r="P56" i="1"/>
  <c r="O231" i="3" s="1"/>
  <c r="P54" i="1"/>
  <c r="P52" i="1"/>
  <c r="O221" i="3" s="1"/>
  <c r="P50" i="1"/>
  <c r="P107" i="1"/>
  <c r="O75" i="3" s="1"/>
  <c r="P99" i="1"/>
  <c r="O67" i="3" s="1"/>
  <c r="P97" i="1"/>
  <c r="O65" i="3" s="1"/>
  <c r="P84" i="1"/>
  <c r="O51" i="3" s="1"/>
  <c r="P81" i="1"/>
  <c r="O48" i="3" s="1"/>
  <c r="P78" i="1"/>
  <c r="P135" i="1"/>
  <c r="P188" i="1"/>
  <c r="O130" i="3" s="1"/>
  <c r="P186" i="1"/>
  <c r="O128" i="3" s="1"/>
  <c r="P183" i="1"/>
  <c r="O125" i="3" s="1"/>
  <c r="P180" i="1"/>
  <c r="O122" i="3" s="1"/>
  <c r="P177" i="1"/>
  <c r="O114" i="3" s="1"/>
  <c r="P174" i="1"/>
  <c r="P171" i="1"/>
  <c r="P237" i="1"/>
  <c r="P235" i="1"/>
  <c r="P232" i="1"/>
  <c r="O158" i="3" s="1"/>
  <c r="P272" i="1"/>
  <c r="O178" i="3" s="1"/>
  <c r="P315" i="1"/>
  <c r="O245" i="3" s="1"/>
  <c r="O244" i="3" s="1"/>
  <c r="P60" i="1"/>
  <c r="O239" i="3" s="1"/>
  <c r="O238" i="3" s="1"/>
  <c r="P58" i="1"/>
  <c r="P55" i="1"/>
  <c r="O230" i="3" s="1"/>
  <c r="P53" i="1"/>
  <c r="P51" i="1"/>
  <c r="O219" i="3" s="1"/>
  <c r="P49" i="1"/>
  <c r="P96" i="1"/>
  <c r="O64" i="3" s="1"/>
  <c r="P93" i="1"/>
  <c r="O60" i="3" s="1"/>
  <c r="P167" i="1"/>
  <c r="P189" i="1"/>
  <c r="P187" i="1"/>
  <c r="O129" i="3" s="1"/>
  <c r="P185" i="1"/>
  <c r="O127" i="3" s="1"/>
  <c r="P181" i="1"/>
  <c r="O123" i="3" s="1"/>
  <c r="P179" i="1"/>
  <c r="O116" i="3" s="1"/>
  <c r="P175" i="1"/>
  <c r="O112" i="3" s="1"/>
  <c r="P173" i="1"/>
  <c r="O110" i="3" s="1"/>
  <c r="P170" i="1"/>
  <c r="P236" i="1"/>
  <c r="P234" i="1"/>
  <c r="P233" i="1"/>
  <c r="O159" i="3" s="1"/>
  <c r="P273" i="1"/>
  <c r="O180" i="3" s="1"/>
  <c r="P308" i="1"/>
  <c r="J220" i="1"/>
  <c r="P253" i="1"/>
  <c r="P287" i="1"/>
  <c r="P288" i="1"/>
  <c r="P300" i="1"/>
  <c r="O217" i="3" s="1"/>
  <c r="J295" i="1"/>
  <c r="P312" i="1"/>
  <c r="P309" i="1"/>
  <c r="P206" i="1"/>
  <c r="O118" i="3" s="1"/>
  <c r="P205" i="1"/>
  <c r="O117" i="3" s="1"/>
  <c r="P44" i="1"/>
  <c r="O198" i="3" s="1"/>
  <c r="P38" i="1"/>
  <c r="O150" i="3" s="1"/>
  <c r="P36" i="1"/>
  <c r="O148" i="3" s="1"/>
  <c r="P34" i="1"/>
  <c r="P32" i="1"/>
  <c r="P30" i="1"/>
  <c r="O121" i="3" s="1"/>
  <c r="P28" i="1"/>
  <c r="O119" i="3" s="1"/>
  <c r="P26" i="1"/>
  <c r="P211" i="1"/>
  <c r="P281" i="1"/>
  <c r="P294" i="1"/>
  <c r="P293" i="1" s="1"/>
  <c r="P292" i="1" s="1"/>
  <c r="P301" i="1"/>
  <c r="O218" i="3" s="1"/>
  <c r="P299" i="1"/>
  <c r="P298" i="1"/>
  <c r="O173" i="3" s="1"/>
  <c r="O172" i="3" s="1"/>
  <c r="P302" i="1"/>
  <c r="P238" i="1"/>
  <c r="P41" i="1"/>
  <c r="O154" i="3" s="1"/>
  <c r="P39" i="1"/>
  <c r="O152" i="3" s="1"/>
  <c r="P37" i="1"/>
  <c r="O149" i="3" s="1"/>
  <c r="P35" i="1"/>
  <c r="P31" i="1"/>
  <c r="P29" i="1"/>
  <c r="O120" i="3" s="1"/>
  <c r="P27" i="1"/>
  <c r="P156" i="1"/>
  <c r="P151" i="1"/>
  <c r="O99" i="3" s="1"/>
  <c r="P150" i="1"/>
  <c r="O98" i="3" s="1"/>
  <c r="P147" i="1"/>
  <c r="O95" i="3" s="1"/>
  <c r="P145" i="1"/>
  <c r="O93" i="3" s="1"/>
  <c r="P143" i="1"/>
  <c r="O91" i="3" s="1"/>
  <c r="P141" i="1"/>
  <c r="P136" i="1"/>
  <c r="J201" i="1"/>
  <c r="P216" i="1"/>
  <c r="P218" i="1"/>
  <c r="P213" i="1"/>
  <c r="P276" i="1"/>
  <c r="O184" i="3" s="1"/>
  <c r="P271" i="1"/>
  <c r="P23" i="1"/>
  <c r="O21" i="3" s="1"/>
  <c r="P33" i="1"/>
  <c r="P231" i="1"/>
  <c r="O157" i="3" s="1"/>
  <c r="P291" i="1"/>
  <c r="P40" i="1"/>
  <c r="O153" i="3" s="1"/>
  <c r="P77" i="1"/>
  <c r="O36" i="3" s="1"/>
  <c r="P204" i="1"/>
  <c r="P215" i="1"/>
  <c r="P214" i="1"/>
  <c r="P310" i="1"/>
  <c r="P268" i="1"/>
  <c r="P269" i="1"/>
  <c r="P313" i="1"/>
  <c r="O240" i="3" s="1"/>
  <c r="J306" i="1"/>
  <c r="J62" i="1"/>
  <c r="P297" i="1"/>
  <c r="P264" i="1"/>
  <c r="P263" i="1" s="1"/>
  <c r="P262" i="1" s="1"/>
  <c r="P76" i="1"/>
  <c r="J17" i="1"/>
  <c r="P196" i="1"/>
  <c r="D24" i="3" l="1"/>
  <c r="P63" i="1"/>
  <c r="P62" i="1" s="1"/>
  <c r="P221" i="1"/>
  <c r="D226" i="3"/>
  <c r="O253" i="3"/>
  <c r="O250" i="3" s="1"/>
  <c r="O242" i="3" s="1"/>
  <c r="D250" i="3"/>
  <c r="D242" i="3" s="1"/>
  <c r="D100" i="3"/>
  <c r="P18" i="1"/>
  <c r="P286" i="1"/>
  <c r="D155" i="3"/>
  <c r="E316" i="1"/>
  <c r="O19" i="3"/>
  <c r="O17" i="3" s="1"/>
  <c r="O139" i="3"/>
  <c r="O38" i="3"/>
  <c r="O24" i="3" s="1"/>
  <c r="D79" i="3"/>
  <c r="O215" i="3"/>
  <c r="O237" i="3"/>
  <c r="O235" i="3" s="1"/>
  <c r="D212" i="3"/>
  <c r="P210" i="1"/>
  <c r="O222" i="3"/>
  <c r="D146" i="3"/>
  <c r="P127" i="1"/>
  <c r="P126" i="1" s="1"/>
  <c r="P202" i="1"/>
  <c r="O211" i="3"/>
  <c r="O210" i="3" s="1"/>
  <c r="O142" i="3"/>
  <c r="O131" i="3"/>
  <c r="O84" i="3"/>
  <c r="O107" i="3"/>
  <c r="O89" i="3"/>
  <c r="O160" i="3"/>
  <c r="O234" i="3"/>
  <c r="O233" i="3" s="1"/>
  <c r="O161" i="3"/>
  <c r="O223" i="3"/>
  <c r="O166" i="3"/>
  <c r="P307" i="1"/>
  <c r="P296" i="1"/>
  <c r="O177" i="3"/>
  <c r="O138" i="3"/>
  <c r="D141" i="3"/>
  <c r="O214" i="3"/>
  <c r="O228" i="3"/>
  <c r="O162" i="3"/>
  <c r="O145" i="3"/>
  <c r="O144" i="3"/>
  <c r="O111" i="3"/>
  <c r="O146" i="3"/>
  <c r="O143" i="3"/>
  <c r="O108" i="3"/>
  <c r="L265" i="1"/>
  <c r="L316" i="1" s="1"/>
  <c r="D167" i="3" l="1"/>
  <c r="D255" i="3" s="1"/>
  <c r="E321" i="1" s="1"/>
  <c r="O212" i="3"/>
  <c r="O167" i="3" s="1"/>
  <c r="O79" i="3"/>
  <c r="O226" i="3"/>
  <c r="O141" i="3"/>
  <c r="P270" i="1"/>
  <c r="P266" i="1" s="1"/>
  <c r="J265" i="1"/>
  <c r="O165" i="3" l="1"/>
  <c r="O155" i="3" s="1"/>
  <c r="J106" i="3" l="1"/>
  <c r="J100" i="3" s="1"/>
  <c r="K160" i="1"/>
  <c r="K316" i="1" s="1"/>
  <c r="N106" i="3"/>
  <c r="N100" i="3" s="1"/>
  <c r="O160" i="1"/>
  <c r="O316" i="1" s="1"/>
  <c r="J169" i="1"/>
  <c r="J161" i="1" s="1"/>
  <c r="N255" i="3" l="1"/>
  <c r="O321" i="1" s="1"/>
  <c r="J255" i="3"/>
  <c r="K321" i="1" s="1"/>
  <c r="I106" i="3"/>
  <c r="I100" i="3" s="1"/>
  <c r="P169" i="1"/>
  <c r="P161" i="1" s="1"/>
  <c r="P17" i="1"/>
  <c r="P285" i="1"/>
  <c r="P306" i="1"/>
  <c r="I255" i="3" l="1"/>
  <c r="J321" i="1" s="1"/>
  <c r="O106" i="3"/>
  <c r="O100" i="3" s="1"/>
  <c r="P160" i="1"/>
  <c r="J160" i="1"/>
  <c r="J316" i="1" s="1"/>
  <c r="P295" i="1"/>
  <c r="P265" i="1"/>
  <c r="P220" i="1"/>
  <c r="P209" i="1"/>
  <c r="P201" i="1"/>
  <c r="O255" i="3" l="1"/>
  <c r="P321" i="1" s="1"/>
  <c r="P316" i="1"/>
  <c r="C56" i="1"/>
  <c r="C310" i="1" l="1"/>
  <c r="D310" i="1"/>
  <c r="B310" i="1"/>
  <c r="C254" i="1"/>
  <c r="D254" i="1"/>
  <c r="B254" i="1"/>
  <c r="C173" i="1" l="1"/>
  <c r="D173" i="1"/>
  <c r="B173" i="1"/>
  <c r="C33" i="1"/>
  <c r="B33" i="1"/>
  <c r="B147" i="1"/>
  <c r="C147" i="1"/>
  <c r="D147" i="1"/>
  <c r="B181" i="1"/>
  <c r="C181" i="1"/>
  <c r="D181" i="1"/>
  <c r="B183" i="1"/>
  <c r="C183" i="1"/>
  <c r="C177" i="1"/>
  <c r="D177" i="1"/>
  <c r="B177" i="1"/>
  <c r="C291" i="1"/>
  <c r="B291" i="1"/>
  <c r="C288" i="1"/>
  <c r="D288" i="1"/>
  <c r="B288" i="1"/>
  <c r="D151" i="1"/>
  <c r="C151" i="1"/>
  <c r="B151" i="1"/>
  <c r="C150" i="1"/>
  <c r="D150" i="1"/>
  <c r="B150" i="1"/>
  <c r="C53" i="1"/>
  <c r="B53" i="1"/>
  <c r="C200" i="1"/>
  <c r="B200" i="1"/>
  <c r="C196" i="1"/>
  <c r="D196" i="1"/>
  <c r="C197" i="1"/>
  <c r="B197" i="1"/>
  <c r="B196" i="1"/>
  <c r="C189" i="1"/>
  <c r="D189" i="1"/>
  <c r="B189" i="1"/>
  <c r="C188" i="1"/>
  <c r="D188" i="1"/>
  <c r="B188" i="1"/>
  <c r="C187" i="1"/>
  <c r="B187" i="1"/>
  <c r="C186" i="1"/>
  <c r="D186" i="1"/>
  <c r="B186" i="1"/>
  <c r="C185" i="1"/>
  <c r="D185" i="1"/>
  <c r="B185" i="1"/>
  <c r="C180" i="1"/>
  <c r="D180" i="1"/>
  <c r="B180" i="1"/>
  <c r="C179" i="1"/>
  <c r="D179" i="1"/>
  <c r="B179" i="1"/>
  <c r="C175" i="1"/>
  <c r="D175" i="1"/>
  <c r="B175" i="1"/>
  <c r="C174" i="1"/>
  <c r="D174" i="1"/>
  <c r="B174" i="1"/>
  <c r="C171" i="1"/>
  <c r="D171" i="1"/>
  <c r="B171" i="1"/>
  <c r="C170" i="1"/>
  <c r="B170" i="1"/>
  <c r="C169" i="1"/>
  <c r="D169" i="1"/>
  <c r="B169" i="1"/>
  <c r="C156" i="1"/>
  <c r="B156" i="1"/>
  <c r="C145" i="1"/>
  <c r="D145" i="1"/>
  <c r="B145" i="1"/>
  <c r="C143" i="1"/>
  <c r="D143" i="1"/>
  <c r="B143" i="1"/>
  <c r="C141" i="1"/>
  <c r="B141" i="1"/>
  <c r="C136" i="1"/>
  <c r="B136" i="1"/>
  <c r="C97" i="1"/>
  <c r="C99" i="1"/>
  <c r="C78" i="1"/>
  <c r="B78" i="1"/>
  <c r="C77" i="1"/>
  <c r="B77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4" i="1"/>
  <c r="D44" i="1"/>
  <c r="B44" i="1"/>
  <c r="C31" i="1"/>
  <c r="D31" i="1"/>
  <c r="C32" i="1"/>
  <c r="B32" i="1"/>
  <c r="B31" i="1"/>
  <c r="C34" i="1"/>
  <c r="C35" i="1"/>
  <c r="B35" i="1"/>
  <c r="B34" i="1"/>
  <c r="C41" i="1"/>
  <c r="D41" i="1"/>
  <c r="B41" i="1"/>
  <c r="C40" i="1"/>
  <c r="D40" i="1"/>
  <c r="B40" i="1"/>
  <c r="C39" i="1"/>
  <c r="B39" i="1"/>
  <c r="C38" i="1"/>
  <c r="B38" i="1"/>
  <c r="C37" i="1"/>
  <c r="B37" i="1"/>
  <c r="C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06" i="1"/>
  <c r="C206" i="1"/>
  <c r="B206" i="1"/>
  <c r="C213" i="1"/>
  <c r="D213" i="1"/>
  <c r="B213" i="1"/>
  <c r="C215" i="1"/>
  <c r="D215" i="1"/>
  <c r="C216" i="1"/>
  <c r="D216" i="1"/>
  <c r="B216" i="1"/>
  <c r="B215" i="1"/>
  <c r="C218" i="1"/>
  <c r="B218" i="1"/>
  <c r="C230" i="1"/>
  <c r="D230" i="1"/>
  <c r="B230" i="1"/>
  <c r="C234" i="1"/>
  <c r="D234" i="1"/>
  <c r="B234" i="1"/>
  <c r="C233" i="1"/>
  <c r="D233" i="1"/>
  <c r="B233" i="1"/>
  <c r="C232" i="1"/>
  <c r="D232" i="1"/>
  <c r="B232" i="1"/>
  <c r="C231" i="1"/>
  <c r="D231" i="1"/>
  <c r="B231" i="1"/>
  <c r="C235" i="1"/>
  <c r="D235" i="1"/>
  <c r="B235" i="1"/>
  <c r="C236" i="1"/>
  <c r="D236" i="1"/>
  <c r="B236" i="1"/>
  <c r="C237" i="1"/>
  <c r="D237" i="1"/>
  <c r="B237" i="1"/>
  <c r="C238" i="1"/>
  <c r="B238" i="1"/>
  <c r="C239" i="1"/>
  <c r="B239" i="1"/>
  <c r="C253" i="1"/>
  <c r="B253" i="1"/>
  <c r="C259" i="1"/>
  <c r="D259" i="1"/>
  <c r="B259" i="1"/>
  <c r="C261" i="1"/>
  <c r="B261" i="1"/>
  <c r="C269" i="1"/>
  <c r="D269" i="1"/>
  <c r="B269" i="1"/>
  <c r="C270" i="1"/>
  <c r="B270" i="1"/>
  <c r="C271" i="1"/>
  <c r="D271" i="1"/>
  <c r="B271" i="1"/>
  <c r="C273" i="1"/>
  <c r="B273" i="1"/>
  <c r="C272" i="1"/>
  <c r="B272" i="1"/>
  <c r="C276" i="1"/>
  <c r="B276" i="1"/>
  <c r="C281" i="1"/>
  <c r="B281" i="1"/>
  <c r="C298" i="1"/>
  <c r="D298" i="1"/>
  <c r="B298" i="1"/>
  <c r="C299" i="1"/>
  <c r="D299" i="1"/>
  <c r="B299" i="1"/>
  <c r="C300" i="1"/>
  <c r="D300" i="1"/>
  <c r="B300" i="1"/>
  <c r="C301" i="1"/>
  <c r="D301" i="1"/>
  <c r="B301" i="1"/>
  <c r="C302" i="1"/>
  <c r="D302" i="1"/>
  <c r="B302" i="1"/>
  <c r="C309" i="1"/>
  <c r="B309" i="1"/>
  <c r="C312" i="1"/>
  <c r="D312" i="1"/>
  <c r="B312" i="1"/>
  <c r="C313" i="1"/>
  <c r="D313" i="1"/>
  <c r="B313" i="1"/>
  <c r="C314" i="1"/>
  <c r="D314" i="1"/>
  <c r="C315" i="1"/>
  <c r="D315" i="1"/>
  <c r="B315" i="1"/>
  <c r="C308" i="1"/>
  <c r="B308" i="1"/>
  <c r="C297" i="1"/>
  <c r="B297" i="1"/>
  <c r="C294" i="1"/>
  <c r="B294" i="1"/>
  <c r="C287" i="1"/>
  <c r="B287" i="1"/>
  <c r="C268" i="1"/>
  <c r="B268" i="1"/>
  <c r="C264" i="1"/>
  <c r="B264" i="1"/>
  <c r="C228" i="1"/>
  <c r="B228" i="1"/>
  <c r="C211" i="1"/>
  <c r="B211" i="1"/>
  <c r="C204" i="1"/>
  <c r="B204" i="1"/>
  <c r="C167" i="1"/>
  <c r="B167" i="1"/>
  <c r="C135" i="1"/>
  <c r="B135" i="1"/>
  <c r="C76" i="1"/>
  <c r="B76" i="1"/>
  <c r="C21" i="1"/>
  <c r="B21" i="1"/>
  <c r="E81" i="3" l="1"/>
  <c r="D81" i="3" l="1"/>
  <c r="I81" i="3"/>
  <c r="O81" i="3" l="1"/>
  <c r="D80" i="3" l="1"/>
  <c r="I83" i="3"/>
  <c r="I82" i="3"/>
  <c r="O83" i="3"/>
  <c r="O82" i="3" l="1"/>
  <c r="I80" i="3"/>
  <c r="O80" i="3" l="1"/>
  <c r="I195" i="3" l="1"/>
  <c r="I169" i="3" s="1"/>
  <c r="D195" i="3"/>
  <c r="D169" i="3" s="1"/>
  <c r="O195" i="3" l="1"/>
  <c r="O169" i="3" s="1"/>
  <c r="D168" i="3" l="1"/>
  <c r="I175" i="3" l="1"/>
  <c r="O175" i="3"/>
  <c r="O168" i="3" l="1"/>
  <c r="I168" i="3"/>
</calcChain>
</file>

<file path=xl/sharedStrings.xml><?xml version="1.0" encoding="utf-8"?>
<sst xmlns="http://schemas.openxmlformats.org/spreadsheetml/2006/main" count="1062" uniqueCount="625">
  <si>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</si>
  <si>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</si>
  <si>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</si>
  <si>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</si>
  <si>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</si>
  <si>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</si>
  <si>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</si>
  <si>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</si>
  <si>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</si>
  <si>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</si>
  <si>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</si>
  <si>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</si>
  <si>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</si>
  <si>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</si>
  <si>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</si>
  <si>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</si>
  <si>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</si>
  <si>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</si>
  <si>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</si>
  <si>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</si>
  <si>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</si>
  <si>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</si>
  <si>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</si>
  <si>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</si>
  <si>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</si>
  <si>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</si>
  <si>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</si>
  <si>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</si>
  <si>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</si>
  <si>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</si>
  <si>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</si>
  <si>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</si>
  <si>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</si>
  <si>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</si>
  <si>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</si>
  <si>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</si>
  <si>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</si>
  <si>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</si>
  <si>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</si>
  <si>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</si>
  <si>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</si>
  <si>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</si>
  <si>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</si>
  <si>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</si>
  <si>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</si>
  <si>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</si>
  <si>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</si>
  <si>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</si>
  <si>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</si>
  <si>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</si>
  <si>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</si>
  <si>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</si>
  <si>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</si>
  <si>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</si>
  <si>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</si>
  <si>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</si>
  <si>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</si>
  <si>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</si>
  <si>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</si>
  <si>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</si>
  <si>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</si>
  <si>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</si>
  <si>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</si>
  <si>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</si>
  <si>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</si>
  <si>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</si>
  <si>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</si>
  <si>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</si>
  <si>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</si>
  <si>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</si>
  <si>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</si>
  <si>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</si>
  <si>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</si>
  <si>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</si>
  <si>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</si>
  <si>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</si>
  <si>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</si>
  <si>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</si>
  <si>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</si>
  <si>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</si>
  <si>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</si>
  <si>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</si>
  <si>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</si>
  <si>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</si>
  <si>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</si>
  <si>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</si>
  <si>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</si>
  <si>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</si>
  <si>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</si>
  <si>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</si>
  <si>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</si>
  <si>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</si>
  <si>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</si>
  <si>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</si>
  <si>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</si>
  <si>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</si>
  <si>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</si>
  <si>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</si>
  <si>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</si>
  <si>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</si>
  <si>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</si>
  <si>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</si>
  <si>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</si>
  <si>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</si>
  <si>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</si>
  <si>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</si>
  <si>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</si>
  <si>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</si>
  <si>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</si>
  <si>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</si>
  <si>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</si>
  <si>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</si>
  <si>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</si>
  <si>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</si>
  <si>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</si>
  <si>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</si>
  <si>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</si>
  <si>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</si>
  <si>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</si>
  <si>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</si>
  <si>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</si>
  <si>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</si>
  <si>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</si>
  <si>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</si>
  <si>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</si>
  <si>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</si>
  <si>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</si>
  <si>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</si>
  <si>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</si>
  <si>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</si>
  <si>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</si>
  <si>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</si>
  <si>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</si>
  <si>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</si>
  <si>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</si>
  <si>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</si>
  <si>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</si>
  <si>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</si>
  <si>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</si>
  <si>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</si>
  <si>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</si>
  <si>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</si>
  <si>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</si>
  <si>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</si>
  <si>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</si>
  <si>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</si>
  <si>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</si>
  <si>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</si>
  <si>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</si>
  <si>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</si>
  <si>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</si>
  <si>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</si>
  <si>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</si>
  <si>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</si>
  <si>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</si>
  <si>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</si>
  <si>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</si>
  <si>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</si>
  <si>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</si>
  <si>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</si>
  <si>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</si>
  <si>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</si>
  <si>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</si>
  <si>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</si>
  <si>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</si>
  <si>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</si>
  <si>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</si>
  <si>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</si>
  <si>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</si>
  <si>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</si>
  <si>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</si>
  <si>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</si>
  <si>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</si>
  <si>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</si>
  <si>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</si>
  <si>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</si>
  <si>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</si>
  <si>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</si>
  <si>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</si>
  <si>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</si>
  <si>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</si>
  <si>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</si>
  <si>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</si>
  <si>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</si>
  <si>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</si>
  <si>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</si>
  <si>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</si>
  <si>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</si>
  <si>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</si>
  <si>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</si>
  <si>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</si>
  <si>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</si>
  <si>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</si>
  <si>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</si>
  <si>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</si>
  <si>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</si>
  <si>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</si>
  <si>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</si>
  <si>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</si>
  <si>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</si>
  <si>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</si>
  <si>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</si>
  <si>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</si>
  <si>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</si>
  <si>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</si>
  <si>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</si>
  <si>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</si>
  <si>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</si>
  <si>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</si>
  <si>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</si>
  <si>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</si>
  <si>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</si>
  <si>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</si>
  <si>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</si>
  <si>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</si>
  <si>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</si>
  <si>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</si>
  <si>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</si>
  <si>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</si>
  <si>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</si>
  <si>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</si>
  <si>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</si>
  <si>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</si>
  <si>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</si>
  <si>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</si>
  <si>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</si>
  <si>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</si>
  <si>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</si>
  <si>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</si>
  <si>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</si>
  <si>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</si>
  <si>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</si>
  <si>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</si>
  <si>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</si>
  <si>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</si>
  <si>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</si>
  <si>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</si>
  <si>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</si>
  <si>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</si>
  <si>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</si>
  <si>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</si>
  <si>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</si>
  <si>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</si>
  <si>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</si>
  <si>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</si>
  <si>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</si>
  <si>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</si>
  <si>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</si>
  <si>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</si>
  <si>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</si>
  <si>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</si>
  <si>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</si>
  <si>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</si>
  <si>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</si>
  <si>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</si>
  <si>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</si>
  <si>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</si>
  <si>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</si>
  <si>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</si>
  <si>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</si>
  <si>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</si>
  <si>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</si>
  <si>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</si>
  <si>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</si>
  <si>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</si>
  <si>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</si>
  <si>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</si>
  <si>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</si>
  <si>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</si>
  <si>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</si>
  <si>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</si>
  <si>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</si>
  <si>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</si>
  <si>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</si>
  <si>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</si>
  <si>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</si>
  <si>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</si>
  <si>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</si>
  <si>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</si>
  <si>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</si>
  <si>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</si>
  <si>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</si>
  <si>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</si>
  <si>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</si>
  <si>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</si>
  <si>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</si>
  <si>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</si>
  <si>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</si>
  <si>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</si>
  <si>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</si>
  <si>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</si>
  <si>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</si>
  <si>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</si>
  <si>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</si>
  <si>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</si>
  <si>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</si>
  <si>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</si>
  <si>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</si>
  <si>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</si>
  <si>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</si>
  <si>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</si>
  <si>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</si>
  <si>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</si>
  <si>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</si>
  <si>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</si>
  <si>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</si>
  <si>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</si>
  <si>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</si>
  <si>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</si>
  <si>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</si>
  <si>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</si>
  <si>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</si>
  <si>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</si>
  <si>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</si>
  <si>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</si>
  <si>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</si>
  <si>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</si>
  <si>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</si>
  <si>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</si>
  <si>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</si>
  <si>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</si>
  <si>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</si>
  <si>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</si>
  <si>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</si>
  <si>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</si>
  <si>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</si>
  <si>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</si>
  <si>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</si>
  <si>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</si>
  <si>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</si>
  <si>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</si>
  <si>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</si>
  <si>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</si>
  <si>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</si>
  <si>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</si>
  <si>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</si>
  <si>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</si>
  <si>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</si>
  <si>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</si>
  <si>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</si>
  <si>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</si>
  <si>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</si>
  <si>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</si>
  <si>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</si>
  <si>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</si>
  <si>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</si>
  <si>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</si>
  <si>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</si>
  <si>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</si>
  <si>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</si>
  <si>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</si>
  <si>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</si>
  <si>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</si>
  <si>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</si>
  <si>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</si>
  <si>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</si>
  <si>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</si>
  <si>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</si>
  <si>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</si>
  <si>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</si>
  <si>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</si>
  <si>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</si>
  <si>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</si>
  <si>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</si>
  <si>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</si>
  <si>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</si>
  <si>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</si>
  <si>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</si>
  <si>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</si>
  <si>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</si>
  <si>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</si>
  <si>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</si>
  <si>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</si>
  <si>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</si>
  <si>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</si>
  <si>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</si>
  <si>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</si>
  <si>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</si>
  <si>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</si>
  <si>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</si>
  <si>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</si>
  <si>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</si>
  <si>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</si>
  <si>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</si>
  <si>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</si>
  <si>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</si>
  <si>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</si>
  <si>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</si>
  <si>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</si>
  <si>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</si>
  <si>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</si>
  <si>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</si>
  <si>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</si>
  <si>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</si>
  <si>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</si>
  <si>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</si>
  <si>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</si>
  <si>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</si>
  <si>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</si>
  <si>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</si>
  <si>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</si>
  <si>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</si>
  <si>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</si>
  <si>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</si>
  <si>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</si>
  <si>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</si>
  <si>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</si>
  <si>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</si>
  <si>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</si>
  <si>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</si>
  <si>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</si>
  <si>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</si>
  <si>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</si>
  <si>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</si>
  <si>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</si>
  <si>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</si>
  <si>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</si>
  <si>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</si>
  <si>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</si>
  <si>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</si>
  <si>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</si>
  <si>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</si>
  <si>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</si>
  <si>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</si>
  <si>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</si>
  <si>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</si>
  <si>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</si>
  <si>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</si>
  <si>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</si>
  <si>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</si>
  <si>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</si>
  <si>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</si>
  <si>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</si>
  <si>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</si>
  <si>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</si>
  <si>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</si>
  <si>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</si>
  <si>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</si>
  <si>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</si>
  <si>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</si>
  <si>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</si>
  <si>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</si>
  <si>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</si>
  <si>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</si>
  <si>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</si>
  <si>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</si>
  <si>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</si>
  <si>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</si>
  <si>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</si>
  <si>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</si>
  <si>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</si>
  <si>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</si>
  <si>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</si>
  <si>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</si>
  <si>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</si>
  <si>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</si>
  <si>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</si>
  <si>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</si>
  <si>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</si>
  <si>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</si>
  <si>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</si>
  <si>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</si>
  <si>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</si>
  <si>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</si>
  <si>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</si>
  <si>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</si>
  <si>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</si>
  <si>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</si>
  <si>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</si>
  <si>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</si>
  <si>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</si>
  <si>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</si>
  <si>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</si>
  <si>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</si>
  <si>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</si>
  <si>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</si>
  <si>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</si>
  <si>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</si>
  <si>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</si>
  <si>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</si>
  <si>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</si>
  <si>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</si>
  <si>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</si>
  <si>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</si>
  <si>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</si>
  <si>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</si>
  <si>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</si>
  <si>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</si>
  <si>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</si>
  <si>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</si>
  <si>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</si>
  <si>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</si>
  <si>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</si>
  <si>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</si>
  <si>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</si>
  <si>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</si>
  <si>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</si>
  <si>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</si>
  <si>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</si>
  <si>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</si>
  <si>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</si>
  <si>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</si>
  <si>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</si>
  <si>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</si>
  <si>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</si>
  <si>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</si>
  <si>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</si>
  <si>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</si>
  <si>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</si>
  <si>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</si>
  <si>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</si>
  <si>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</si>
  <si>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</si>
  <si>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</si>
  <si>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</si>
  <si>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</si>
  <si>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</si>
  <si>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</si>
  <si>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</si>
  <si>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</si>
  <si>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</si>
  <si>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</si>
  <si>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</si>
  <si>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</si>
  <si>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</si>
  <si>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</si>
  <si>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</si>
  <si>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</si>
  <si>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</si>
  <si>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</si>
  <si>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</si>
  <si>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</si>
  <si>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</si>
  <si>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</si>
  <si>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</si>
  <si>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</si>
  <si>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</si>
  <si>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</si>
  <si>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</si>
  <si>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</si>
  <si>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</si>
  <si>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</si>
  <si>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</si>
  <si>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</si>
  <si>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</si>
  <si>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</si>
  <si>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</si>
  <si>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</si>
  <si>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</si>
  <si>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</si>
  <si>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</si>
  <si>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</si>
  <si>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</si>
  <si>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</si>
  <si>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0617363</t>
  </si>
  <si>
    <t>1617370</t>
  </si>
  <si>
    <t>7370</t>
  </si>
  <si>
    <t>0611172</t>
  </si>
  <si>
    <t>0611182</t>
  </si>
  <si>
    <t>1172</t>
  </si>
  <si>
    <t>1182</t>
  </si>
  <si>
    <t xml:space="preserve">Виконання заходів в рамках реалізації програми "Спроможна школа для кращих результатів",  у т.ч. за рахунок: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</si>
  <si>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</si>
  <si>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</si>
  <si>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</si>
  <si>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</si>
  <si>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</si>
  <si>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</si>
  <si>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</si>
  <si>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</si>
  <si>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</si>
  <si>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</si>
  <si>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</si>
  <si>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</si>
  <si>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</si>
  <si>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</si>
  <si>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«Про       внесення        змін       до        рішення</t>
  </si>
  <si>
    <t>до      рішення      Сумської     міської         ради</t>
  </si>
  <si>
    <t xml:space="preserve">Сумської  міської  ради від 24 грудня 2020 року </t>
  </si>
  <si>
    <t xml:space="preserve">№ 62 - МР «Про   бюджет    Сумської     міської </t>
  </si>
  <si>
    <t>«Про       внесення       змін       до         рішення</t>
  </si>
  <si>
    <t>до      рішення      Сумської      міської        ради</t>
  </si>
  <si>
    <t>територіальної     громади    на      2021       рік»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</si>
  <si>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</si>
  <si>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</si>
  <si>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</si>
  <si>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</si>
  <si>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</si>
  <si>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</si>
  <si>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</si>
  <si>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</si>
  <si>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</si>
  <si>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</si>
  <si>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</si>
  <si>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</si>
  <si>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</si>
  <si>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</si>
  <si>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</si>
  <si>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</si>
  <si>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</si>
  <si>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</si>
  <si>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</si>
  <si>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</si>
  <si>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</si>
  <si>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</si>
  <si>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</si>
  <si>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</si>
  <si>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</si>
  <si>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анресії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</si>
  <si>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</si>
  <si>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   Додаток 3</t>
  </si>
  <si>
    <t>від  29  вересня   2021     року    №  1921  -   МР</t>
  </si>
  <si>
    <t>територіальної     громади      на      2021      рік»</t>
  </si>
  <si>
    <t xml:space="preserve">                               Додаток 8</t>
  </si>
  <si>
    <t xml:space="preserve">Сумської  міської ради від 24 грудня 2020 року </t>
  </si>
  <si>
    <t xml:space="preserve">№ 62 - МР «Про   бюджет    Сумської    міської </t>
  </si>
  <si>
    <t>від    29    вересня  2021    року    №  1921  -  МР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</si>
  <si>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</si>
  <si>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</si>
  <si>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</si>
  <si>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>Виконавець: Співакова Л.І.</t>
  </si>
  <si>
    <t>Секретар Сумської міської ради</t>
  </si>
  <si>
    <t>Олег Рєзнік</t>
  </si>
  <si>
    <t xml:space="preserve">                          ____________</t>
  </si>
  <si>
    <t>Багатопрофільна стаціонарна медична допомога населенню,  у т.ч. за рахунок: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</si>
</sst>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4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70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49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Border="1" applyAlignment="1">
      <alignment horizontal="right" wrapText="1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>
      <alignment horizontal="center"/>
    </xf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Alignment="1">
      <alignment horizontal="left"/>
    </xf>
    <xf numFmtId="0" fontId="39" fillId="0" borderId="0" xfId="0" applyFont="1" applyFill="1" applyAlignment="1"/>
    <xf numFmtId="3" fontId="33" fillId="0" borderId="0" xfId="0" applyNumberFormat="1" applyFont="1" applyFill="1" applyBorder="1" applyAlignment="1">
      <alignment horizontal="center" wrapText="1"/>
    </xf>
    <xf numFmtId="4" fontId="29" fillId="0" borderId="0" xfId="0" applyNumberFormat="1" applyFont="1" applyFill="1" applyBorder="1" applyAlignment="1">
      <alignment horizontal="right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7" fillId="0" borderId="7" xfId="0" applyNumberFormat="1" applyFont="1" applyFill="1" applyBorder="1" applyAlignment="1" applyProtection="1">
      <alignment horizontal="center" vertical="center" wrapText="1"/>
    </xf>
    <xf numFmtId="3" fontId="48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3" fontId="39" fillId="0" borderId="0" xfId="0" applyNumberFormat="1" applyFont="1" applyFill="1" applyAlignment="1">
      <alignment horizontal="left"/>
    </xf>
    <xf numFmtId="0" fontId="39" fillId="0" borderId="0" xfId="0" applyFont="1" applyFill="1" applyAlignment="1"/>
    <xf numFmtId="0" fontId="40" fillId="0" borderId="0" xfId="0" applyNumberFormat="1" applyFont="1" applyFill="1" applyBorder="1" applyAlignment="1" applyProtection="1">
      <alignment horizontal="center" vertical="top" wrapText="1"/>
    </xf>
    <xf numFmtId="49" fontId="46" fillId="0" borderId="0" xfId="0" applyNumberFormat="1" applyFont="1" applyFill="1" applyAlignment="1" applyProtection="1">
      <alignment horizontal="center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701"/>
  <sheetViews>
    <sheetView showGridLines="0" showZeros="0" view="pageBreakPreview" topLeftCell="F304" zoomScale="84" zoomScaleNormal="82" zoomScaleSheetLayoutView="84" workbookViewId="0">
      <selection activeCell="F317" sqref="F317:P317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47" customWidth="1"/>
    <col min="6" max="6" width="22.5" style="47" customWidth="1"/>
    <col min="7" max="7" width="23.83203125" style="47" customWidth="1"/>
    <col min="8" max="8" width="19.33203125" style="47" customWidth="1"/>
    <col min="9" max="9" width="19.6640625" style="47" customWidth="1"/>
    <col min="10" max="10" width="20.5" style="47" customWidth="1"/>
    <col min="11" max="11" width="22.5" style="47" customWidth="1"/>
    <col min="12" max="12" width="18.33203125" style="47" customWidth="1"/>
    <col min="13" max="13" width="19.5" style="47" customWidth="1"/>
    <col min="14" max="14" width="18" style="47" customWidth="1"/>
    <col min="15" max="15" width="21.1640625" style="47" customWidth="1"/>
    <col min="16" max="16" width="23" style="156" bestFit="1" customWidth="1"/>
    <col min="17" max="17" width="11.5" style="28" customWidth="1"/>
    <col min="18" max="18" width="10.5" style="28" customWidth="1"/>
    <col min="19" max="527" width="9.1640625" style="28"/>
    <col min="528" max="16384" width="9.1640625" style="20"/>
  </cols>
  <sheetData>
    <row r="1" spans="1:527" ht="26.25" customHeight="1" x14ac:dyDescent="0.4">
      <c r="K1" s="152" t="s">
        <v>610</v>
      </c>
      <c r="L1" s="152"/>
      <c r="M1" s="152"/>
      <c r="N1" s="152"/>
      <c r="O1" s="152"/>
      <c r="P1" s="152"/>
    </row>
    <row r="2" spans="1:527" ht="26.25" customHeight="1" x14ac:dyDescent="0.25">
      <c r="K2" s="92" t="s">
        <v>577</v>
      </c>
      <c r="L2" s="92"/>
      <c r="M2" s="92"/>
      <c r="N2" s="92"/>
      <c r="O2" s="92"/>
      <c r="P2" s="92"/>
    </row>
    <row r="3" spans="1:527" ht="26.25" customHeight="1" x14ac:dyDescent="0.4">
      <c r="K3" s="166" t="s">
        <v>576</v>
      </c>
      <c r="L3" s="166"/>
      <c r="M3" s="166"/>
      <c r="N3" s="166"/>
      <c r="O3" s="166"/>
      <c r="P3" s="166"/>
    </row>
    <row r="4" spans="1:527" ht="26.25" customHeight="1" x14ac:dyDescent="0.4">
      <c r="K4" s="166" t="s">
        <v>578</v>
      </c>
      <c r="L4" s="166"/>
      <c r="M4" s="166"/>
      <c r="N4" s="166"/>
      <c r="O4" s="166"/>
      <c r="P4" s="166"/>
    </row>
    <row r="5" spans="1:527" ht="26.25" customHeight="1" x14ac:dyDescent="0.4">
      <c r="K5" s="166" t="s">
        <v>579</v>
      </c>
      <c r="L5" s="166"/>
      <c r="M5" s="166"/>
      <c r="N5" s="166"/>
      <c r="O5" s="166"/>
      <c r="P5" s="166"/>
    </row>
    <row r="6" spans="1:527" ht="28.5" customHeight="1" x14ac:dyDescent="0.4">
      <c r="K6" s="166" t="s">
        <v>612</v>
      </c>
      <c r="L6" s="166"/>
      <c r="M6" s="166"/>
      <c r="N6" s="166"/>
      <c r="O6" s="166"/>
      <c r="P6" s="166"/>
    </row>
    <row r="7" spans="1:527" ht="28.5" customHeight="1" x14ac:dyDescent="0.4">
      <c r="K7" s="151" t="s">
        <v>535</v>
      </c>
      <c r="L7" s="151"/>
      <c r="M7" s="151"/>
      <c r="N7" s="151"/>
      <c r="O7" s="151"/>
      <c r="P7" s="151"/>
    </row>
    <row r="8" spans="1:527" ht="26.25" customHeight="1" x14ac:dyDescent="0.4">
      <c r="K8" s="166" t="s">
        <v>611</v>
      </c>
      <c r="L8" s="166"/>
      <c r="M8" s="166"/>
      <c r="N8" s="166"/>
      <c r="O8" s="166"/>
      <c r="P8" s="166"/>
    </row>
    <row r="9" spans="1:527" ht="26.25" x14ac:dyDescent="0.4">
      <c r="L9" s="62"/>
      <c r="M9" s="62"/>
      <c r="N9" s="62"/>
      <c r="O9" s="62"/>
      <c r="P9" s="62"/>
    </row>
    <row r="10" spans="1:527" s="44" customFormat="1" ht="71.25" customHeight="1" x14ac:dyDescent="0.3">
      <c r="A10" s="158" t="s">
        <v>449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164" t="s">
        <v>587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165" t="s">
        <v>586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53" t="s">
        <v>358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59" t="s">
        <v>336</v>
      </c>
      <c r="B14" s="160" t="s">
        <v>337</v>
      </c>
      <c r="C14" s="160" t="s">
        <v>327</v>
      </c>
      <c r="D14" s="160" t="s">
        <v>338</v>
      </c>
      <c r="E14" s="162" t="s">
        <v>224</v>
      </c>
      <c r="F14" s="162"/>
      <c r="G14" s="162"/>
      <c r="H14" s="162"/>
      <c r="I14" s="162"/>
      <c r="J14" s="162" t="s">
        <v>225</v>
      </c>
      <c r="K14" s="162"/>
      <c r="L14" s="162"/>
      <c r="M14" s="162"/>
      <c r="N14" s="162"/>
      <c r="O14" s="162"/>
      <c r="P14" s="162" t="s">
        <v>226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59"/>
      <c r="B15" s="160"/>
      <c r="C15" s="160"/>
      <c r="D15" s="160"/>
      <c r="E15" s="163" t="s">
        <v>328</v>
      </c>
      <c r="F15" s="163" t="s">
        <v>227</v>
      </c>
      <c r="G15" s="161" t="s">
        <v>228</v>
      </c>
      <c r="H15" s="161"/>
      <c r="I15" s="163" t="s">
        <v>229</v>
      </c>
      <c r="J15" s="163" t="s">
        <v>328</v>
      </c>
      <c r="K15" s="163" t="s">
        <v>329</v>
      </c>
      <c r="L15" s="163" t="s">
        <v>227</v>
      </c>
      <c r="M15" s="161" t="s">
        <v>228</v>
      </c>
      <c r="N15" s="161"/>
      <c r="O15" s="163" t="s">
        <v>229</v>
      </c>
      <c r="P15" s="162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62.25" customHeight="1" x14ac:dyDescent="0.2">
      <c r="A16" s="159"/>
      <c r="B16" s="160"/>
      <c r="C16" s="160"/>
      <c r="D16" s="160"/>
      <c r="E16" s="163"/>
      <c r="F16" s="163"/>
      <c r="G16" s="150" t="s">
        <v>230</v>
      </c>
      <c r="H16" s="150" t="s">
        <v>231</v>
      </c>
      <c r="I16" s="163"/>
      <c r="J16" s="163"/>
      <c r="K16" s="163"/>
      <c r="L16" s="163"/>
      <c r="M16" s="150" t="s">
        <v>230</v>
      </c>
      <c r="N16" s="150" t="s">
        <v>231</v>
      </c>
      <c r="O16" s="163"/>
      <c r="P16" s="162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20" t="s">
        <v>149</v>
      </c>
      <c r="B17" s="121"/>
      <c r="C17" s="121"/>
      <c r="D17" s="122" t="s">
        <v>35</v>
      </c>
      <c r="E17" s="95">
        <f>E18</f>
        <v>258205535.34</v>
      </c>
      <c r="F17" s="95">
        <f t="shared" ref="F17:J17" si="0">F18</f>
        <v>197106339.34</v>
      </c>
      <c r="G17" s="95">
        <f t="shared" si="0"/>
        <v>107691825</v>
      </c>
      <c r="H17" s="95">
        <f t="shared" si="0"/>
        <v>5488357</v>
      </c>
      <c r="I17" s="95">
        <f t="shared" si="0"/>
        <v>61099196</v>
      </c>
      <c r="J17" s="95">
        <f t="shared" si="0"/>
        <v>37909759.659999996</v>
      </c>
      <c r="K17" s="95">
        <f t="shared" ref="K17" si="1">K18</f>
        <v>37386964.659999996</v>
      </c>
      <c r="L17" s="95">
        <f t="shared" ref="L17" si="2">L18</f>
        <v>522795</v>
      </c>
      <c r="M17" s="95">
        <f t="shared" ref="M17" si="3">M18</f>
        <v>119291</v>
      </c>
      <c r="N17" s="95">
        <f t="shared" ref="N17" si="4">N18</f>
        <v>51832</v>
      </c>
      <c r="O17" s="95">
        <f t="shared" ref="O17:P17" si="5">O18</f>
        <v>37386964.659999996</v>
      </c>
      <c r="P17" s="95">
        <f t="shared" si="5"/>
        <v>296115295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96" t="s">
        <v>150</v>
      </c>
      <c r="B18" s="97"/>
      <c r="C18" s="97"/>
      <c r="D18" s="77" t="s">
        <v>520</v>
      </c>
      <c r="E18" s="98">
        <f>E21+E22+E23+E24+E26+E27+E28+E29+E30+E31+E32+E33+E34+E35+E36+E37+E38+E39+E40+E41+E42+E43+E44+E46+E48+E49+E50+E51+E52+E53+E54+E55+E56+E58+E59+E60+E45+E47+E61</f>
        <v>258205535.34</v>
      </c>
      <c r="F18" s="98">
        <f t="shared" ref="F18:P18" si="6">F21+F22+F23+F24+F26+F27+F28+F29+F30+F31+F32+F33+F34+F35+F36+F37+F38+F39+F40+F41+F42+F43+F44+F46+F48+F49+F50+F51+F52+F53+F54+F55+F56+F58+F59+F60+F45+F47+F61</f>
        <v>197106339.34</v>
      </c>
      <c r="G18" s="98">
        <f t="shared" si="6"/>
        <v>107691825</v>
      </c>
      <c r="H18" s="98">
        <f t="shared" si="6"/>
        <v>5488357</v>
      </c>
      <c r="I18" s="98">
        <f t="shared" si="6"/>
        <v>61099196</v>
      </c>
      <c r="J18" s="98">
        <f t="shared" si="6"/>
        <v>37909759.659999996</v>
      </c>
      <c r="K18" s="98">
        <f t="shared" si="6"/>
        <v>37386964.659999996</v>
      </c>
      <c r="L18" s="98">
        <f t="shared" si="6"/>
        <v>522795</v>
      </c>
      <c r="M18" s="98">
        <f t="shared" si="6"/>
        <v>119291</v>
      </c>
      <c r="N18" s="98">
        <f t="shared" si="6"/>
        <v>51832</v>
      </c>
      <c r="O18" s="98">
        <f t="shared" si="6"/>
        <v>37386964.659999996</v>
      </c>
      <c r="P18" s="98">
        <f t="shared" si="6"/>
        <v>296115295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96"/>
      <c r="B19" s="97"/>
      <c r="C19" s="97"/>
      <c r="D19" s="77" t="s">
        <v>382</v>
      </c>
      <c r="E19" s="98">
        <f>E57</f>
        <v>588815</v>
      </c>
      <c r="F19" s="98">
        <f t="shared" ref="F19:P19" si="7">F57</f>
        <v>588815</v>
      </c>
      <c r="G19" s="98">
        <f t="shared" si="7"/>
        <v>482635</v>
      </c>
      <c r="H19" s="98">
        <f t="shared" si="7"/>
        <v>0</v>
      </c>
      <c r="I19" s="98">
        <f t="shared" si="7"/>
        <v>0</v>
      </c>
      <c r="J19" s="98">
        <f t="shared" si="7"/>
        <v>0</v>
      </c>
      <c r="K19" s="98">
        <f t="shared" si="7"/>
        <v>0</v>
      </c>
      <c r="L19" s="98">
        <f t="shared" si="7"/>
        <v>0</v>
      </c>
      <c r="M19" s="98">
        <f t="shared" si="7"/>
        <v>0</v>
      </c>
      <c r="N19" s="98">
        <f t="shared" si="7"/>
        <v>0</v>
      </c>
      <c r="O19" s="98">
        <f t="shared" si="7"/>
        <v>0</v>
      </c>
      <c r="P19" s="98">
        <f t="shared" si="7"/>
        <v>588815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96"/>
      <c r="B20" s="97"/>
      <c r="C20" s="97"/>
      <c r="D20" s="77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98">
        <f>E25</f>
        <v>0</v>
      </c>
      <c r="F20" s="98">
        <f t="shared" ref="F20:P20" si="8">F25</f>
        <v>0</v>
      </c>
      <c r="G20" s="98">
        <f t="shared" si="8"/>
        <v>0</v>
      </c>
      <c r="H20" s="98">
        <f t="shared" si="8"/>
        <v>0</v>
      </c>
      <c r="I20" s="98">
        <f t="shared" si="8"/>
        <v>0</v>
      </c>
      <c r="J20" s="98">
        <f t="shared" si="8"/>
        <v>0</v>
      </c>
      <c r="K20" s="98">
        <f t="shared" si="8"/>
        <v>0</v>
      </c>
      <c r="L20" s="98">
        <f t="shared" si="8"/>
        <v>0</v>
      </c>
      <c r="M20" s="98">
        <f t="shared" si="8"/>
        <v>0</v>
      </c>
      <c r="N20" s="98">
        <f t="shared" si="8"/>
        <v>0</v>
      </c>
      <c r="O20" s="98">
        <f t="shared" si="8"/>
        <v>0</v>
      </c>
      <c r="P20" s="98">
        <f t="shared" si="8"/>
        <v>0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59" t="s">
        <v>151</v>
      </c>
      <c r="B21" s="93" t="str">
        <f>'дод 8'!A19</f>
        <v>0160</v>
      </c>
      <c r="C21" s="93" t="str">
        <f>'дод 8'!B19</f>
        <v>0111</v>
      </c>
      <c r="D21" s="36" t="s">
        <v>494</v>
      </c>
      <c r="E21" s="99">
        <f t="shared" ref="E21:E61" si="9">F21+I21</f>
        <v>112926046</v>
      </c>
      <c r="F21" s="99">
        <v>112926046</v>
      </c>
      <c r="G21" s="99">
        <v>82129700</v>
      </c>
      <c r="H21" s="99">
        <v>3011146</v>
      </c>
      <c r="I21" s="99"/>
      <c r="J21" s="99">
        <f>L21+O21</f>
        <v>0</v>
      </c>
      <c r="K21" s="99">
        <v>0</v>
      </c>
      <c r="L21" s="99"/>
      <c r="M21" s="99"/>
      <c r="N21" s="99"/>
      <c r="O21" s="99">
        <v>0</v>
      </c>
      <c r="P21" s="99">
        <f t="shared" ref="P21:P61" si="10">E21+J21</f>
        <v>112926046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customHeight="1" x14ac:dyDescent="0.25">
      <c r="A22" s="59" t="s">
        <v>452</v>
      </c>
      <c r="B22" s="59" t="s">
        <v>90</v>
      </c>
      <c r="C22" s="59" t="s">
        <v>462</v>
      </c>
      <c r="D22" s="36" t="s">
        <v>453</v>
      </c>
      <c r="E22" s="99">
        <f t="shared" si="9"/>
        <v>200000</v>
      </c>
      <c r="F22" s="99">
        <v>200000</v>
      </c>
      <c r="G22" s="99"/>
      <c r="H22" s="99"/>
      <c r="I22" s="99"/>
      <c r="J22" s="99">
        <f>L22+O22</f>
        <v>0</v>
      </c>
      <c r="K22" s="99"/>
      <c r="L22" s="99"/>
      <c r="M22" s="99"/>
      <c r="N22" s="99"/>
      <c r="O22" s="99"/>
      <c r="P22" s="99">
        <f t="shared" si="10"/>
        <v>200000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59" t="s">
        <v>241</v>
      </c>
      <c r="B23" s="93" t="str">
        <f>'дод 8'!A21</f>
        <v>0180</v>
      </c>
      <c r="C23" s="93" t="str">
        <f>'дод 8'!B21</f>
        <v>0133</v>
      </c>
      <c r="D23" s="60" t="str">
        <f>'дод 8'!C21</f>
        <v>Інша діяльність у сфері державного управління</v>
      </c>
      <c r="E23" s="99">
        <f t="shared" si="9"/>
        <v>396000</v>
      </c>
      <c r="F23" s="99">
        <v>396000</v>
      </c>
      <c r="G23" s="99"/>
      <c r="H23" s="99"/>
      <c r="I23" s="99"/>
      <c r="J23" s="99">
        <f t="shared" ref="J23:J25" si="11">L23+O23</f>
        <v>0</v>
      </c>
      <c r="K23" s="99"/>
      <c r="L23" s="99"/>
      <c r="M23" s="99"/>
      <c r="N23" s="99"/>
      <c r="O23" s="99"/>
      <c r="P23" s="99">
        <f t="shared" si="10"/>
        <v>396000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59" t="s">
        <v>434</v>
      </c>
      <c r="B24" s="59" t="s">
        <v>435</v>
      </c>
      <c r="C24" s="59" t="s">
        <v>119</v>
      </c>
      <c r="D24" s="60" t="s">
        <v>436</v>
      </c>
      <c r="E24" s="99">
        <f t="shared" si="9"/>
        <v>0</v>
      </c>
      <c r="F24" s="99"/>
      <c r="G24" s="99"/>
      <c r="H24" s="99"/>
      <c r="I24" s="99"/>
      <c r="J24" s="99">
        <f t="shared" si="11"/>
        <v>0</v>
      </c>
      <c r="K24" s="99"/>
      <c r="L24" s="99"/>
      <c r="M24" s="99"/>
      <c r="N24" s="99"/>
      <c r="O24" s="99"/>
      <c r="P24" s="99">
        <f t="shared" si="10"/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4"/>
      <c r="B25" s="100"/>
      <c r="C25" s="100"/>
      <c r="D25" s="87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1">
        <f t="shared" si="9"/>
        <v>0</v>
      </c>
      <c r="F25" s="101"/>
      <c r="G25" s="101"/>
      <c r="H25" s="101"/>
      <c r="I25" s="101"/>
      <c r="J25" s="101">
        <f t="shared" si="11"/>
        <v>0</v>
      </c>
      <c r="K25" s="101"/>
      <c r="L25" s="101"/>
      <c r="M25" s="101"/>
      <c r="N25" s="101"/>
      <c r="O25" s="101"/>
      <c r="P25" s="101">
        <f t="shared" si="10"/>
        <v>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6.5" customHeight="1" x14ac:dyDescent="0.25">
      <c r="A26" s="59" t="s">
        <v>257</v>
      </c>
      <c r="B26" s="93" t="str">
        <f>'дод 8'!A108</f>
        <v>3033</v>
      </c>
      <c r="C26" s="93" t="str">
        <f>'дод 8'!B108</f>
        <v>1070</v>
      </c>
      <c r="D26" s="60" t="s">
        <v>411</v>
      </c>
      <c r="E26" s="99">
        <f t="shared" si="9"/>
        <v>314360</v>
      </c>
      <c r="F26" s="99">
        <v>314360</v>
      </c>
      <c r="G26" s="99"/>
      <c r="H26" s="99"/>
      <c r="I26" s="99"/>
      <c r="J26" s="99">
        <f t="shared" ref="J26:J61" si="12">L26+O26</f>
        <v>0</v>
      </c>
      <c r="K26" s="99"/>
      <c r="L26" s="99"/>
      <c r="M26" s="99"/>
      <c r="N26" s="99"/>
      <c r="O26" s="99"/>
      <c r="P26" s="99">
        <f t="shared" si="10"/>
        <v>314360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59" t="s">
        <v>152</v>
      </c>
      <c r="B27" s="93" t="str">
        <f>'дод 8'!A111</f>
        <v>3036</v>
      </c>
      <c r="C27" s="93" t="str">
        <f>'дод 8'!B111</f>
        <v>1070</v>
      </c>
      <c r="D27" s="60" t="str">
        <f>'дод 8'!C111</f>
        <v>Компенсаційні виплати на пільговий проїзд електротранспортом окремим категоріям громадян</v>
      </c>
      <c r="E27" s="99">
        <f t="shared" si="9"/>
        <v>465886</v>
      </c>
      <c r="F27" s="99">
        <v>465886</v>
      </c>
      <c r="G27" s="99"/>
      <c r="H27" s="99"/>
      <c r="I27" s="99"/>
      <c r="J27" s="99">
        <f t="shared" si="12"/>
        <v>0</v>
      </c>
      <c r="K27" s="99"/>
      <c r="L27" s="99"/>
      <c r="M27" s="99"/>
      <c r="N27" s="99"/>
      <c r="O27" s="99"/>
      <c r="P27" s="99">
        <f t="shared" si="10"/>
        <v>465886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59" t="s">
        <v>153</v>
      </c>
      <c r="B28" s="93" t="str">
        <f>'дод 8'!A119</f>
        <v>3121</v>
      </c>
      <c r="C28" s="93" t="str">
        <f>'дод 8'!B119</f>
        <v>1040</v>
      </c>
      <c r="D28" s="60" t="s">
        <v>501</v>
      </c>
      <c r="E28" s="99">
        <f t="shared" si="9"/>
        <v>3210440</v>
      </c>
      <c r="F28" s="99">
        <v>3210440</v>
      </c>
      <c r="G28" s="99">
        <v>2407050</v>
      </c>
      <c r="H28" s="99">
        <v>43630</v>
      </c>
      <c r="I28" s="99"/>
      <c r="J28" s="99">
        <f t="shared" si="12"/>
        <v>0</v>
      </c>
      <c r="K28" s="99"/>
      <c r="L28" s="99"/>
      <c r="M28" s="99"/>
      <c r="N28" s="99"/>
      <c r="O28" s="99"/>
      <c r="P28" s="99">
        <f t="shared" si="10"/>
        <v>3210440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59" t="s">
        <v>154</v>
      </c>
      <c r="B29" s="93" t="str">
        <f>'дод 8'!A120</f>
        <v>3131</v>
      </c>
      <c r="C29" s="93" t="str">
        <f>'дод 8'!B120</f>
        <v>1040</v>
      </c>
      <c r="D29" s="60" t="str">
        <f>'дод 8'!C120</f>
        <v>Здійснення заходів та реалізація проектів на виконання Державної цільової соціальної програми "Молодь України"</v>
      </c>
      <c r="E29" s="99">
        <f t="shared" si="9"/>
        <v>783850</v>
      </c>
      <c r="F29" s="99">
        <v>783850</v>
      </c>
      <c r="G29" s="99"/>
      <c r="H29" s="99"/>
      <c r="I29" s="99"/>
      <c r="J29" s="99">
        <f t="shared" si="12"/>
        <v>0</v>
      </c>
      <c r="K29" s="99"/>
      <c r="L29" s="99"/>
      <c r="M29" s="99"/>
      <c r="N29" s="99"/>
      <c r="O29" s="99"/>
      <c r="P29" s="99">
        <f t="shared" si="10"/>
        <v>783850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63" x14ac:dyDescent="0.25">
      <c r="A30" s="59" t="s">
        <v>155</v>
      </c>
      <c r="B30" s="93" t="str">
        <f>'дод 8'!A121</f>
        <v>3140</v>
      </c>
      <c r="C30" s="93" t="str">
        <f>'дод 8'!B121</f>
        <v>1040</v>
      </c>
      <c r="D30" s="60" t="s">
        <v>20</v>
      </c>
      <c r="E30" s="99">
        <f t="shared" si="9"/>
        <v>280000</v>
      </c>
      <c r="F30" s="99">
        <v>280000</v>
      </c>
      <c r="G30" s="99"/>
      <c r="H30" s="99"/>
      <c r="I30" s="99"/>
      <c r="J30" s="99">
        <f t="shared" si="12"/>
        <v>0</v>
      </c>
      <c r="K30" s="99"/>
      <c r="L30" s="99"/>
      <c r="M30" s="99"/>
      <c r="N30" s="99"/>
      <c r="O30" s="99"/>
      <c r="P30" s="99">
        <f t="shared" si="10"/>
        <v>280000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59" t="s">
        <v>305</v>
      </c>
      <c r="B31" s="93" t="str">
        <f>'дод 8'!A138</f>
        <v>3241</v>
      </c>
      <c r="C31" s="93" t="str">
        <f>'дод 8'!B138</f>
        <v>1090</v>
      </c>
      <c r="D31" s="60" t="str">
        <f>'дод 8'!C138</f>
        <v>Забезпечення діяльності інших закладів у сфері соціального захисту і соціального забезпечення</v>
      </c>
      <c r="E31" s="99">
        <f t="shared" si="9"/>
        <v>1539992</v>
      </c>
      <c r="F31" s="99">
        <v>1539992</v>
      </c>
      <c r="G31" s="99">
        <v>1078950</v>
      </c>
      <c r="H31" s="99">
        <v>118232</v>
      </c>
      <c r="I31" s="99"/>
      <c r="J31" s="99">
        <f t="shared" si="12"/>
        <v>0</v>
      </c>
      <c r="K31" s="99"/>
      <c r="L31" s="99"/>
      <c r="M31" s="99"/>
      <c r="N31" s="99"/>
      <c r="O31" s="99"/>
      <c r="P31" s="99">
        <f t="shared" si="10"/>
        <v>1539992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59" t="s">
        <v>306</v>
      </c>
      <c r="B32" s="93" t="str">
        <f>'дод 8'!A139</f>
        <v>3242</v>
      </c>
      <c r="C32" s="93" t="str">
        <f>'дод 8'!B139</f>
        <v>1090</v>
      </c>
      <c r="D32" s="60" t="s">
        <v>412</v>
      </c>
      <c r="E32" s="99">
        <f t="shared" si="9"/>
        <v>257400</v>
      </c>
      <c r="F32" s="99">
        <v>257400</v>
      </c>
      <c r="G32" s="99"/>
      <c r="H32" s="99"/>
      <c r="I32" s="99"/>
      <c r="J32" s="99">
        <f t="shared" si="12"/>
        <v>0</v>
      </c>
      <c r="K32" s="99"/>
      <c r="L32" s="99"/>
      <c r="M32" s="99"/>
      <c r="N32" s="99"/>
      <c r="O32" s="99"/>
      <c r="P32" s="99">
        <f t="shared" si="10"/>
        <v>257400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49.5" customHeight="1" x14ac:dyDescent="0.25">
      <c r="A33" s="59" t="s">
        <v>318</v>
      </c>
      <c r="B33" s="93" t="str">
        <f>'дод 8'!A143</f>
        <v>4060</v>
      </c>
      <c r="C33" s="93" t="str">
        <f>'дод 8'!B143</f>
        <v>0828</v>
      </c>
      <c r="D33" s="60" t="s">
        <v>321</v>
      </c>
      <c r="E33" s="99">
        <f t="shared" si="9"/>
        <v>4945509</v>
      </c>
      <c r="F33" s="102">
        <v>4945509</v>
      </c>
      <c r="G33" s="99">
        <v>2526200</v>
      </c>
      <c r="H33" s="99">
        <v>724709</v>
      </c>
      <c r="I33" s="99"/>
      <c r="J33" s="99">
        <f t="shared" si="12"/>
        <v>0</v>
      </c>
      <c r="K33" s="99"/>
      <c r="L33" s="99"/>
      <c r="M33" s="99"/>
      <c r="N33" s="99"/>
      <c r="O33" s="99"/>
      <c r="P33" s="99">
        <f t="shared" si="10"/>
        <v>4945509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59" t="s">
        <v>303</v>
      </c>
      <c r="B34" s="93" t="str">
        <f>'дод 8'!A144</f>
        <v>4081</v>
      </c>
      <c r="C34" s="93" t="str">
        <f>'дод 8'!B144</f>
        <v>0829</v>
      </c>
      <c r="D34" s="60" t="s">
        <v>343</v>
      </c>
      <c r="E34" s="99">
        <f t="shared" si="9"/>
        <v>2963381</v>
      </c>
      <c r="F34" s="99">
        <v>2963381</v>
      </c>
      <c r="G34" s="99">
        <v>1687000</v>
      </c>
      <c r="H34" s="99">
        <v>93181</v>
      </c>
      <c r="I34" s="99"/>
      <c r="J34" s="99">
        <f t="shared" si="12"/>
        <v>65000</v>
      </c>
      <c r="K34" s="99">
        <v>65000</v>
      </c>
      <c r="L34" s="99"/>
      <c r="M34" s="99"/>
      <c r="N34" s="99"/>
      <c r="O34" s="99">
        <v>65000</v>
      </c>
      <c r="P34" s="99">
        <f t="shared" si="10"/>
        <v>3028381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59" t="s">
        <v>304</v>
      </c>
      <c r="B35" s="93" t="str">
        <f>'дод 8'!A145</f>
        <v>4082</v>
      </c>
      <c r="C35" s="93" t="str">
        <f>'дод 8'!B145</f>
        <v>0829</v>
      </c>
      <c r="D35" s="60" t="s">
        <v>295</v>
      </c>
      <c r="E35" s="99">
        <f t="shared" si="9"/>
        <v>424181</v>
      </c>
      <c r="F35" s="99">
        <v>424181</v>
      </c>
      <c r="G35" s="99"/>
      <c r="H35" s="99"/>
      <c r="I35" s="99"/>
      <c r="J35" s="99">
        <f t="shared" si="12"/>
        <v>0</v>
      </c>
      <c r="K35" s="99"/>
      <c r="L35" s="99"/>
      <c r="M35" s="99"/>
      <c r="N35" s="99"/>
      <c r="O35" s="99"/>
      <c r="P35" s="99">
        <f t="shared" si="10"/>
        <v>424181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3" t="s">
        <v>156</v>
      </c>
      <c r="B36" s="42" t="str">
        <f>'дод 8'!A148</f>
        <v>5011</v>
      </c>
      <c r="C36" s="42" t="str">
        <f>'дод 8'!B148</f>
        <v>0810</v>
      </c>
      <c r="D36" s="36" t="s">
        <v>21</v>
      </c>
      <c r="E36" s="99">
        <f t="shared" si="9"/>
        <v>710000</v>
      </c>
      <c r="F36" s="99">
        <v>710000</v>
      </c>
      <c r="G36" s="99"/>
      <c r="H36" s="99"/>
      <c r="I36" s="99"/>
      <c r="J36" s="99">
        <f t="shared" si="12"/>
        <v>0</v>
      </c>
      <c r="K36" s="99"/>
      <c r="L36" s="99"/>
      <c r="M36" s="99"/>
      <c r="N36" s="99"/>
      <c r="O36" s="99"/>
      <c r="P36" s="99">
        <f t="shared" si="10"/>
        <v>710000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3" t="s">
        <v>157</v>
      </c>
      <c r="B37" s="42" t="str">
        <f>'дод 8'!A149</f>
        <v>5012</v>
      </c>
      <c r="C37" s="42" t="str">
        <f>'дод 8'!B149</f>
        <v>0810</v>
      </c>
      <c r="D37" s="36" t="s">
        <v>16</v>
      </c>
      <c r="E37" s="99">
        <f t="shared" si="9"/>
        <v>1031480</v>
      </c>
      <c r="F37" s="99">
        <v>1031480</v>
      </c>
      <c r="G37" s="99"/>
      <c r="H37" s="99"/>
      <c r="I37" s="99"/>
      <c r="J37" s="99">
        <f t="shared" si="12"/>
        <v>0</v>
      </c>
      <c r="K37" s="99"/>
      <c r="L37" s="99"/>
      <c r="M37" s="99"/>
      <c r="N37" s="99"/>
      <c r="O37" s="99"/>
      <c r="P37" s="99">
        <f t="shared" si="10"/>
        <v>1031480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4.5" customHeight="1" x14ac:dyDescent="0.25">
      <c r="A38" s="103" t="s">
        <v>158</v>
      </c>
      <c r="B38" s="42" t="str">
        <f>'дод 8'!A150</f>
        <v>5031</v>
      </c>
      <c r="C38" s="42" t="str">
        <f>'дод 8'!B150</f>
        <v>0810</v>
      </c>
      <c r="D38" s="36" t="s">
        <v>605</v>
      </c>
      <c r="E38" s="99">
        <f t="shared" si="9"/>
        <v>18039683</v>
      </c>
      <c r="F38" s="99">
        <v>18039683</v>
      </c>
      <c r="G38" s="99">
        <v>12968625</v>
      </c>
      <c r="H38" s="99">
        <v>840273</v>
      </c>
      <c r="I38" s="99"/>
      <c r="J38" s="99">
        <f t="shared" si="12"/>
        <v>200700</v>
      </c>
      <c r="K38" s="99">
        <v>200700</v>
      </c>
      <c r="L38" s="99"/>
      <c r="M38" s="99"/>
      <c r="N38" s="99"/>
      <c r="O38" s="99">
        <v>200700</v>
      </c>
      <c r="P38" s="99">
        <f t="shared" si="10"/>
        <v>18240383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3" t="s">
        <v>357</v>
      </c>
      <c r="B39" s="42" t="str">
        <f>'дод 8'!A152</f>
        <v>5032</v>
      </c>
      <c r="C39" s="42" t="str">
        <f>'дод 8'!B152</f>
        <v>0810</v>
      </c>
      <c r="D39" s="36" t="s">
        <v>22</v>
      </c>
      <c r="E39" s="99">
        <f t="shared" si="9"/>
        <v>14952642</v>
      </c>
      <c r="F39" s="99">
        <v>14952642</v>
      </c>
      <c r="G39" s="99"/>
      <c r="H39" s="99"/>
      <c r="I39" s="99"/>
      <c r="J39" s="99">
        <f t="shared" si="12"/>
        <v>372100</v>
      </c>
      <c r="K39" s="99">
        <v>372100</v>
      </c>
      <c r="L39" s="99"/>
      <c r="M39" s="99"/>
      <c r="N39" s="99"/>
      <c r="O39" s="99">
        <v>372100</v>
      </c>
      <c r="P39" s="99">
        <f t="shared" si="10"/>
        <v>15324742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3" t="s">
        <v>159</v>
      </c>
      <c r="B40" s="42" t="str">
        <f>'дод 8'!A153</f>
        <v>5061</v>
      </c>
      <c r="C40" s="42" t="str">
        <f>'дод 8'!B153</f>
        <v>0810</v>
      </c>
      <c r="D40" s="36" t="str">
        <f>'дод 8'!C153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99">
        <f t="shared" si="9"/>
        <v>4983184</v>
      </c>
      <c r="F40" s="99">
        <v>4983184</v>
      </c>
      <c r="G40" s="99">
        <v>2987400</v>
      </c>
      <c r="H40" s="99">
        <v>319039</v>
      </c>
      <c r="I40" s="99"/>
      <c r="J40" s="99">
        <f t="shared" si="12"/>
        <v>1742994</v>
      </c>
      <c r="K40" s="99">
        <v>1530000</v>
      </c>
      <c r="L40" s="99">
        <v>212994</v>
      </c>
      <c r="M40" s="99">
        <v>119291</v>
      </c>
      <c r="N40" s="99">
        <v>50432</v>
      </c>
      <c r="O40" s="99">
        <v>1530000</v>
      </c>
      <c r="P40" s="99">
        <f t="shared" si="10"/>
        <v>6726178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3" t="s">
        <v>349</v>
      </c>
      <c r="B41" s="42" t="str">
        <f>'дод 8'!A154</f>
        <v>5062</v>
      </c>
      <c r="C41" s="42" t="str">
        <f>'дод 8'!B154</f>
        <v>0810</v>
      </c>
      <c r="D41" s="36" t="str">
        <f>'дод 8'!C154</f>
        <v>Підтримка спорту вищих досягнень та організацій, які здійснюють фізкультурно-спортивну діяльність в регіоні</v>
      </c>
      <c r="E41" s="99">
        <f t="shared" si="9"/>
        <v>14968695</v>
      </c>
      <c r="F41" s="99">
        <v>14968695</v>
      </c>
      <c r="G41" s="99"/>
      <c r="H41" s="99"/>
      <c r="I41" s="99"/>
      <c r="J41" s="99">
        <f t="shared" si="12"/>
        <v>0</v>
      </c>
      <c r="K41" s="99"/>
      <c r="L41" s="99"/>
      <c r="M41" s="99"/>
      <c r="N41" s="99"/>
      <c r="O41" s="99"/>
      <c r="P41" s="99">
        <f t="shared" si="10"/>
        <v>14968695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3" t="s">
        <v>414</v>
      </c>
      <c r="B42" s="42">
        <v>7325</v>
      </c>
      <c r="C42" s="73" t="s">
        <v>111</v>
      </c>
      <c r="D42" s="6" t="s">
        <v>546</v>
      </c>
      <c r="E42" s="99">
        <f t="shared" si="9"/>
        <v>0</v>
      </c>
      <c r="F42" s="99"/>
      <c r="G42" s="99"/>
      <c r="H42" s="99"/>
      <c r="I42" s="99"/>
      <c r="J42" s="99">
        <f t="shared" si="12"/>
        <v>9790000</v>
      </c>
      <c r="K42" s="99">
        <v>9790000</v>
      </c>
      <c r="L42" s="99"/>
      <c r="M42" s="99"/>
      <c r="N42" s="99"/>
      <c r="O42" s="99">
        <v>9790000</v>
      </c>
      <c r="P42" s="99">
        <f t="shared" si="10"/>
        <v>9790000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3" t="s">
        <v>415</v>
      </c>
      <c r="B43" s="42">
        <v>7330</v>
      </c>
      <c r="C43" s="73" t="s">
        <v>111</v>
      </c>
      <c r="D43" s="6" t="s">
        <v>547</v>
      </c>
      <c r="E43" s="99">
        <f t="shared" si="9"/>
        <v>0</v>
      </c>
      <c r="F43" s="99"/>
      <c r="G43" s="99"/>
      <c r="H43" s="99"/>
      <c r="I43" s="99"/>
      <c r="J43" s="99">
        <f t="shared" si="12"/>
        <v>400000</v>
      </c>
      <c r="K43" s="99">
        <v>400000</v>
      </c>
      <c r="L43" s="99"/>
      <c r="M43" s="99"/>
      <c r="N43" s="99"/>
      <c r="O43" s="99">
        <v>400000</v>
      </c>
      <c r="P43" s="99">
        <f t="shared" si="10"/>
        <v>400000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3" t="s">
        <v>160</v>
      </c>
      <c r="B44" s="42" t="str">
        <f>'дод 8'!A198</f>
        <v>7412</v>
      </c>
      <c r="C44" s="42" t="str">
        <f>'дод 8'!B198</f>
        <v>0451</v>
      </c>
      <c r="D44" s="36" t="str">
        <f>'дод 8'!C198</f>
        <v>Регулювання цін на послуги місцевого автотранспорту</v>
      </c>
      <c r="E44" s="99">
        <f t="shared" si="9"/>
        <v>6542500</v>
      </c>
      <c r="F44" s="99"/>
      <c r="G44" s="99"/>
      <c r="H44" s="99"/>
      <c r="I44" s="99">
        <v>6542500</v>
      </c>
      <c r="J44" s="99">
        <f t="shared" si="12"/>
        <v>0</v>
      </c>
      <c r="K44" s="99"/>
      <c r="L44" s="99"/>
      <c r="M44" s="99"/>
      <c r="N44" s="99"/>
      <c r="O44" s="99"/>
      <c r="P44" s="99">
        <f t="shared" si="10"/>
        <v>6542500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3" t="s">
        <v>377</v>
      </c>
      <c r="B45" s="42">
        <f>'дод 8'!A199</f>
        <v>7413</v>
      </c>
      <c r="C45" s="42" t="str">
        <f>'дод 8'!B199</f>
        <v>0451</v>
      </c>
      <c r="D45" s="104" t="str">
        <f>'дод 8'!C199</f>
        <v>Інші заходи у сфері автотранспорту</v>
      </c>
      <c r="E45" s="99">
        <f t="shared" si="9"/>
        <v>12800000</v>
      </c>
      <c r="F45" s="99"/>
      <c r="G45" s="99"/>
      <c r="H45" s="99"/>
      <c r="I45" s="99">
        <v>12800000</v>
      </c>
      <c r="J45" s="99">
        <f t="shared" si="12"/>
        <v>0</v>
      </c>
      <c r="K45" s="99"/>
      <c r="L45" s="99"/>
      <c r="M45" s="99"/>
      <c r="N45" s="99"/>
      <c r="O45" s="99"/>
      <c r="P45" s="99">
        <f t="shared" si="10"/>
        <v>12800000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31.5" x14ac:dyDescent="0.25">
      <c r="A46" s="103" t="s">
        <v>567</v>
      </c>
      <c r="B46" s="42">
        <v>7422</v>
      </c>
      <c r="C46" s="103" t="s">
        <v>413</v>
      </c>
      <c r="D46" s="104" t="s">
        <v>568</v>
      </c>
      <c r="E46" s="99">
        <f t="shared" si="9"/>
        <v>4314400</v>
      </c>
      <c r="F46" s="99"/>
      <c r="G46" s="99"/>
      <c r="H46" s="99"/>
      <c r="I46" s="99">
        <v>4314400</v>
      </c>
      <c r="J46" s="99">
        <f t="shared" si="12"/>
        <v>0</v>
      </c>
      <c r="K46" s="99"/>
      <c r="L46" s="99"/>
      <c r="M46" s="99"/>
      <c r="N46" s="99"/>
      <c r="O46" s="99"/>
      <c r="P46" s="99">
        <f t="shared" si="10"/>
        <v>4314400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3" t="s">
        <v>378</v>
      </c>
      <c r="B47" s="42">
        <f>'дод 8'!A201</f>
        <v>7426</v>
      </c>
      <c r="C47" s="103" t="s">
        <v>413</v>
      </c>
      <c r="D47" s="104" t="str">
        <f>'дод 8'!C201</f>
        <v>Інші заходи у сфері електротранспорту</v>
      </c>
      <c r="E47" s="99">
        <f t="shared" si="9"/>
        <v>37442296</v>
      </c>
      <c r="F47" s="99"/>
      <c r="G47" s="99"/>
      <c r="H47" s="99"/>
      <c r="I47" s="99">
        <v>37442296</v>
      </c>
      <c r="J47" s="99">
        <f t="shared" si="12"/>
        <v>0</v>
      </c>
      <c r="K47" s="99"/>
      <c r="L47" s="99"/>
      <c r="M47" s="99"/>
      <c r="N47" s="99"/>
      <c r="O47" s="99"/>
      <c r="P47" s="99">
        <f t="shared" si="10"/>
        <v>37442296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24" customHeight="1" x14ac:dyDescent="0.25">
      <c r="A48" s="103" t="s">
        <v>454</v>
      </c>
      <c r="B48" s="103" t="s">
        <v>455</v>
      </c>
      <c r="C48" s="103" t="s">
        <v>400</v>
      </c>
      <c r="D48" s="104" t="s">
        <v>461</v>
      </c>
      <c r="E48" s="99">
        <f t="shared" si="9"/>
        <v>140000</v>
      </c>
      <c r="F48" s="99">
        <v>140000</v>
      </c>
      <c r="G48" s="99"/>
      <c r="H48" s="99"/>
      <c r="I48" s="99"/>
      <c r="J48" s="99">
        <f t="shared" si="12"/>
        <v>0</v>
      </c>
      <c r="K48" s="99"/>
      <c r="L48" s="99"/>
      <c r="M48" s="99"/>
      <c r="N48" s="99"/>
      <c r="O48" s="99"/>
      <c r="P48" s="99">
        <f t="shared" si="10"/>
        <v>140000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0.75" customHeight="1" x14ac:dyDescent="0.25">
      <c r="A49" s="103" t="s">
        <v>233</v>
      </c>
      <c r="B49" s="42" t="str">
        <f>'дод 8'!A211</f>
        <v>7530</v>
      </c>
      <c r="C49" s="42" t="str">
        <f>'дод 8'!B211</f>
        <v>0460</v>
      </c>
      <c r="D49" s="36" t="s">
        <v>234</v>
      </c>
      <c r="E49" s="99">
        <f t="shared" si="9"/>
        <v>7250000</v>
      </c>
      <c r="F49" s="99">
        <v>7250000</v>
      </c>
      <c r="G49" s="99"/>
      <c r="H49" s="99"/>
      <c r="I49" s="99"/>
      <c r="J49" s="99">
        <f t="shared" si="12"/>
        <v>3150000</v>
      </c>
      <c r="K49" s="99">
        <v>3150000</v>
      </c>
      <c r="L49" s="99"/>
      <c r="M49" s="99"/>
      <c r="N49" s="99"/>
      <c r="O49" s="99">
        <v>3150000</v>
      </c>
      <c r="P49" s="99">
        <f t="shared" si="10"/>
        <v>10400000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1.5" customHeight="1" x14ac:dyDescent="0.25">
      <c r="A50" s="103" t="s">
        <v>161</v>
      </c>
      <c r="B50" s="42" t="str">
        <f>'дод 8'!A214</f>
        <v>7610</v>
      </c>
      <c r="C50" s="42" t="str">
        <f>'дод 8'!B214</f>
        <v>0411</v>
      </c>
      <c r="D50" s="36" t="str">
        <f>'дод 8'!C214</f>
        <v>Сприяння розвитку малого та середнього підприємництва</v>
      </c>
      <c r="E50" s="99">
        <f t="shared" si="9"/>
        <v>60000</v>
      </c>
      <c r="F50" s="99">
        <v>60000</v>
      </c>
      <c r="G50" s="99"/>
      <c r="H50" s="99"/>
      <c r="I50" s="99"/>
      <c r="J50" s="99">
        <f t="shared" si="12"/>
        <v>0</v>
      </c>
      <c r="K50" s="99"/>
      <c r="L50" s="99"/>
      <c r="M50" s="99"/>
      <c r="N50" s="99"/>
      <c r="O50" s="99"/>
      <c r="P50" s="99">
        <f t="shared" si="10"/>
        <v>60000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3.75" customHeight="1" x14ac:dyDescent="0.25">
      <c r="A51" s="103" t="s">
        <v>162</v>
      </c>
      <c r="B51" s="42" t="str">
        <f>'дод 8'!A219</f>
        <v>7670</v>
      </c>
      <c r="C51" s="42" t="str">
        <f>'дод 8'!B219</f>
        <v>0490</v>
      </c>
      <c r="D51" s="36" t="s">
        <v>24</v>
      </c>
      <c r="E51" s="99">
        <f t="shared" si="9"/>
        <v>0</v>
      </c>
      <c r="F51" s="99"/>
      <c r="G51" s="99"/>
      <c r="H51" s="99"/>
      <c r="I51" s="99"/>
      <c r="J51" s="99">
        <f t="shared" si="12"/>
        <v>18997900</v>
      </c>
      <c r="K51" s="99">
        <v>18997900</v>
      </c>
      <c r="L51" s="99"/>
      <c r="M51" s="99"/>
      <c r="N51" s="99"/>
      <c r="O51" s="99">
        <v>18997900</v>
      </c>
      <c r="P51" s="99">
        <f t="shared" si="10"/>
        <v>18997900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36.75" customHeight="1" x14ac:dyDescent="0.25">
      <c r="A52" s="103" t="s">
        <v>247</v>
      </c>
      <c r="B52" s="42" t="str">
        <f>'дод 8'!A221</f>
        <v>7680</v>
      </c>
      <c r="C52" s="42" t="str">
        <f>'дод 8'!B221</f>
        <v>0490</v>
      </c>
      <c r="D52" s="36" t="str">
        <f>'дод 8'!C221</f>
        <v>Членські внески до асоціацій органів місцевого самоврядування</v>
      </c>
      <c r="E52" s="99">
        <f t="shared" si="9"/>
        <v>356337</v>
      </c>
      <c r="F52" s="99">
        <v>356337</v>
      </c>
      <c r="G52" s="99"/>
      <c r="H52" s="99"/>
      <c r="I52" s="99"/>
      <c r="J52" s="99">
        <f t="shared" si="12"/>
        <v>0</v>
      </c>
      <c r="K52" s="99"/>
      <c r="L52" s="99"/>
      <c r="M52" s="99"/>
      <c r="N52" s="99"/>
      <c r="O52" s="99"/>
      <c r="P52" s="99">
        <f t="shared" si="10"/>
        <v>356337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120.75" customHeight="1" x14ac:dyDescent="0.25">
      <c r="A53" s="103" t="s">
        <v>301</v>
      </c>
      <c r="B53" s="42" t="str">
        <f>'дод 8'!A222</f>
        <v>7691</v>
      </c>
      <c r="C53" s="42" t="str">
        <f>'дод 8'!B222</f>
        <v>0490</v>
      </c>
      <c r="D53" s="36" t="str">
        <f>'дод 8'!C222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99">
        <f t="shared" si="9"/>
        <v>0</v>
      </c>
      <c r="F53" s="99"/>
      <c r="G53" s="99"/>
      <c r="H53" s="99"/>
      <c r="I53" s="99"/>
      <c r="J53" s="99">
        <f t="shared" si="12"/>
        <v>54101</v>
      </c>
      <c r="K53" s="99"/>
      <c r="L53" s="99">
        <v>54101</v>
      </c>
      <c r="M53" s="99"/>
      <c r="N53" s="99"/>
      <c r="O53" s="99"/>
      <c r="P53" s="99">
        <f t="shared" si="10"/>
        <v>54101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23.25" customHeight="1" x14ac:dyDescent="0.25">
      <c r="A54" s="103" t="s">
        <v>240</v>
      </c>
      <c r="B54" s="42" t="str">
        <f>'дод 8'!A223</f>
        <v>7693</v>
      </c>
      <c r="C54" s="42" t="str">
        <f>'дод 8'!B223</f>
        <v>0490</v>
      </c>
      <c r="D54" s="36" t="str">
        <f>'дод 8'!C223</f>
        <v>Інші заходи, пов'язані з економічною діяльністю</v>
      </c>
      <c r="E54" s="99">
        <f t="shared" si="9"/>
        <v>668626</v>
      </c>
      <c r="F54" s="99">
        <v>668626</v>
      </c>
      <c r="G54" s="99"/>
      <c r="H54" s="99"/>
      <c r="I54" s="99"/>
      <c r="J54" s="99">
        <f t="shared" si="12"/>
        <v>0</v>
      </c>
      <c r="K54" s="99"/>
      <c r="L54" s="99"/>
      <c r="M54" s="99"/>
      <c r="N54" s="99"/>
      <c r="O54" s="99"/>
      <c r="P54" s="99">
        <f t="shared" si="10"/>
        <v>668626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4.5" customHeight="1" x14ac:dyDescent="0.25">
      <c r="A55" s="103" t="s">
        <v>163</v>
      </c>
      <c r="B55" s="42" t="str">
        <f>'дод 8'!A230</f>
        <v>8110</v>
      </c>
      <c r="C55" s="42" t="str">
        <f>'дод 8'!B230</f>
        <v>0320</v>
      </c>
      <c r="D55" s="36" t="str">
        <f>'дод 8'!C230</f>
        <v>Заходи із запобігання та ліквідації надзвичайних ситуацій та наслідків стихійного лиха</v>
      </c>
      <c r="E55" s="99">
        <f t="shared" si="9"/>
        <v>283487.34000000003</v>
      </c>
      <c r="F55" s="99">
        <v>283487.34000000003</v>
      </c>
      <c r="G55" s="99"/>
      <c r="H55" s="99">
        <v>6500</v>
      </c>
      <c r="I55" s="99"/>
      <c r="J55" s="99">
        <f t="shared" si="12"/>
        <v>1398264.66</v>
      </c>
      <c r="K55" s="99">
        <v>1398264.66</v>
      </c>
      <c r="L55" s="99"/>
      <c r="M55" s="99"/>
      <c r="N55" s="99"/>
      <c r="O55" s="99">
        <v>1398264.66</v>
      </c>
      <c r="P55" s="99">
        <f t="shared" si="10"/>
        <v>1681752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2" customFormat="1" ht="30.75" customHeight="1" x14ac:dyDescent="0.25">
      <c r="A56" s="103" t="s">
        <v>223</v>
      </c>
      <c r="B56" s="42" t="str">
        <f>'дод 8'!A231</f>
        <v>8120</v>
      </c>
      <c r="C56" s="42" t="str">
        <f>'дод 8'!B231</f>
        <v>0320</v>
      </c>
      <c r="D56" s="36" t="str">
        <f>'дод 8'!C231</f>
        <v>Заходи з організації рятування на водах, у т.ч. за рахунок:</v>
      </c>
      <c r="E56" s="99">
        <f t="shared" si="9"/>
        <v>2449105</v>
      </c>
      <c r="F56" s="99">
        <v>2449105</v>
      </c>
      <c r="G56" s="99">
        <v>1906900</v>
      </c>
      <c r="H56" s="99">
        <v>73705</v>
      </c>
      <c r="I56" s="99"/>
      <c r="J56" s="99">
        <f t="shared" si="12"/>
        <v>5700</v>
      </c>
      <c r="K56" s="99"/>
      <c r="L56" s="99">
        <v>5700</v>
      </c>
      <c r="M56" s="99"/>
      <c r="N56" s="99">
        <v>1400</v>
      </c>
      <c r="O56" s="99"/>
      <c r="P56" s="99">
        <f t="shared" si="10"/>
        <v>2454805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</row>
    <row r="57" spans="1:527" s="24" customFormat="1" ht="63" x14ac:dyDescent="0.25">
      <c r="A57" s="105"/>
      <c r="B57" s="88"/>
      <c r="C57" s="88"/>
      <c r="D57" s="87" t="str">
        <f>'дод 8'!C232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1">
        <f t="shared" si="9"/>
        <v>588815</v>
      </c>
      <c r="F57" s="101">
        <v>588815</v>
      </c>
      <c r="G57" s="101">
        <v>482635</v>
      </c>
      <c r="H57" s="101"/>
      <c r="I57" s="101"/>
      <c r="J57" s="101">
        <f t="shared" si="12"/>
        <v>0</v>
      </c>
      <c r="K57" s="101"/>
      <c r="L57" s="101"/>
      <c r="M57" s="101"/>
      <c r="N57" s="101"/>
      <c r="O57" s="101"/>
      <c r="P57" s="101">
        <f t="shared" si="10"/>
        <v>588815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</row>
    <row r="58" spans="1:527" s="22" customFormat="1" ht="21.75" customHeight="1" x14ac:dyDescent="0.25">
      <c r="A58" s="103" t="s">
        <v>243</v>
      </c>
      <c r="B58" s="42" t="str">
        <f>'дод 8'!A234</f>
        <v>8230</v>
      </c>
      <c r="C58" s="42" t="str">
        <f>'дод 8'!B234</f>
        <v>0380</v>
      </c>
      <c r="D58" s="36" t="str">
        <f>'дод 8'!C234</f>
        <v>Інші заходи громадського порядку та безпеки</v>
      </c>
      <c r="E58" s="99">
        <f t="shared" si="9"/>
        <v>427256</v>
      </c>
      <c r="F58" s="99">
        <v>427256</v>
      </c>
      <c r="G58" s="99"/>
      <c r="H58" s="99">
        <v>257942</v>
      </c>
      <c r="I58" s="99"/>
      <c r="J58" s="99">
        <f t="shared" si="12"/>
        <v>0</v>
      </c>
      <c r="K58" s="99"/>
      <c r="L58" s="99"/>
      <c r="M58" s="99"/>
      <c r="N58" s="99"/>
      <c r="O58" s="99"/>
      <c r="P58" s="99">
        <f t="shared" si="10"/>
        <v>427256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36" customHeight="1" x14ac:dyDescent="0.25">
      <c r="A59" s="59" t="s">
        <v>164</v>
      </c>
      <c r="B59" s="93" t="str">
        <f>'дод 8'!A237</f>
        <v>8340</v>
      </c>
      <c r="C59" s="93" t="str">
        <f>'дод 8'!B237</f>
        <v>0540</v>
      </c>
      <c r="D59" s="60" t="str">
        <f>'дод 8'!C237</f>
        <v>Природоохоронні заходи за рахунок цільових фондів</v>
      </c>
      <c r="E59" s="99">
        <f t="shared" si="9"/>
        <v>0</v>
      </c>
      <c r="F59" s="99"/>
      <c r="G59" s="99"/>
      <c r="H59" s="99"/>
      <c r="I59" s="99"/>
      <c r="J59" s="99">
        <f t="shared" si="12"/>
        <v>250000</v>
      </c>
      <c r="K59" s="99"/>
      <c r="L59" s="99">
        <v>250000</v>
      </c>
      <c r="M59" s="99"/>
      <c r="N59" s="99"/>
      <c r="O59" s="99"/>
      <c r="P59" s="99">
        <f t="shared" si="10"/>
        <v>250000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26.25" customHeight="1" x14ac:dyDescent="0.25">
      <c r="A60" s="103" t="s">
        <v>254</v>
      </c>
      <c r="B60" s="42" t="str">
        <f>'дод 8'!A239</f>
        <v>8420</v>
      </c>
      <c r="C60" s="42" t="str">
        <f>'дод 8'!B239</f>
        <v>0830</v>
      </c>
      <c r="D60" s="36" t="str">
        <f>'дод 8'!C239</f>
        <v>Інші заходи у сфері засобів масової інформації</v>
      </c>
      <c r="E60" s="99">
        <f t="shared" si="9"/>
        <v>30000</v>
      </c>
      <c r="F60" s="99">
        <v>30000</v>
      </c>
      <c r="G60" s="99"/>
      <c r="H60" s="99"/>
      <c r="I60" s="99"/>
      <c r="J60" s="99">
        <f t="shared" si="12"/>
        <v>0</v>
      </c>
      <c r="K60" s="99"/>
      <c r="L60" s="99"/>
      <c r="M60" s="99"/>
      <c r="N60" s="99"/>
      <c r="O60" s="99"/>
      <c r="P60" s="99">
        <f t="shared" si="10"/>
        <v>30000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2" customFormat="1" ht="47.25" x14ac:dyDescent="0.25">
      <c r="A61" s="103" t="s">
        <v>381</v>
      </c>
      <c r="B61" s="42">
        <v>9800</v>
      </c>
      <c r="C61" s="103" t="s">
        <v>45</v>
      </c>
      <c r="D61" s="36" t="s">
        <v>367</v>
      </c>
      <c r="E61" s="99">
        <f t="shared" si="9"/>
        <v>2048799</v>
      </c>
      <c r="F61" s="99">
        <v>2048799</v>
      </c>
      <c r="G61" s="99"/>
      <c r="H61" s="99"/>
      <c r="I61" s="99"/>
      <c r="J61" s="99">
        <f t="shared" si="12"/>
        <v>1483000</v>
      </c>
      <c r="K61" s="99">
        <v>1483000</v>
      </c>
      <c r="L61" s="99"/>
      <c r="M61" s="99"/>
      <c r="N61" s="99"/>
      <c r="O61" s="99">
        <v>1483000</v>
      </c>
      <c r="P61" s="99">
        <f t="shared" si="10"/>
        <v>3531799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</row>
    <row r="62" spans="1:527" s="27" customFormat="1" ht="36" customHeight="1" x14ac:dyDescent="0.25">
      <c r="A62" s="106" t="s">
        <v>165</v>
      </c>
      <c r="B62" s="39"/>
      <c r="C62" s="39"/>
      <c r="D62" s="107" t="s">
        <v>25</v>
      </c>
      <c r="E62" s="95">
        <f>E63</f>
        <v>1161628339.23</v>
      </c>
      <c r="F62" s="95">
        <f t="shared" ref="F62:J62" si="13">F63</f>
        <v>1161628339.23</v>
      </c>
      <c r="G62" s="95">
        <f t="shared" si="13"/>
        <v>779065830</v>
      </c>
      <c r="H62" s="95">
        <f t="shared" si="13"/>
        <v>61951847</v>
      </c>
      <c r="I62" s="95">
        <f t="shared" si="13"/>
        <v>0</v>
      </c>
      <c r="J62" s="95">
        <f t="shared" si="13"/>
        <v>108753471.18000001</v>
      </c>
      <c r="K62" s="95">
        <f t="shared" ref="K62" si="14">K63</f>
        <v>67115021.180000007</v>
      </c>
      <c r="L62" s="95">
        <f t="shared" ref="L62" si="15">L63</f>
        <v>37465600</v>
      </c>
      <c r="M62" s="95">
        <f t="shared" ref="M62" si="16">M63</f>
        <v>2268060</v>
      </c>
      <c r="N62" s="95">
        <f t="shared" ref="N62" si="17">N63</f>
        <v>139890</v>
      </c>
      <c r="O62" s="95">
        <f t="shared" ref="O62:P62" si="18">O63</f>
        <v>71287871.180000007</v>
      </c>
      <c r="P62" s="95">
        <f t="shared" si="18"/>
        <v>1270381810.4100001</v>
      </c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  <c r="TG62" s="32"/>
    </row>
    <row r="63" spans="1:527" s="34" customFormat="1" ht="38.25" customHeight="1" x14ac:dyDescent="0.25">
      <c r="A63" s="108" t="s">
        <v>166</v>
      </c>
      <c r="B63" s="74"/>
      <c r="C63" s="74"/>
      <c r="D63" s="77" t="s">
        <v>508</v>
      </c>
      <c r="E63" s="98">
        <f>E76+E77+E78+E79+E80+E81+E84+E86+E88+E91+E93+E94+E95+E96+E97+E99+E100+E101+E103+E105+E107+E109+E111+E112+E113+E115+E117+E119+E120+E121+E122+E124+E125</f>
        <v>1161628339.23</v>
      </c>
      <c r="F63" s="98">
        <f t="shared" ref="F63:P63" si="19">F76+F77+F78+F79+F80+F81+F84+F86+F88+F91+F93+F94+F95+F96+F97+F99+F100+F101+F103+F105+F107+F109+F111+F112+F113+F115+F117+F119+F120+F121+F122+F124+F125</f>
        <v>1161628339.23</v>
      </c>
      <c r="G63" s="98">
        <f t="shared" si="19"/>
        <v>779065830</v>
      </c>
      <c r="H63" s="98">
        <f t="shared" si="19"/>
        <v>61951847</v>
      </c>
      <c r="I63" s="98">
        <f t="shared" si="19"/>
        <v>0</v>
      </c>
      <c r="J63" s="98">
        <f t="shared" si="19"/>
        <v>108753471.18000001</v>
      </c>
      <c r="K63" s="98">
        <f t="shared" si="19"/>
        <v>67115021.180000007</v>
      </c>
      <c r="L63" s="98">
        <f t="shared" si="19"/>
        <v>37465600</v>
      </c>
      <c r="M63" s="98">
        <f t="shared" si="19"/>
        <v>2268060</v>
      </c>
      <c r="N63" s="98">
        <f t="shared" si="19"/>
        <v>139890</v>
      </c>
      <c r="O63" s="98">
        <f t="shared" si="19"/>
        <v>71287871.180000007</v>
      </c>
      <c r="P63" s="98">
        <f t="shared" si="19"/>
        <v>1270381810.4100001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</row>
    <row r="64" spans="1:527" s="34" customFormat="1" ht="31.5" x14ac:dyDescent="0.25">
      <c r="A64" s="108"/>
      <c r="B64" s="74"/>
      <c r="C64" s="74"/>
      <c r="D64" s="77" t="s">
        <v>389</v>
      </c>
      <c r="E64" s="98">
        <f>E82+E85+E87</f>
        <v>482448000</v>
      </c>
      <c r="F64" s="98">
        <f t="shared" ref="F64:P64" si="20">F82+F85+F87</f>
        <v>482448000</v>
      </c>
      <c r="G64" s="98">
        <f t="shared" si="20"/>
        <v>396066000</v>
      </c>
      <c r="H64" s="98">
        <f t="shared" si="20"/>
        <v>0</v>
      </c>
      <c r="I64" s="98">
        <f t="shared" si="20"/>
        <v>0</v>
      </c>
      <c r="J64" s="98">
        <f t="shared" si="20"/>
        <v>0</v>
      </c>
      <c r="K64" s="98">
        <f t="shared" si="20"/>
        <v>0</v>
      </c>
      <c r="L64" s="98">
        <f t="shared" si="20"/>
        <v>0</v>
      </c>
      <c r="M64" s="98">
        <f t="shared" si="20"/>
        <v>0</v>
      </c>
      <c r="N64" s="98">
        <f t="shared" si="20"/>
        <v>0</v>
      </c>
      <c r="O64" s="98">
        <f t="shared" si="20"/>
        <v>0</v>
      </c>
      <c r="P64" s="98">
        <f t="shared" si="20"/>
        <v>482448000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63" hidden="1" customHeight="1" x14ac:dyDescent="0.25">
      <c r="A65" s="108"/>
      <c r="B65" s="74"/>
      <c r="C65" s="74"/>
      <c r="D65" s="77" t="s">
        <v>388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47.25" x14ac:dyDescent="0.25">
      <c r="A66" s="108"/>
      <c r="B66" s="74"/>
      <c r="C66" s="74"/>
      <c r="D66" s="77" t="s">
        <v>544</v>
      </c>
      <c r="E66" s="98">
        <f>E89</f>
        <v>246000</v>
      </c>
      <c r="F66" s="98">
        <f t="shared" ref="F66:P66" si="21">F89</f>
        <v>246000</v>
      </c>
      <c r="G66" s="98">
        <f t="shared" si="21"/>
        <v>0</v>
      </c>
      <c r="H66" s="98">
        <f t="shared" si="21"/>
        <v>0</v>
      </c>
      <c r="I66" s="98">
        <f t="shared" si="21"/>
        <v>0</v>
      </c>
      <c r="J66" s="98">
        <f t="shared" si="21"/>
        <v>1754000</v>
      </c>
      <c r="K66" s="98">
        <f t="shared" si="21"/>
        <v>1754000</v>
      </c>
      <c r="L66" s="98">
        <f t="shared" si="21"/>
        <v>0</v>
      </c>
      <c r="M66" s="98">
        <f t="shared" si="21"/>
        <v>0</v>
      </c>
      <c r="N66" s="98">
        <f t="shared" si="21"/>
        <v>0</v>
      </c>
      <c r="O66" s="98">
        <f t="shared" si="21"/>
        <v>1754000</v>
      </c>
      <c r="P66" s="98">
        <f t="shared" si="21"/>
        <v>2000000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7.25" x14ac:dyDescent="0.25">
      <c r="A67" s="108"/>
      <c r="B67" s="74"/>
      <c r="C67" s="74"/>
      <c r="D67" s="77" t="s">
        <v>384</v>
      </c>
      <c r="E67" s="98">
        <f t="shared" ref="E67:P67" si="22">E83+E98</f>
        <v>3578416</v>
      </c>
      <c r="F67" s="98">
        <f t="shared" si="22"/>
        <v>3578416</v>
      </c>
      <c r="G67" s="98">
        <f t="shared" si="22"/>
        <v>1228720</v>
      </c>
      <c r="H67" s="98">
        <f t="shared" si="22"/>
        <v>0</v>
      </c>
      <c r="I67" s="98">
        <f t="shared" si="22"/>
        <v>0</v>
      </c>
      <c r="J67" s="98">
        <f t="shared" si="22"/>
        <v>0</v>
      </c>
      <c r="K67" s="98">
        <f t="shared" si="22"/>
        <v>0</v>
      </c>
      <c r="L67" s="98">
        <f t="shared" si="22"/>
        <v>0</v>
      </c>
      <c r="M67" s="98">
        <f t="shared" si="22"/>
        <v>0</v>
      </c>
      <c r="N67" s="98">
        <f t="shared" si="22"/>
        <v>0</v>
      </c>
      <c r="O67" s="98">
        <f t="shared" si="22"/>
        <v>0</v>
      </c>
      <c r="P67" s="98">
        <f t="shared" si="22"/>
        <v>3578416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45" hidden="1" customHeight="1" x14ac:dyDescent="0.25">
      <c r="A68" s="108"/>
      <c r="B68" s="74"/>
      <c r="C68" s="74"/>
      <c r="D68" s="77" t="s">
        <v>386</v>
      </c>
      <c r="E68" s="98" t="e">
        <f>#REF!+E95</f>
        <v>#REF!</v>
      </c>
      <c r="F68" s="98" t="e">
        <f>#REF!+F95</f>
        <v>#REF!</v>
      </c>
      <c r="G68" s="98" t="e">
        <f>#REF!+G95</f>
        <v>#REF!</v>
      </c>
      <c r="H68" s="98" t="e">
        <f>#REF!+H95</f>
        <v>#REF!</v>
      </c>
      <c r="I68" s="98" t="e">
        <f>#REF!+I95</f>
        <v>#REF!</v>
      </c>
      <c r="J68" s="98" t="e">
        <f>#REF!+J95</f>
        <v>#REF!</v>
      </c>
      <c r="K68" s="98" t="e">
        <f>#REF!+K95</f>
        <v>#REF!</v>
      </c>
      <c r="L68" s="98" t="e">
        <f>#REF!+L95</f>
        <v>#REF!</v>
      </c>
      <c r="M68" s="98" t="e">
        <f>#REF!+M95</f>
        <v>#REF!</v>
      </c>
      <c r="N68" s="98" t="e">
        <f>#REF!+N95</f>
        <v>#REF!</v>
      </c>
      <c r="O68" s="98" t="e">
        <f>#REF!+O95</f>
        <v>#REF!</v>
      </c>
      <c r="P68" s="98" t="e">
        <f>#REF!+P95</f>
        <v>#REF!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63" x14ac:dyDescent="0.25">
      <c r="A69" s="108"/>
      <c r="B69" s="74"/>
      <c r="C69" s="74"/>
      <c r="D69" s="77" t="s">
        <v>383</v>
      </c>
      <c r="E69" s="98">
        <f>E108</f>
        <v>2612700</v>
      </c>
      <c r="F69" s="98">
        <f t="shared" ref="F69:P69" si="23">F108</f>
        <v>2612700</v>
      </c>
      <c r="G69" s="98">
        <f t="shared" si="23"/>
        <v>1459720</v>
      </c>
      <c r="H69" s="98">
        <f t="shared" si="23"/>
        <v>0</v>
      </c>
      <c r="I69" s="98">
        <f t="shared" si="23"/>
        <v>0</v>
      </c>
      <c r="J69" s="98">
        <f t="shared" si="23"/>
        <v>72000</v>
      </c>
      <c r="K69" s="98">
        <f t="shared" si="23"/>
        <v>72000</v>
      </c>
      <c r="L69" s="98">
        <f t="shared" si="23"/>
        <v>0</v>
      </c>
      <c r="M69" s="98">
        <f t="shared" si="23"/>
        <v>0</v>
      </c>
      <c r="N69" s="98">
        <f t="shared" si="23"/>
        <v>0</v>
      </c>
      <c r="O69" s="98">
        <f t="shared" si="23"/>
        <v>72000</v>
      </c>
      <c r="P69" s="98">
        <f t="shared" si="23"/>
        <v>2684700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80.25" customHeight="1" x14ac:dyDescent="0.25">
      <c r="A70" s="108"/>
      <c r="B70" s="148"/>
      <c r="C70" s="74"/>
      <c r="D70" s="77" t="s">
        <v>524</v>
      </c>
      <c r="E70" s="98">
        <f>E110</f>
        <v>1174231</v>
      </c>
      <c r="F70" s="98">
        <f t="shared" ref="F70:P70" si="24">F110</f>
        <v>1174231</v>
      </c>
      <c r="G70" s="98">
        <f t="shared" si="24"/>
        <v>962484</v>
      </c>
      <c r="H70" s="98">
        <f t="shared" si="24"/>
        <v>0</v>
      </c>
      <c r="I70" s="98">
        <f t="shared" si="24"/>
        <v>0</v>
      </c>
      <c r="J70" s="98">
        <f t="shared" si="24"/>
        <v>0</v>
      </c>
      <c r="K70" s="98">
        <f t="shared" si="24"/>
        <v>0</v>
      </c>
      <c r="L70" s="98">
        <f t="shared" si="24"/>
        <v>0</v>
      </c>
      <c r="M70" s="98">
        <f t="shared" si="24"/>
        <v>0</v>
      </c>
      <c r="N70" s="98">
        <f t="shared" si="24"/>
        <v>0</v>
      </c>
      <c r="O70" s="98">
        <f t="shared" si="24"/>
        <v>0</v>
      </c>
      <c r="P70" s="98">
        <f t="shared" si="24"/>
        <v>1174231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31.5" x14ac:dyDescent="0.25">
      <c r="A71" s="108"/>
      <c r="B71" s="74"/>
      <c r="C71" s="74"/>
      <c r="D71" s="77" t="s">
        <v>541</v>
      </c>
      <c r="E71" s="98">
        <f t="shared" ref="E71:P71" si="25">E90+E92+E123</f>
        <v>1434017.6</v>
      </c>
      <c r="F71" s="98">
        <f t="shared" si="25"/>
        <v>1434017.6</v>
      </c>
      <c r="G71" s="98">
        <f t="shared" si="25"/>
        <v>0</v>
      </c>
      <c r="H71" s="98">
        <f t="shared" si="25"/>
        <v>0</v>
      </c>
      <c r="I71" s="98">
        <f t="shared" si="25"/>
        <v>0</v>
      </c>
      <c r="J71" s="98">
        <f t="shared" si="25"/>
        <v>7663725.1799999997</v>
      </c>
      <c r="K71" s="98">
        <f t="shared" si="25"/>
        <v>7663725.1799999997</v>
      </c>
      <c r="L71" s="98">
        <f t="shared" si="25"/>
        <v>0</v>
      </c>
      <c r="M71" s="98">
        <f t="shared" si="25"/>
        <v>0</v>
      </c>
      <c r="N71" s="98">
        <f t="shared" si="25"/>
        <v>0</v>
      </c>
      <c r="O71" s="98">
        <f t="shared" si="25"/>
        <v>7663725.1799999997</v>
      </c>
      <c r="P71" s="98">
        <f t="shared" si="25"/>
        <v>9097742.7799999993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78.75" x14ac:dyDescent="0.25">
      <c r="A72" s="108"/>
      <c r="B72" s="74"/>
      <c r="C72" s="74"/>
      <c r="D72" s="77" t="s">
        <v>562</v>
      </c>
      <c r="E72" s="98">
        <f>E106</f>
        <v>6109696</v>
      </c>
      <c r="F72" s="98">
        <f t="shared" ref="F72:P72" si="26">F106</f>
        <v>6109696</v>
      </c>
      <c r="G72" s="98">
        <f t="shared" si="26"/>
        <v>0</v>
      </c>
      <c r="H72" s="98">
        <f t="shared" si="26"/>
        <v>0</v>
      </c>
      <c r="I72" s="98">
        <f t="shared" si="26"/>
        <v>0</v>
      </c>
      <c r="J72" s="98">
        <f t="shared" si="26"/>
        <v>797367</v>
      </c>
      <c r="K72" s="98">
        <f t="shared" si="26"/>
        <v>797367</v>
      </c>
      <c r="L72" s="98">
        <f t="shared" si="26"/>
        <v>0</v>
      </c>
      <c r="M72" s="98">
        <f t="shared" si="26"/>
        <v>0</v>
      </c>
      <c r="N72" s="98">
        <f t="shared" si="26"/>
        <v>0</v>
      </c>
      <c r="O72" s="98">
        <f t="shared" si="26"/>
        <v>797367</v>
      </c>
      <c r="P72" s="98">
        <f t="shared" si="26"/>
        <v>6907063</v>
      </c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34" customFormat="1" ht="51.75" customHeight="1" x14ac:dyDescent="0.25">
      <c r="A73" s="96"/>
      <c r="B73" s="109"/>
      <c r="C73" s="110"/>
      <c r="D73" s="77" t="s">
        <v>606</v>
      </c>
      <c r="E73" s="98">
        <f>E102</f>
        <v>287772</v>
      </c>
      <c r="F73" s="98">
        <f t="shared" ref="F73:P73" si="27">F102</f>
        <v>287772</v>
      </c>
      <c r="G73" s="98">
        <f t="shared" si="27"/>
        <v>0</v>
      </c>
      <c r="H73" s="98">
        <f t="shared" si="27"/>
        <v>0</v>
      </c>
      <c r="I73" s="98">
        <f t="shared" si="27"/>
        <v>0</v>
      </c>
      <c r="J73" s="98">
        <f t="shared" si="27"/>
        <v>2859728</v>
      </c>
      <c r="K73" s="98">
        <f t="shared" si="27"/>
        <v>2859728</v>
      </c>
      <c r="L73" s="98">
        <f t="shared" si="27"/>
        <v>0</v>
      </c>
      <c r="M73" s="98">
        <f t="shared" si="27"/>
        <v>0</v>
      </c>
      <c r="N73" s="98">
        <f t="shared" si="27"/>
        <v>0</v>
      </c>
      <c r="O73" s="98">
        <f t="shared" si="27"/>
        <v>2859728</v>
      </c>
      <c r="P73" s="98">
        <f t="shared" si="27"/>
        <v>3147500</v>
      </c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</row>
    <row r="74" spans="1:527" s="34" customFormat="1" ht="51" customHeight="1" x14ac:dyDescent="0.25">
      <c r="A74" s="108"/>
      <c r="B74" s="74"/>
      <c r="C74" s="74"/>
      <c r="D74" s="140" t="s">
        <v>388</v>
      </c>
      <c r="E74" s="98">
        <f>E118</f>
        <v>0</v>
      </c>
      <c r="F74" s="98">
        <f t="shared" ref="F74:P74" si="28">F118</f>
        <v>0</v>
      </c>
      <c r="G74" s="98">
        <f t="shared" si="28"/>
        <v>0</v>
      </c>
      <c r="H74" s="98">
        <f t="shared" si="28"/>
        <v>0</v>
      </c>
      <c r="I74" s="98">
        <f t="shared" si="28"/>
        <v>0</v>
      </c>
      <c r="J74" s="98">
        <f t="shared" si="28"/>
        <v>9499436</v>
      </c>
      <c r="K74" s="98">
        <f t="shared" si="28"/>
        <v>6006486</v>
      </c>
      <c r="L74" s="98">
        <f t="shared" si="28"/>
        <v>0</v>
      </c>
      <c r="M74" s="98">
        <f t="shared" si="28"/>
        <v>0</v>
      </c>
      <c r="N74" s="98">
        <f t="shared" si="28"/>
        <v>0</v>
      </c>
      <c r="O74" s="98">
        <f t="shared" si="28"/>
        <v>9499436</v>
      </c>
      <c r="P74" s="98">
        <f t="shared" si="28"/>
        <v>9499436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</row>
    <row r="75" spans="1:527" s="34" customFormat="1" ht="22.5" customHeight="1" x14ac:dyDescent="0.25">
      <c r="A75" s="108"/>
      <c r="B75" s="74"/>
      <c r="C75" s="74"/>
      <c r="D75" s="77" t="s">
        <v>395</v>
      </c>
      <c r="E75" s="98">
        <f>E104+E114+E116</f>
        <v>284064</v>
      </c>
      <c r="F75" s="98">
        <f t="shared" ref="F75:P75" si="29">F104+F114+F116</f>
        <v>284064</v>
      </c>
      <c r="G75" s="98">
        <f t="shared" si="29"/>
        <v>0</v>
      </c>
      <c r="H75" s="98">
        <f t="shared" si="29"/>
        <v>0</v>
      </c>
      <c r="I75" s="98">
        <f t="shared" si="29"/>
        <v>0</v>
      </c>
      <c r="J75" s="98">
        <f t="shared" si="29"/>
        <v>250000</v>
      </c>
      <c r="K75" s="98">
        <f t="shared" si="29"/>
        <v>250000</v>
      </c>
      <c r="L75" s="98">
        <f t="shared" si="29"/>
        <v>0</v>
      </c>
      <c r="M75" s="98">
        <f t="shared" si="29"/>
        <v>0</v>
      </c>
      <c r="N75" s="98">
        <f t="shared" si="29"/>
        <v>0</v>
      </c>
      <c r="O75" s="98">
        <f t="shared" si="29"/>
        <v>250000</v>
      </c>
      <c r="P75" s="98">
        <f t="shared" si="29"/>
        <v>534064</v>
      </c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</row>
    <row r="76" spans="1:527" s="22" customFormat="1" ht="45.75" customHeight="1" x14ac:dyDescent="0.25">
      <c r="A76" s="59" t="s">
        <v>167</v>
      </c>
      <c r="B76" s="93" t="str">
        <f>'дод 8'!A19</f>
        <v>0160</v>
      </c>
      <c r="C76" s="93" t="str">
        <f>'дод 8'!B19</f>
        <v>0111</v>
      </c>
      <c r="D76" s="36" t="s">
        <v>494</v>
      </c>
      <c r="E76" s="99">
        <f t="shared" ref="E76:E125" si="30">F76+I76</f>
        <v>3864285</v>
      </c>
      <c r="F76" s="99">
        <v>3864285</v>
      </c>
      <c r="G76" s="99">
        <v>2976200</v>
      </c>
      <c r="H76" s="99">
        <v>43585</v>
      </c>
      <c r="I76" s="99"/>
      <c r="J76" s="99">
        <f>L76+O76</f>
        <v>0</v>
      </c>
      <c r="K76" s="99">
        <v>0</v>
      </c>
      <c r="L76" s="99"/>
      <c r="M76" s="99"/>
      <c r="N76" s="99"/>
      <c r="O76" s="99">
        <v>0</v>
      </c>
      <c r="P76" s="99">
        <f t="shared" ref="P76:P125" si="31">E76+J76</f>
        <v>3864285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</row>
    <row r="77" spans="1:527" s="22" customFormat="1" ht="21.75" customHeight="1" x14ac:dyDescent="0.25">
      <c r="A77" s="59" t="s">
        <v>168</v>
      </c>
      <c r="B77" s="93" t="str">
        <f>'дод 8'!A36</f>
        <v>1010</v>
      </c>
      <c r="C77" s="93" t="str">
        <f>'дод 8'!B36</f>
        <v>0910</v>
      </c>
      <c r="D77" s="60" t="s">
        <v>503</v>
      </c>
      <c r="E77" s="99">
        <f t="shared" si="30"/>
        <v>297514346</v>
      </c>
      <c r="F77" s="99">
        <v>297514346</v>
      </c>
      <c r="G77" s="99">
        <v>205054200</v>
      </c>
      <c r="H77" s="99">
        <v>24363307</v>
      </c>
      <c r="I77" s="99"/>
      <c r="J77" s="99">
        <f>L77+O77</f>
        <v>12831180</v>
      </c>
      <c r="K77" s="99">
        <v>1071480</v>
      </c>
      <c r="L77" s="99">
        <v>11759700</v>
      </c>
      <c r="M77" s="99"/>
      <c r="N77" s="99"/>
      <c r="O77" s="99">
        <v>1071480</v>
      </c>
      <c r="P77" s="99">
        <f t="shared" si="31"/>
        <v>310345526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2" customFormat="1" ht="37.5" customHeight="1" x14ac:dyDescent="0.25">
      <c r="A78" s="59" t="s">
        <v>470</v>
      </c>
      <c r="B78" s="59">
        <f>'дод 8'!A38</f>
        <v>1021</v>
      </c>
      <c r="C78" s="93" t="str">
        <f>'дод 8'!B38</f>
        <v>0921</v>
      </c>
      <c r="D78" s="60" t="s">
        <v>584</v>
      </c>
      <c r="E78" s="99">
        <f t="shared" si="30"/>
        <v>209620109.19999999</v>
      </c>
      <c r="F78" s="99">
        <v>209620109.19999999</v>
      </c>
      <c r="G78" s="99">
        <v>116833485.94</v>
      </c>
      <c r="H78" s="99">
        <v>31973609.550000001</v>
      </c>
      <c r="I78" s="99"/>
      <c r="J78" s="99">
        <f t="shared" ref="J78:J125" si="32">L78+O78</f>
        <v>26423904</v>
      </c>
      <c r="K78" s="99">
        <v>1293104</v>
      </c>
      <c r="L78" s="99">
        <v>25130800</v>
      </c>
      <c r="M78" s="99">
        <v>2268060</v>
      </c>
      <c r="N78" s="99">
        <v>139890</v>
      </c>
      <c r="O78" s="99">
        <v>1293104</v>
      </c>
      <c r="P78" s="99">
        <f t="shared" si="31"/>
        <v>236044013.19999999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</row>
    <row r="79" spans="1:527" s="22" customFormat="1" ht="63" x14ac:dyDescent="0.25">
      <c r="A79" s="59" t="s">
        <v>472</v>
      </c>
      <c r="B79" s="93">
        <v>1022</v>
      </c>
      <c r="C79" s="59" t="s">
        <v>55</v>
      </c>
      <c r="D79" s="36" t="s">
        <v>473</v>
      </c>
      <c r="E79" s="99">
        <f t="shared" si="30"/>
        <v>14436307</v>
      </c>
      <c r="F79" s="99">
        <v>14436307</v>
      </c>
      <c r="G79" s="99">
        <v>8830500</v>
      </c>
      <c r="H79" s="99">
        <v>1512107</v>
      </c>
      <c r="I79" s="99"/>
      <c r="J79" s="99">
        <f t="shared" si="32"/>
        <v>97000</v>
      </c>
      <c r="K79" s="99">
        <v>97000</v>
      </c>
      <c r="L79" s="99"/>
      <c r="M79" s="99"/>
      <c r="N79" s="99"/>
      <c r="O79" s="99">
        <v>97000</v>
      </c>
      <c r="P79" s="99">
        <f t="shared" si="31"/>
        <v>14533307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</row>
    <row r="80" spans="1:527" s="22" customFormat="1" ht="63" x14ac:dyDescent="0.25">
      <c r="A80" s="59" t="s">
        <v>601</v>
      </c>
      <c r="B80" s="93">
        <v>1025</v>
      </c>
      <c r="C80" s="59" t="s">
        <v>55</v>
      </c>
      <c r="D80" s="36" t="s">
        <v>602</v>
      </c>
      <c r="E80" s="99">
        <f t="shared" si="30"/>
        <v>3993974.43</v>
      </c>
      <c r="F80" s="99">
        <v>3993974.43</v>
      </c>
      <c r="G80" s="99">
        <v>2829220.06</v>
      </c>
      <c r="H80" s="99">
        <v>306666.45</v>
      </c>
      <c r="I80" s="99"/>
      <c r="J80" s="99">
        <f t="shared" si="32"/>
        <v>0</v>
      </c>
      <c r="K80" s="99"/>
      <c r="L80" s="99"/>
      <c r="M80" s="99"/>
      <c r="N80" s="99"/>
      <c r="O80" s="99"/>
      <c r="P80" s="99">
        <f t="shared" si="31"/>
        <v>3993974.43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</row>
    <row r="81" spans="1:527" s="22" customFormat="1" ht="31.5" x14ac:dyDescent="0.25">
      <c r="A81" s="59" t="s">
        <v>474</v>
      </c>
      <c r="B81" s="93">
        <v>1031</v>
      </c>
      <c r="C81" s="59" t="s">
        <v>51</v>
      </c>
      <c r="D81" s="60" t="s">
        <v>504</v>
      </c>
      <c r="E81" s="99">
        <f t="shared" si="30"/>
        <v>468581848.54000002</v>
      </c>
      <c r="F81" s="99">
        <v>468581848.54000002</v>
      </c>
      <c r="G81" s="99">
        <v>382983978.35000002</v>
      </c>
      <c r="H81" s="99"/>
      <c r="I81" s="99"/>
      <c r="J81" s="99">
        <f t="shared" si="32"/>
        <v>0</v>
      </c>
      <c r="K81" s="99"/>
      <c r="L81" s="99"/>
      <c r="M81" s="99"/>
      <c r="N81" s="99"/>
      <c r="O81" s="99"/>
      <c r="P81" s="99">
        <f t="shared" si="31"/>
        <v>468581848.54000002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</row>
    <row r="82" spans="1:527" s="24" customFormat="1" ht="31.5" x14ac:dyDescent="0.25">
      <c r="A82" s="84"/>
      <c r="B82" s="111"/>
      <c r="C82" s="111"/>
      <c r="D82" s="87" t="s">
        <v>389</v>
      </c>
      <c r="E82" s="101">
        <f t="shared" si="30"/>
        <v>466502468.54000002</v>
      </c>
      <c r="F82" s="101">
        <v>466502468.54000002</v>
      </c>
      <c r="G82" s="101">
        <v>382983978.35000002</v>
      </c>
      <c r="H82" s="101"/>
      <c r="I82" s="101"/>
      <c r="J82" s="101">
        <f t="shared" si="32"/>
        <v>0</v>
      </c>
      <c r="K82" s="101"/>
      <c r="L82" s="101"/>
      <c r="M82" s="101"/>
      <c r="N82" s="101"/>
      <c r="O82" s="101"/>
      <c r="P82" s="101">
        <f t="shared" si="31"/>
        <v>466502468.54000002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</row>
    <row r="83" spans="1:527" s="24" customFormat="1" ht="47.25" x14ac:dyDescent="0.25">
      <c r="A83" s="84"/>
      <c r="B83" s="111"/>
      <c r="C83" s="111"/>
      <c r="D83" s="87" t="s">
        <v>384</v>
      </c>
      <c r="E83" s="101">
        <f t="shared" si="30"/>
        <v>2079380</v>
      </c>
      <c r="F83" s="101">
        <v>2079380</v>
      </c>
      <c r="G83" s="101"/>
      <c r="H83" s="101"/>
      <c r="I83" s="101"/>
      <c r="J83" s="101">
        <f t="shared" si="32"/>
        <v>0</v>
      </c>
      <c r="K83" s="101"/>
      <c r="L83" s="101"/>
      <c r="M83" s="101"/>
      <c r="N83" s="101"/>
      <c r="O83" s="101"/>
      <c r="P83" s="101">
        <f t="shared" si="31"/>
        <v>2079380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</row>
    <row r="84" spans="1:527" s="22" customFormat="1" ht="65.25" customHeight="1" x14ac:dyDescent="0.25">
      <c r="A84" s="59" t="s">
        <v>475</v>
      </c>
      <c r="B84" s="59" t="s">
        <v>476</v>
      </c>
      <c r="C84" s="59" t="s">
        <v>55</v>
      </c>
      <c r="D84" s="60" t="s">
        <v>505</v>
      </c>
      <c r="E84" s="99">
        <f t="shared" si="30"/>
        <v>15564500</v>
      </c>
      <c r="F84" s="99">
        <v>15564500</v>
      </c>
      <c r="G84" s="99">
        <v>12769100</v>
      </c>
      <c r="H84" s="99"/>
      <c r="I84" s="99"/>
      <c r="J84" s="99">
        <f t="shared" si="32"/>
        <v>0</v>
      </c>
      <c r="K84" s="99"/>
      <c r="L84" s="99"/>
      <c r="M84" s="99"/>
      <c r="N84" s="99"/>
      <c r="O84" s="99"/>
      <c r="P84" s="99">
        <f t="shared" si="31"/>
        <v>15564500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</row>
    <row r="85" spans="1:527" s="24" customFormat="1" ht="31.5" x14ac:dyDescent="0.25">
      <c r="A85" s="84"/>
      <c r="B85" s="111"/>
      <c r="C85" s="111"/>
      <c r="D85" s="87" t="s">
        <v>389</v>
      </c>
      <c r="E85" s="101">
        <f t="shared" ref="E85:E91" si="33">F85+I85</f>
        <v>15564500</v>
      </c>
      <c r="F85" s="101">
        <v>15564500</v>
      </c>
      <c r="G85" s="101">
        <v>12769100</v>
      </c>
      <c r="H85" s="101"/>
      <c r="I85" s="101"/>
      <c r="J85" s="101">
        <f t="shared" ref="J85:J87" si="34">L85+O85</f>
        <v>0</v>
      </c>
      <c r="K85" s="101"/>
      <c r="L85" s="101"/>
      <c r="M85" s="101"/>
      <c r="N85" s="101"/>
      <c r="O85" s="101"/>
      <c r="P85" s="101">
        <f t="shared" ref="P85:P87" si="35">E85+J85</f>
        <v>15564500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</row>
    <row r="86" spans="1:527" s="22" customFormat="1" ht="66.75" customHeight="1" x14ac:dyDescent="0.25">
      <c r="A86" s="59" t="s">
        <v>603</v>
      </c>
      <c r="B86" s="93">
        <v>1035</v>
      </c>
      <c r="C86" s="59" t="s">
        <v>55</v>
      </c>
      <c r="D86" s="36" t="s">
        <v>604</v>
      </c>
      <c r="E86" s="99">
        <f t="shared" si="30"/>
        <v>381031.46</v>
      </c>
      <c r="F86" s="99">
        <v>381031.46</v>
      </c>
      <c r="G86" s="99">
        <v>312921.65000000002</v>
      </c>
      <c r="H86" s="99"/>
      <c r="I86" s="99"/>
      <c r="J86" s="99">
        <f t="shared" si="32"/>
        <v>0</v>
      </c>
      <c r="K86" s="99"/>
      <c r="L86" s="99"/>
      <c r="M86" s="99"/>
      <c r="N86" s="99"/>
      <c r="O86" s="99"/>
      <c r="P86" s="99">
        <f t="shared" si="31"/>
        <v>381031.46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  <c r="TF86" s="23"/>
      <c r="TG86" s="23"/>
    </row>
    <row r="87" spans="1:527" s="24" customFormat="1" ht="31.5" x14ac:dyDescent="0.25">
      <c r="A87" s="84"/>
      <c r="B87" s="111"/>
      <c r="C87" s="84"/>
      <c r="D87" s="87" t="s">
        <v>389</v>
      </c>
      <c r="E87" s="101">
        <f t="shared" si="33"/>
        <v>381031.46</v>
      </c>
      <c r="F87" s="101">
        <v>381031.46</v>
      </c>
      <c r="G87" s="101">
        <v>312921.65000000002</v>
      </c>
      <c r="H87" s="101"/>
      <c r="I87" s="101"/>
      <c r="J87" s="101">
        <f t="shared" si="34"/>
        <v>0</v>
      </c>
      <c r="K87" s="101"/>
      <c r="L87" s="101"/>
      <c r="M87" s="101"/>
      <c r="N87" s="101"/>
      <c r="O87" s="101"/>
      <c r="P87" s="101">
        <f t="shared" si="35"/>
        <v>381031.46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</row>
    <row r="88" spans="1:527" s="24" customFormat="1" ht="31.5" x14ac:dyDescent="0.25">
      <c r="A88" s="59" t="s">
        <v>530</v>
      </c>
      <c r="B88" s="93">
        <v>1061</v>
      </c>
      <c r="C88" s="59" t="s">
        <v>51</v>
      </c>
      <c r="D88" s="36" t="s">
        <v>504</v>
      </c>
      <c r="E88" s="99">
        <f t="shared" si="33"/>
        <v>947017.6</v>
      </c>
      <c r="F88" s="99">
        <v>947017.6</v>
      </c>
      <c r="G88" s="101"/>
      <c r="H88" s="101"/>
      <c r="I88" s="101"/>
      <c r="J88" s="99">
        <f t="shared" si="32"/>
        <v>6110725.1799999997</v>
      </c>
      <c r="K88" s="99">
        <v>6110725.1799999997</v>
      </c>
      <c r="L88" s="99"/>
      <c r="M88" s="99"/>
      <c r="N88" s="99"/>
      <c r="O88" s="99">
        <v>6110725.1799999997</v>
      </c>
      <c r="P88" s="99">
        <f t="shared" si="31"/>
        <v>7057742.7799999993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</row>
    <row r="89" spans="1:527" s="24" customFormat="1" ht="46.5" customHeight="1" x14ac:dyDescent="0.25">
      <c r="A89" s="84"/>
      <c r="B89" s="111"/>
      <c r="C89" s="84"/>
      <c r="D89" s="87" t="s">
        <v>544</v>
      </c>
      <c r="E89" s="101">
        <f>F89+I89</f>
        <v>246000</v>
      </c>
      <c r="F89" s="101">
        <v>246000</v>
      </c>
      <c r="G89" s="101"/>
      <c r="H89" s="101"/>
      <c r="I89" s="101"/>
      <c r="J89" s="101">
        <f>L89+O89</f>
        <v>1754000</v>
      </c>
      <c r="K89" s="101">
        <v>1754000</v>
      </c>
      <c r="L89" s="101"/>
      <c r="M89" s="101"/>
      <c r="N89" s="101"/>
      <c r="O89" s="101">
        <v>1754000</v>
      </c>
      <c r="P89" s="101">
        <f t="shared" si="31"/>
        <v>2000000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</row>
    <row r="90" spans="1:527" s="24" customFormat="1" ht="31.5" x14ac:dyDescent="0.25">
      <c r="A90" s="84"/>
      <c r="B90" s="111"/>
      <c r="C90" s="84"/>
      <c r="D90" s="87" t="s">
        <v>541</v>
      </c>
      <c r="E90" s="101">
        <f t="shared" ref="E90:E92" si="36">F90+I90</f>
        <v>701017.59999999998</v>
      </c>
      <c r="F90" s="101">
        <v>701017.59999999998</v>
      </c>
      <c r="G90" s="101"/>
      <c r="H90" s="101"/>
      <c r="I90" s="101"/>
      <c r="J90" s="101">
        <f t="shared" ref="J90" si="37">L90+O90</f>
        <v>4356725.18</v>
      </c>
      <c r="K90" s="101">
        <v>4356725.18</v>
      </c>
      <c r="L90" s="101"/>
      <c r="M90" s="101"/>
      <c r="N90" s="101"/>
      <c r="O90" s="101">
        <v>4356725.18</v>
      </c>
      <c r="P90" s="101">
        <f t="shared" si="31"/>
        <v>5057742.7799999993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</row>
    <row r="91" spans="1:527" s="24" customFormat="1" ht="63" x14ac:dyDescent="0.25">
      <c r="A91" s="59" t="s">
        <v>536</v>
      </c>
      <c r="B91" s="93">
        <v>1062</v>
      </c>
      <c r="C91" s="59" t="s">
        <v>55</v>
      </c>
      <c r="D91" s="60" t="s">
        <v>505</v>
      </c>
      <c r="E91" s="99">
        <f t="shared" si="33"/>
        <v>40000</v>
      </c>
      <c r="F91" s="99">
        <v>40000</v>
      </c>
      <c r="G91" s="101"/>
      <c r="H91" s="101"/>
      <c r="I91" s="101"/>
      <c r="J91" s="99">
        <f>L91+O91</f>
        <v>0</v>
      </c>
      <c r="K91" s="101"/>
      <c r="L91" s="101"/>
      <c r="M91" s="101"/>
      <c r="N91" s="101"/>
      <c r="O91" s="101"/>
      <c r="P91" s="99">
        <f t="shared" si="31"/>
        <v>40000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</row>
    <row r="92" spans="1:527" s="24" customFormat="1" ht="31.5" x14ac:dyDescent="0.25">
      <c r="A92" s="84"/>
      <c r="B92" s="111"/>
      <c r="C92" s="84"/>
      <c r="D92" s="87" t="s">
        <v>541</v>
      </c>
      <c r="E92" s="101">
        <f t="shared" si="36"/>
        <v>40000</v>
      </c>
      <c r="F92" s="101">
        <v>40000</v>
      </c>
      <c r="G92" s="101"/>
      <c r="H92" s="101"/>
      <c r="I92" s="101"/>
      <c r="J92" s="101">
        <f>L92+O92</f>
        <v>0</v>
      </c>
      <c r="K92" s="101"/>
      <c r="L92" s="101"/>
      <c r="M92" s="101"/>
      <c r="N92" s="101"/>
      <c r="O92" s="101"/>
      <c r="P92" s="101">
        <f t="shared" si="31"/>
        <v>40000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</row>
    <row r="93" spans="1:527" s="22" customFormat="1" ht="47.25" x14ac:dyDescent="0.25">
      <c r="A93" s="59" t="s">
        <v>477</v>
      </c>
      <c r="B93" s="59" t="s">
        <v>54</v>
      </c>
      <c r="C93" s="59" t="s">
        <v>57</v>
      </c>
      <c r="D93" s="60" t="s">
        <v>365</v>
      </c>
      <c r="E93" s="99">
        <f t="shared" si="30"/>
        <v>35044945</v>
      </c>
      <c r="F93" s="99">
        <v>35044945</v>
      </c>
      <c r="G93" s="99">
        <v>25836800</v>
      </c>
      <c r="H93" s="99">
        <v>2805445</v>
      </c>
      <c r="I93" s="99"/>
      <c r="J93" s="99">
        <f t="shared" si="32"/>
        <v>112500</v>
      </c>
      <c r="K93" s="99">
        <v>112500</v>
      </c>
      <c r="L93" s="99"/>
      <c r="M93" s="99"/>
      <c r="N93" s="99"/>
      <c r="O93" s="99">
        <v>112500</v>
      </c>
      <c r="P93" s="99">
        <f t="shared" si="31"/>
        <v>35157445</v>
      </c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</row>
    <row r="94" spans="1:527" s="22" customFormat="1" ht="31.5" x14ac:dyDescent="0.25">
      <c r="A94" s="59" t="s">
        <v>478</v>
      </c>
      <c r="B94" s="59" t="s">
        <v>479</v>
      </c>
      <c r="C94" s="59" t="s">
        <v>58</v>
      </c>
      <c r="D94" s="36" t="s">
        <v>511</v>
      </c>
      <c r="E94" s="99">
        <f t="shared" si="30"/>
        <v>11387250</v>
      </c>
      <c r="F94" s="99">
        <v>11387250</v>
      </c>
      <c r="G94" s="99">
        <v>8331500</v>
      </c>
      <c r="H94" s="99">
        <v>585250</v>
      </c>
      <c r="I94" s="99"/>
      <c r="J94" s="99">
        <f t="shared" si="32"/>
        <v>0</v>
      </c>
      <c r="K94" s="99">
        <v>0</v>
      </c>
      <c r="L94" s="99"/>
      <c r="M94" s="99"/>
      <c r="N94" s="99"/>
      <c r="O94" s="99">
        <v>0</v>
      </c>
      <c r="P94" s="99">
        <f t="shared" si="31"/>
        <v>11387250</v>
      </c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2" customFormat="1" ht="18" customHeight="1" x14ac:dyDescent="0.25">
      <c r="A95" s="59" t="s">
        <v>480</v>
      </c>
      <c r="B95" s="59" t="s">
        <v>481</v>
      </c>
      <c r="C95" s="59" t="s">
        <v>58</v>
      </c>
      <c r="D95" s="36" t="s">
        <v>281</v>
      </c>
      <c r="E95" s="99">
        <f t="shared" si="30"/>
        <v>113000</v>
      </c>
      <c r="F95" s="99">
        <v>113000</v>
      </c>
      <c r="G95" s="99"/>
      <c r="H95" s="99"/>
      <c r="I95" s="99"/>
      <c r="J95" s="99">
        <f t="shared" ref="J95" si="38">L95+O95</f>
        <v>0</v>
      </c>
      <c r="K95" s="99"/>
      <c r="L95" s="99"/>
      <c r="M95" s="99"/>
      <c r="N95" s="99"/>
      <c r="O95" s="99"/>
      <c r="P95" s="99">
        <f t="shared" ref="P95" si="39">E95+J95</f>
        <v>113000</v>
      </c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</row>
    <row r="96" spans="1:527" s="22" customFormat="1" ht="31.5" x14ac:dyDescent="0.25">
      <c r="A96" s="59" t="s">
        <v>482</v>
      </c>
      <c r="B96" s="59" t="s">
        <v>483</v>
      </c>
      <c r="C96" s="59" t="s">
        <v>58</v>
      </c>
      <c r="D96" s="60" t="s">
        <v>484</v>
      </c>
      <c r="E96" s="99">
        <f t="shared" si="30"/>
        <v>445933</v>
      </c>
      <c r="F96" s="99">
        <v>445933</v>
      </c>
      <c r="G96" s="99">
        <v>266200</v>
      </c>
      <c r="H96" s="99">
        <v>66733</v>
      </c>
      <c r="I96" s="99"/>
      <c r="J96" s="99">
        <f t="shared" si="32"/>
        <v>0</v>
      </c>
      <c r="K96" s="99"/>
      <c r="L96" s="99"/>
      <c r="M96" s="99"/>
      <c r="N96" s="99"/>
      <c r="O96" s="99"/>
      <c r="P96" s="99">
        <f t="shared" si="31"/>
        <v>445933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</row>
    <row r="97" spans="1:527" s="22" customFormat="1" ht="45.75" customHeight="1" x14ac:dyDescent="0.25">
      <c r="A97" s="59" t="s">
        <v>485</v>
      </c>
      <c r="B97" s="59" t="s">
        <v>486</v>
      </c>
      <c r="C97" s="59" t="str">
        <f>'дод 8'!B64</f>
        <v>0990</v>
      </c>
      <c r="D97" s="60" t="s">
        <v>506</v>
      </c>
      <c r="E97" s="99">
        <f t="shared" si="30"/>
        <v>1499036</v>
      </c>
      <c r="F97" s="99">
        <v>1499036</v>
      </c>
      <c r="G97" s="99">
        <v>1228720</v>
      </c>
      <c r="H97" s="99"/>
      <c r="I97" s="99"/>
      <c r="J97" s="99">
        <f t="shared" si="32"/>
        <v>0</v>
      </c>
      <c r="K97" s="99"/>
      <c r="L97" s="99"/>
      <c r="M97" s="99"/>
      <c r="N97" s="99"/>
      <c r="O97" s="99"/>
      <c r="P97" s="99">
        <f t="shared" si="31"/>
        <v>1499036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</row>
    <row r="98" spans="1:527" s="24" customFormat="1" ht="45.75" customHeight="1" x14ac:dyDescent="0.25">
      <c r="A98" s="84"/>
      <c r="B98" s="84"/>
      <c r="C98" s="84"/>
      <c r="D98" s="87" t="s">
        <v>384</v>
      </c>
      <c r="E98" s="101">
        <f t="shared" si="30"/>
        <v>1499036</v>
      </c>
      <c r="F98" s="101">
        <v>1499036</v>
      </c>
      <c r="G98" s="101">
        <v>1228720</v>
      </c>
      <c r="H98" s="101"/>
      <c r="I98" s="101"/>
      <c r="J98" s="101">
        <f t="shared" si="32"/>
        <v>0</v>
      </c>
      <c r="K98" s="101"/>
      <c r="L98" s="101"/>
      <c r="M98" s="101"/>
      <c r="N98" s="101"/>
      <c r="O98" s="101"/>
      <c r="P98" s="101">
        <f t="shared" si="31"/>
        <v>1499036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</row>
    <row r="99" spans="1:527" s="22" customFormat="1" ht="36" customHeight="1" x14ac:dyDescent="0.25">
      <c r="A99" s="59" t="s">
        <v>487</v>
      </c>
      <c r="B99" s="59" t="s">
        <v>488</v>
      </c>
      <c r="C99" s="59" t="str">
        <f>'дод 8'!B65</f>
        <v>0990</v>
      </c>
      <c r="D99" s="60" t="s">
        <v>489</v>
      </c>
      <c r="E99" s="99">
        <f t="shared" si="30"/>
        <v>2521377</v>
      </c>
      <c r="F99" s="99">
        <v>2521377</v>
      </c>
      <c r="G99" s="99">
        <v>1880000</v>
      </c>
      <c r="H99" s="99">
        <v>92977</v>
      </c>
      <c r="I99" s="99"/>
      <c r="J99" s="99">
        <f t="shared" si="32"/>
        <v>50000</v>
      </c>
      <c r="K99" s="99">
        <v>50000</v>
      </c>
      <c r="L99" s="99"/>
      <c r="M99" s="99"/>
      <c r="N99" s="99"/>
      <c r="O99" s="99">
        <v>50000</v>
      </c>
      <c r="P99" s="99">
        <f t="shared" si="31"/>
        <v>2571377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  <c r="SQ99" s="23"/>
      <c r="SR99" s="23"/>
      <c r="SS99" s="23"/>
      <c r="ST99" s="23"/>
      <c r="SU99" s="23"/>
      <c r="SV99" s="23"/>
      <c r="SW99" s="23"/>
      <c r="SX99" s="23"/>
      <c r="SY99" s="23"/>
      <c r="SZ99" s="23"/>
      <c r="TA99" s="23"/>
      <c r="TB99" s="23"/>
      <c r="TC99" s="23"/>
      <c r="TD99" s="23"/>
      <c r="TE99" s="23"/>
      <c r="TF99" s="23"/>
      <c r="TG99" s="23"/>
    </row>
    <row r="100" spans="1:527" s="22" customFormat="1" ht="66" customHeight="1" x14ac:dyDescent="0.25">
      <c r="A100" s="59" t="s">
        <v>569</v>
      </c>
      <c r="B100" s="59" t="s">
        <v>570</v>
      </c>
      <c r="C100" s="59" t="s">
        <v>58</v>
      </c>
      <c r="D100" s="60" t="s">
        <v>573</v>
      </c>
      <c r="E100" s="99">
        <f t="shared" si="30"/>
        <v>0</v>
      </c>
      <c r="F100" s="99"/>
      <c r="G100" s="99"/>
      <c r="H100" s="99"/>
      <c r="I100" s="99"/>
      <c r="J100" s="99">
        <f t="shared" si="32"/>
        <v>1610670</v>
      </c>
      <c r="K100" s="99">
        <v>1610670</v>
      </c>
      <c r="L100" s="99"/>
      <c r="M100" s="99"/>
      <c r="N100" s="99"/>
      <c r="O100" s="99">
        <v>1610670</v>
      </c>
      <c r="P100" s="99">
        <f t="shared" si="31"/>
        <v>1610670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</row>
    <row r="101" spans="1:527" s="22" customFormat="1" ht="47.25" x14ac:dyDescent="0.25">
      <c r="A101" s="59" t="s">
        <v>557</v>
      </c>
      <c r="B101" s="59" t="s">
        <v>559</v>
      </c>
      <c r="C101" s="59" t="s">
        <v>58</v>
      </c>
      <c r="D101" s="60" t="s">
        <v>561</v>
      </c>
      <c r="E101" s="99">
        <f t="shared" si="30"/>
        <v>287772</v>
      </c>
      <c r="F101" s="99">
        <v>287772</v>
      </c>
      <c r="G101" s="99"/>
      <c r="H101" s="99"/>
      <c r="I101" s="99"/>
      <c r="J101" s="99">
        <f t="shared" si="32"/>
        <v>2859728</v>
      </c>
      <c r="K101" s="99">
        <v>2859728</v>
      </c>
      <c r="L101" s="99"/>
      <c r="M101" s="99"/>
      <c r="N101" s="99"/>
      <c r="O101" s="99">
        <v>2859728</v>
      </c>
      <c r="P101" s="99">
        <f t="shared" si="31"/>
        <v>3147500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</row>
    <row r="102" spans="1:527" s="24" customFormat="1" ht="52.5" customHeight="1" x14ac:dyDescent="0.25">
      <c r="A102" s="84"/>
      <c r="B102" s="84"/>
      <c r="C102" s="84"/>
      <c r="D102" s="87" t="s">
        <v>606</v>
      </c>
      <c r="E102" s="101">
        <f t="shared" si="30"/>
        <v>287772</v>
      </c>
      <c r="F102" s="101">
        <v>287772</v>
      </c>
      <c r="G102" s="101"/>
      <c r="H102" s="101"/>
      <c r="I102" s="101"/>
      <c r="J102" s="101">
        <f t="shared" si="32"/>
        <v>2859728</v>
      </c>
      <c r="K102" s="101">
        <v>2859728</v>
      </c>
      <c r="L102" s="101"/>
      <c r="M102" s="101"/>
      <c r="N102" s="101"/>
      <c r="O102" s="101">
        <v>2859728</v>
      </c>
      <c r="P102" s="101">
        <f t="shared" si="31"/>
        <v>3147500</v>
      </c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</row>
    <row r="103" spans="1:527" s="22" customFormat="1" ht="78.75" x14ac:dyDescent="0.25">
      <c r="A103" s="59" t="s">
        <v>571</v>
      </c>
      <c r="B103" s="59" t="s">
        <v>572</v>
      </c>
      <c r="C103" s="59" t="s">
        <v>58</v>
      </c>
      <c r="D103" s="60" t="s">
        <v>599</v>
      </c>
      <c r="E103" s="99">
        <f t="shared" si="30"/>
        <v>2037825</v>
      </c>
      <c r="F103" s="99">
        <v>2037825</v>
      </c>
      <c r="G103" s="99"/>
      <c r="H103" s="99"/>
      <c r="I103" s="99"/>
      <c r="J103" s="99">
        <f t="shared" si="32"/>
        <v>330427</v>
      </c>
      <c r="K103" s="99">
        <v>330427</v>
      </c>
      <c r="L103" s="99"/>
      <c r="M103" s="99"/>
      <c r="N103" s="99"/>
      <c r="O103" s="99">
        <v>330427</v>
      </c>
      <c r="P103" s="99">
        <f t="shared" si="31"/>
        <v>2368252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  <c r="TF103" s="23"/>
      <c r="TG103" s="23"/>
    </row>
    <row r="104" spans="1:527" s="22" customFormat="1" ht="15.75" x14ac:dyDescent="0.25">
      <c r="A104" s="59"/>
      <c r="B104" s="59"/>
      <c r="C104" s="59"/>
      <c r="D104" s="87" t="s">
        <v>395</v>
      </c>
      <c r="E104" s="101">
        <f t="shared" si="30"/>
        <v>150000</v>
      </c>
      <c r="F104" s="101">
        <v>150000</v>
      </c>
      <c r="G104" s="99"/>
      <c r="H104" s="99"/>
      <c r="I104" s="99"/>
      <c r="J104" s="101">
        <f t="shared" si="32"/>
        <v>0</v>
      </c>
      <c r="K104" s="99"/>
      <c r="L104" s="99"/>
      <c r="M104" s="99"/>
      <c r="N104" s="99"/>
      <c r="O104" s="99"/>
      <c r="P104" s="101">
        <f t="shared" si="31"/>
        <v>150000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</row>
    <row r="105" spans="1:527" s="22" customFormat="1" ht="78.75" x14ac:dyDescent="0.25">
      <c r="A105" s="59" t="s">
        <v>558</v>
      </c>
      <c r="B105" s="59" t="s">
        <v>560</v>
      </c>
      <c r="C105" s="59" t="s">
        <v>58</v>
      </c>
      <c r="D105" s="60" t="s">
        <v>607</v>
      </c>
      <c r="E105" s="99">
        <f t="shared" si="30"/>
        <v>6109696</v>
      </c>
      <c r="F105" s="99">
        <v>6109696</v>
      </c>
      <c r="G105" s="99"/>
      <c r="H105" s="99"/>
      <c r="I105" s="99"/>
      <c r="J105" s="99">
        <f t="shared" si="32"/>
        <v>797367</v>
      </c>
      <c r="K105" s="99">
        <v>797367</v>
      </c>
      <c r="L105" s="99"/>
      <c r="M105" s="99"/>
      <c r="N105" s="99"/>
      <c r="O105" s="99">
        <v>797367</v>
      </c>
      <c r="P105" s="99">
        <f t="shared" si="31"/>
        <v>6907063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</row>
    <row r="106" spans="1:527" s="24" customFormat="1" ht="63" x14ac:dyDescent="0.25">
      <c r="A106" s="84"/>
      <c r="B106" s="84"/>
      <c r="C106" s="84"/>
      <c r="D106" s="87" t="s">
        <v>562</v>
      </c>
      <c r="E106" s="101">
        <f t="shared" si="30"/>
        <v>6109696</v>
      </c>
      <c r="F106" s="101">
        <v>6109696</v>
      </c>
      <c r="G106" s="101"/>
      <c r="H106" s="101"/>
      <c r="I106" s="101"/>
      <c r="J106" s="101">
        <f t="shared" si="32"/>
        <v>797367</v>
      </c>
      <c r="K106" s="101">
        <v>797367</v>
      </c>
      <c r="L106" s="101"/>
      <c r="M106" s="101"/>
      <c r="N106" s="101"/>
      <c r="O106" s="101">
        <v>797367</v>
      </c>
      <c r="P106" s="101">
        <f t="shared" si="31"/>
        <v>6907063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</row>
    <row r="107" spans="1:527" s="22" customFormat="1" ht="65.25" customHeight="1" x14ac:dyDescent="0.25">
      <c r="A107" s="59" t="s">
        <v>490</v>
      </c>
      <c r="B107" s="59" t="s">
        <v>491</v>
      </c>
      <c r="C107" s="59" t="s">
        <v>58</v>
      </c>
      <c r="D107" s="94" t="s">
        <v>507</v>
      </c>
      <c r="E107" s="99">
        <f t="shared" si="30"/>
        <v>2612700</v>
      </c>
      <c r="F107" s="99">
        <v>2612700</v>
      </c>
      <c r="G107" s="99">
        <v>1459720</v>
      </c>
      <c r="H107" s="99"/>
      <c r="I107" s="99"/>
      <c r="J107" s="99">
        <f t="shared" si="32"/>
        <v>72000</v>
      </c>
      <c r="K107" s="99">
        <v>72000</v>
      </c>
      <c r="L107" s="99"/>
      <c r="M107" s="99"/>
      <c r="N107" s="99"/>
      <c r="O107" s="99">
        <v>72000</v>
      </c>
      <c r="P107" s="99">
        <f t="shared" si="31"/>
        <v>2684700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  <c r="TF107" s="23"/>
      <c r="TG107" s="23"/>
    </row>
    <row r="108" spans="1:527" s="24" customFormat="1" ht="63" x14ac:dyDescent="0.25">
      <c r="A108" s="84"/>
      <c r="B108" s="111"/>
      <c r="C108" s="111"/>
      <c r="D108" s="87" t="s">
        <v>383</v>
      </c>
      <c r="E108" s="101">
        <f t="shared" si="30"/>
        <v>2612700</v>
      </c>
      <c r="F108" s="101">
        <v>2612700</v>
      </c>
      <c r="G108" s="101">
        <v>1459720</v>
      </c>
      <c r="H108" s="101"/>
      <c r="I108" s="101"/>
      <c r="J108" s="101">
        <f t="shared" si="32"/>
        <v>72000</v>
      </c>
      <c r="K108" s="101">
        <v>72000</v>
      </c>
      <c r="L108" s="101"/>
      <c r="M108" s="101"/>
      <c r="N108" s="101"/>
      <c r="O108" s="101">
        <v>72000</v>
      </c>
      <c r="P108" s="101">
        <f t="shared" si="31"/>
        <v>2684700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</row>
    <row r="109" spans="1:527" s="24" customFormat="1" ht="78.75" x14ac:dyDescent="0.25">
      <c r="A109" s="59" t="s">
        <v>522</v>
      </c>
      <c r="B109" s="93">
        <v>1210</v>
      </c>
      <c r="C109" s="59" t="s">
        <v>58</v>
      </c>
      <c r="D109" s="36" t="s">
        <v>523</v>
      </c>
      <c r="E109" s="99">
        <f t="shared" si="30"/>
        <v>1174231</v>
      </c>
      <c r="F109" s="99">
        <v>1174231</v>
      </c>
      <c r="G109" s="99">
        <v>962484</v>
      </c>
      <c r="H109" s="101"/>
      <c r="I109" s="101"/>
      <c r="J109" s="99">
        <f t="shared" si="32"/>
        <v>0</v>
      </c>
      <c r="K109" s="101"/>
      <c r="L109" s="101"/>
      <c r="M109" s="101"/>
      <c r="N109" s="101"/>
      <c r="O109" s="101"/>
      <c r="P109" s="99">
        <f t="shared" si="31"/>
        <v>1174231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</row>
    <row r="110" spans="1:527" s="24" customFormat="1" ht="75.75" customHeight="1" x14ac:dyDescent="0.25">
      <c r="A110" s="84"/>
      <c r="B110" s="111"/>
      <c r="C110" s="111"/>
      <c r="D110" s="87" t="s">
        <v>524</v>
      </c>
      <c r="E110" s="101">
        <f t="shared" si="30"/>
        <v>1174231</v>
      </c>
      <c r="F110" s="101">
        <v>1174231</v>
      </c>
      <c r="G110" s="101">
        <v>962484</v>
      </c>
      <c r="H110" s="101"/>
      <c r="I110" s="101"/>
      <c r="J110" s="101">
        <f t="shared" si="32"/>
        <v>0</v>
      </c>
      <c r="K110" s="101"/>
      <c r="L110" s="101"/>
      <c r="M110" s="101"/>
      <c r="N110" s="101"/>
      <c r="O110" s="101"/>
      <c r="P110" s="101">
        <f t="shared" si="31"/>
        <v>1174231</v>
      </c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</row>
    <row r="111" spans="1:527" s="24" customFormat="1" ht="64.5" customHeight="1" x14ac:dyDescent="0.25">
      <c r="A111" s="59" t="s">
        <v>492</v>
      </c>
      <c r="B111" s="93">
        <v>3140</v>
      </c>
      <c r="C111" s="93">
        <v>1040</v>
      </c>
      <c r="D111" s="6" t="s">
        <v>20</v>
      </c>
      <c r="E111" s="99">
        <f t="shared" si="30"/>
        <v>5500000</v>
      </c>
      <c r="F111" s="99">
        <v>5500000</v>
      </c>
      <c r="G111" s="99"/>
      <c r="H111" s="99"/>
      <c r="I111" s="99"/>
      <c r="J111" s="99">
        <f t="shared" si="32"/>
        <v>0</v>
      </c>
      <c r="K111" s="101"/>
      <c r="L111" s="101"/>
      <c r="M111" s="101"/>
      <c r="N111" s="101"/>
      <c r="O111" s="101"/>
      <c r="P111" s="99">
        <f t="shared" si="31"/>
        <v>5500000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</row>
    <row r="112" spans="1:527" s="24" customFormat="1" ht="31.5" x14ac:dyDescent="0.25">
      <c r="A112" s="59" t="s">
        <v>493</v>
      </c>
      <c r="B112" s="93">
        <v>3242</v>
      </c>
      <c r="C112" s="93">
        <v>1090</v>
      </c>
      <c r="D112" s="36" t="s">
        <v>412</v>
      </c>
      <c r="E112" s="99">
        <f t="shared" si="30"/>
        <v>54300</v>
      </c>
      <c r="F112" s="99">
        <v>54300</v>
      </c>
      <c r="G112" s="99"/>
      <c r="H112" s="99"/>
      <c r="I112" s="99"/>
      <c r="J112" s="99">
        <f t="shared" si="32"/>
        <v>0</v>
      </c>
      <c r="K112" s="101"/>
      <c r="L112" s="101"/>
      <c r="M112" s="101"/>
      <c r="N112" s="101"/>
      <c r="O112" s="101"/>
      <c r="P112" s="99">
        <f t="shared" si="31"/>
        <v>54300</v>
      </c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</row>
    <row r="113" spans="1:527" s="24" customFormat="1" ht="47.25" x14ac:dyDescent="0.25">
      <c r="A113" s="59" t="s">
        <v>495</v>
      </c>
      <c r="B113" s="93">
        <v>5031</v>
      </c>
      <c r="C113" s="59" t="s">
        <v>80</v>
      </c>
      <c r="D113" s="3" t="s">
        <v>565</v>
      </c>
      <c r="E113" s="99">
        <f t="shared" si="30"/>
        <v>8813255</v>
      </c>
      <c r="F113" s="99">
        <v>8813255</v>
      </c>
      <c r="G113" s="99">
        <v>6510800</v>
      </c>
      <c r="H113" s="99">
        <v>202167</v>
      </c>
      <c r="I113" s="99"/>
      <c r="J113" s="99">
        <f t="shared" si="32"/>
        <v>0</v>
      </c>
      <c r="K113" s="101"/>
      <c r="L113" s="101"/>
      <c r="M113" s="101"/>
      <c r="N113" s="101"/>
      <c r="O113" s="101"/>
      <c r="P113" s="99">
        <f t="shared" si="31"/>
        <v>8813255</v>
      </c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</row>
    <row r="114" spans="1:527" s="24" customFormat="1" ht="23.25" customHeight="1" x14ac:dyDescent="0.25">
      <c r="A114" s="84"/>
      <c r="B114" s="111"/>
      <c r="C114" s="84"/>
      <c r="D114" s="87" t="s">
        <v>395</v>
      </c>
      <c r="E114" s="101">
        <f t="shared" si="30"/>
        <v>134064</v>
      </c>
      <c r="F114" s="101">
        <v>134064</v>
      </c>
      <c r="G114" s="101"/>
      <c r="H114" s="101"/>
      <c r="I114" s="101"/>
      <c r="J114" s="101">
        <f t="shared" si="32"/>
        <v>0</v>
      </c>
      <c r="K114" s="101"/>
      <c r="L114" s="101"/>
      <c r="M114" s="101"/>
      <c r="N114" s="101"/>
      <c r="O114" s="101"/>
      <c r="P114" s="101">
        <f t="shared" si="31"/>
        <v>134064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</row>
    <row r="115" spans="1:527" s="24" customFormat="1" ht="34.5" x14ac:dyDescent="0.25">
      <c r="A115" s="59" t="s">
        <v>496</v>
      </c>
      <c r="B115" s="93">
        <v>7321</v>
      </c>
      <c r="C115" s="59" t="s">
        <v>111</v>
      </c>
      <c r="D115" s="6" t="s">
        <v>617</v>
      </c>
      <c r="E115" s="99">
        <f t="shared" si="30"/>
        <v>0</v>
      </c>
      <c r="F115" s="99"/>
      <c r="G115" s="99"/>
      <c r="H115" s="99"/>
      <c r="I115" s="99"/>
      <c r="J115" s="99">
        <f t="shared" si="32"/>
        <v>24799566</v>
      </c>
      <c r="K115" s="99">
        <v>24799566</v>
      </c>
      <c r="L115" s="99"/>
      <c r="M115" s="99"/>
      <c r="N115" s="99"/>
      <c r="O115" s="99">
        <v>24799566</v>
      </c>
      <c r="P115" s="99">
        <f t="shared" si="31"/>
        <v>24799566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</row>
    <row r="116" spans="1:527" s="24" customFormat="1" ht="15.75" x14ac:dyDescent="0.25">
      <c r="A116" s="59"/>
      <c r="B116" s="93"/>
      <c r="C116" s="59"/>
      <c r="D116" s="87" t="s">
        <v>395</v>
      </c>
      <c r="E116" s="101">
        <f t="shared" si="30"/>
        <v>0</v>
      </c>
      <c r="F116" s="99"/>
      <c r="G116" s="99"/>
      <c r="H116" s="99"/>
      <c r="I116" s="99"/>
      <c r="J116" s="101">
        <f t="shared" si="32"/>
        <v>250000</v>
      </c>
      <c r="K116" s="101">
        <v>250000</v>
      </c>
      <c r="L116" s="99"/>
      <c r="M116" s="99"/>
      <c r="N116" s="99"/>
      <c r="O116" s="101">
        <v>250000</v>
      </c>
      <c r="P116" s="101">
        <f t="shared" si="31"/>
        <v>250000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</row>
    <row r="117" spans="1:527" s="24" customFormat="1" ht="51" customHeight="1" x14ac:dyDescent="0.25">
      <c r="A117" s="59" t="s">
        <v>554</v>
      </c>
      <c r="B117" s="93">
        <v>7363</v>
      </c>
      <c r="C117" s="59" t="s">
        <v>82</v>
      </c>
      <c r="D117" s="6" t="s">
        <v>398</v>
      </c>
      <c r="E117" s="99">
        <f t="shared" si="30"/>
        <v>0</v>
      </c>
      <c r="F117" s="99"/>
      <c r="G117" s="99"/>
      <c r="H117" s="99"/>
      <c r="I117" s="99"/>
      <c r="J117" s="99">
        <f t="shared" si="32"/>
        <v>15285200</v>
      </c>
      <c r="K117" s="99">
        <v>11792250</v>
      </c>
      <c r="L117" s="99"/>
      <c r="M117" s="99"/>
      <c r="N117" s="99"/>
      <c r="O117" s="99">
        <v>15285200</v>
      </c>
      <c r="P117" s="99">
        <f t="shared" si="31"/>
        <v>15285200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</row>
    <row r="118" spans="1:527" s="24" customFormat="1" ht="47.25" x14ac:dyDescent="0.25">
      <c r="A118" s="84"/>
      <c r="B118" s="111"/>
      <c r="C118" s="84"/>
      <c r="D118" s="81" t="s">
        <v>566</v>
      </c>
      <c r="E118" s="101">
        <f t="shared" si="30"/>
        <v>0</v>
      </c>
      <c r="F118" s="101"/>
      <c r="G118" s="101"/>
      <c r="H118" s="101"/>
      <c r="I118" s="101"/>
      <c r="J118" s="101">
        <f t="shared" si="32"/>
        <v>9499436</v>
      </c>
      <c r="K118" s="101">
        <v>6006486</v>
      </c>
      <c r="L118" s="101"/>
      <c r="M118" s="101"/>
      <c r="N118" s="101"/>
      <c r="O118" s="101">
        <v>9499436</v>
      </c>
      <c r="P118" s="101">
        <f t="shared" si="31"/>
        <v>9499436</v>
      </c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</row>
    <row r="119" spans="1:527" s="24" customFormat="1" ht="15.75" x14ac:dyDescent="0.25">
      <c r="A119" s="59" t="s">
        <v>497</v>
      </c>
      <c r="B119" s="93">
        <v>7640</v>
      </c>
      <c r="C119" s="59" t="s">
        <v>86</v>
      </c>
      <c r="D119" s="3" t="s">
        <v>422</v>
      </c>
      <c r="E119" s="99">
        <f t="shared" si="30"/>
        <v>691000</v>
      </c>
      <c r="F119" s="99">
        <v>691000</v>
      </c>
      <c r="G119" s="99"/>
      <c r="H119" s="99"/>
      <c r="I119" s="99"/>
      <c r="J119" s="99">
        <f t="shared" si="32"/>
        <v>11554696</v>
      </c>
      <c r="K119" s="99">
        <v>11554696</v>
      </c>
      <c r="L119" s="99"/>
      <c r="M119" s="99"/>
      <c r="N119" s="99"/>
      <c r="O119" s="99">
        <v>11554696</v>
      </c>
      <c r="P119" s="99">
        <f t="shared" si="31"/>
        <v>12245696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</row>
    <row r="120" spans="1:527" s="24" customFormat="1" ht="47.25" x14ac:dyDescent="0.25">
      <c r="A120" s="59" t="s">
        <v>500</v>
      </c>
      <c r="B120" s="93">
        <v>7700</v>
      </c>
      <c r="C120" s="59" t="s">
        <v>93</v>
      </c>
      <c r="D120" s="3" t="s">
        <v>362</v>
      </c>
      <c r="E120" s="99">
        <f t="shared" si="30"/>
        <v>0</v>
      </c>
      <c r="F120" s="99"/>
      <c r="G120" s="99"/>
      <c r="H120" s="99"/>
      <c r="I120" s="99"/>
      <c r="J120" s="99">
        <f t="shared" si="32"/>
        <v>630000</v>
      </c>
      <c r="K120" s="99"/>
      <c r="L120" s="99"/>
      <c r="M120" s="99"/>
      <c r="N120" s="99"/>
      <c r="O120" s="99">
        <v>630000</v>
      </c>
      <c r="P120" s="99">
        <f t="shared" si="31"/>
        <v>630000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</row>
    <row r="121" spans="1:527" s="24" customFormat="1" ht="37.5" customHeight="1" x14ac:dyDescent="0.25">
      <c r="A121" s="59" t="s">
        <v>498</v>
      </c>
      <c r="B121" s="93">
        <v>8340</v>
      </c>
      <c r="C121" s="59" t="s">
        <v>92</v>
      </c>
      <c r="D121" s="3" t="s">
        <v>10</v>
      </c>
      <c r="E121" s="99">
        <f t="shared" si="30"/>
        <v>0</v>
      </c>
      <c r="F121" s="99"/>
      <c r="G121" s="99"/>
      <c r="H121" s="99"/>
      <c r="I121" s="99"/>
      <c r="J121" s="99">
        <f t="shared" si="32"/>
        <v>625000</v>
      </c>
      <c r="K121" s="99"/>
      <c r="L121" s="99">
        <v>575100</v>
      </c>
      <c r="M121" s="99"/>
      <c r="N121" s="99"/>
      <c r="O121" s="99">
        <v>49900</v>
      </c>
      <c r="P121" s="99">
        <f t="shared" si="31"/>
        <v>625000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</row>
    <row r="122" spans="1:527" s="24" customFormat="1" ht="47.25" x14ac:dyDescent="0.25">
      <c r="A122" s="59" t="s">
        <v>537</v>
      </c>
      <c r="B122" s="93">
        <v>9320</v>
      </c>
      <c r="C122" s="59" t="s">
        <v>45</v>
      </c>
      <c r="D122" s="6" t="s">
        <v>618</v>
      </c>
      <c r="E122" s="99">
        <f t="shared" si="30"/>
        <v>693000</v>
      </c>
      <c r="F122" s="99">
        <v>693000</v>
      </c>
      <c r="G122" s="99"/>
      <c r="H122" s="99"/>
      <c r="I122" s="99"/>
      <c r="J122" s="99">
        <f t="shared" si="32"/>
        <v>3307000</v>
      </c>
      <c r="K122" s="99">
        <v>3307000</v>
      </c>
      <c r="L122" s="99"/>
      <c r="M122" s="99"/>
      <c r="N122" s="99"/>
      <c r="O122" s="99">
        <v>3307000</v>
      </c>
      <c r="P122" s="99">
        <f t="shared" si="31"/>
        <v>4000000</v>
      </c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  <c r="TF122" s="30"/>
      <c r="TG122" s="30"/>
    </row>
    <row r="123" spans="1:527" s="24" customFormat="1" ht="31.5" x14ac:dyDescent="0.25">
      <c r="A123" s="84"/>
      <c r="B123" s="111"/>
      <c r="C123" s="84"/>
      <c r="D123" s="87" t="s">
        <v>532</v>
      </c>
      <c r="E123" s="101">
        <f t="shared" si="30"/>
        <v>693000</v>
      </c>
      <c r="F123" s="101">
        <v>693000</v>
      </c>
      <c r="G123" s="101"/>
      <c r="H123" s="101"/>
      <c r="I123" s="101"/>
      <c r="J123" s="101">
        <f t="shared" si="32"/>
        <v>3307000</v>
      </c>
      <c r="K123" s="101">
        <v>3307000</v>
      </c>
      <c r="L123" s="101"/>
      <c r="M123" s="101"/>
      <c r="N123" s="101"/>
      <c r="O123" s="101">
        <v>3307000</v>
      </c>
      <c r="P123" s="101">
        <f t="shared" si="31"/>
        <v>4000000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  <c r="TG123" s="30"/>
    </row>
    <row r="124" spans="1:527" s="24" customFormat="1" ht="22.5" customHeight="1" x14ac:dyDescent="0.25">
      <c r="A124" s="59" t="s">
        <v>499</v>
      </c>
      <c r="B124" s="93">
        <v>9770</v>
      </c>
      <c r="C124" s="59" t="s">
        <v>45</v>
      </c>
      <c r="D124" s="6" t="s">
        <v>356</v>
      </c>
      <c r="E124" s="99">
        <f t="shared" ref="E124" si="40">F124+I124</f>
        <v>67650000</v>
      </c>
      <c r="F124" s="99">
        <v>67650000</v>
      </c>
      <c r="G124" s="99"/>
      <c r="H124" s="99"/>
      <c r="I124" s="99"/>
      <c r="J124" s="99">
        <f t="shared" ref="J124" si="41">L124+O124</f>
        <v>1256508</v>
      </c>
      <c r="K124" s="99">
        <v>1256508</v>
      </c>
      <c r="L124" s="99"/>
      <c r="M124" s="99"/>
      <c r="N124" s="99"/>
      <c r="O124" s="99">
        <v>1256508</v>
      </c>
      <c r="P124" s="99">
        <f t="shared" ref="P124" si="42">E124+J124</f>
        <v>68906508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</row>
    <row r="125" spans="1:527" s="24" customFormat="1" ht="48.75" customHeight="1" x14ac:dyDescent="0.25">
      <c r="A125" s="59" t="s">
        <v>527</v>
      </c>
      <c r="B125" s="93">
        <v>9800</v>
      </c>
      <c r="C125" s="59" t="s">
        <v>45</v>
      </c>
      <c r="D125" s="6" t="s">
        <v>367</v>
      </c>
      <c r="E125" s="99">
        <f t="shared" si="30"/>
        <v>49600</v>
      </c>
      <c r="F125" s="99">
        <v>49600</v>
      </c>
      <c r="G125" s="99"/>
      <c r="H125" s="99"/>
      <c r="I125" s="99"/>
      <c r="J125" s="99">
        <f t="shared" si="32"/>
        <v>0</v>
      </c>
      <c r="K125" s="99"/>
      <c r="L125" s="99"/>
      <c r="M125" s="99"/>
      <c r="N125" s="99"/>
      <c r="O125" s="99"/>
      <c r="P125" s="99">
        <f t="shared" si="31"/>
        <v>49600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</row>
    <row r="126" spans="1:527" s="27" customFormat="1" ht="33.75" customHeight="1" x14ac:dyDescent="0.25">
      <c r="A126" s="110" t="s">
        <v>169</v>
      </c>
      <c r="B126" s="112"/>
      <c r="C126" s="112"/>
      <c r="D126" s="107" t="s">
        <v>463</v>
      </c>
      <c r="E126" s="95">
        <f>E127</f>
        <v>91114891.400000006</v>
      </c>
      <c r="F126" s="95">
        <f t="shared" ref="F126:P126" si="43">F127</f>
        <v>91114891.400000006</v>
      </c>
      <c r="G126" s="95">
        <f t="shared" si="43"/>
        <v>4343800</v>
      </c>
      <c r="H126" s="95">
        <f t="shared" si="43"/>
        <v>97368</v>
      </c>
      <c r="I126" s="95">
        <f t="shared" si="43"/>
        <v>0</v>
      </c>
      <c r="J126" s="95">
        <f t="shared" si="43"/>
        <v>130078374.53999999</v>
      </c>
      <c r="K126" s="95">
        <f t="shared" si="43"/>
        <v>130078374.53999999</v>
      </c>
      <c r="L126" s="95">
        <f t="shared" si="43"/>
        <v>0</v>
      </c>
      <c r="M126" s="95">
        <f t="shared" si="43"/>
        <v>0</v>
      </c>
      <c r="N126" s="95">
        <f t="shared" si="43"/>
        <v>0</v>
      </c>
      <c r="O126" s="95">
        <f t="shared" si="43"/>
        <v>130078374.53999999</v>
      </c>
      <c r="P126" s="95">
        <f t="shared" si="43"/>
        <v>221193265.94</v>
      </c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  <c r="IT126" s="32"/>
      <c r="IU126" s="32"/>
      <c r="IV126" s="32"/>
      <c r="IW126" s="32"/>
      <c r="IX126" s="32"/>
      <c r="IY126" s="32"/>
      <c r="IZ126" s="32"/>
      <c r="JA126" s="32"/>
      <c r="JB126" s="32"/>
      <c r="JC126" s="32"/>
      <c r="JD126" s="32"/>
      <c r="JE126" s="32"/>
      <c r="JF126" s="32"/>
      <c r="JG126" s="32"/>
      <c r="JH126" s="32"/>
      <c r="JI126" s="32"/>
      <c r="JJ126" s="32"/>
      <c r="JK126" s="32"/>
      <c r="JL126" s="32"/>
      <c r="JM126" s="32"/>
      <c r="JN126" s="32"/>
      <c r="JO126" s="32"/>
      <c r="JP126" s="32"/>
      <c r="JQ126" s="32"/>
      <c r="JR126" s="32"/>
      <c r="JS126" s="32"/>
      <c r="JT126" s="32"/>
      <c r="JU126" s="32"/>
      <c r="JV126" s="32"/>
      <c r="JW126" s="32"/>
      <c r="JX126" s="32"/>
      <c r="JY126" s="32"/>
      <c r="JZ126" s="32"/>
      <c r="KA126" s="32"/>
      <c r="KB126" s="32"/>
      <c r="KC126" s="32"/>
      <c r="KD126" s="32"/>
      <c r="KE126" s="32"/>
      <c r="KF126" s="32"/>
      <c r="KG126" s="32"/>
      <c r="KH126" s="32"/>
      <c r="KI126" s="32"/>
      <c r="KJ126" s="32"/>
      <c r="KK126" s="32"/>
      <c r="KL126" s="32"/>
      <c r="KM126" s="32"/>
      <c r="KN126" s="32"/>
      <c r="KO126" s="32"/>
      <c r="KP126" s="32"/>
      <c r="KQ126" s="32"/>
      <c r="KR126" s="32"/>
      <c r="KS126" s="32"/>
      <c r="KT126" s="32"/>
      <c r="KU126" s="32"/>
      <c r="KV126" s="32"/>
      <c r="KW126" s="32"/>
      <c r="KX126" s="32"/>
      <c r="KY126" s="32"/>
      <c r="KZ126" s="32"/>
      <c r="LA126" s="32"/>
      <c r="LB126" s="32"/>
      <c r="LC126" s="32"/>
      <c r="LD126" s="32"/>
      <c r="LE126" s="32"/>
      <c r="LF126" s="32"/>
      <c r="LG126" s="32"/>
      <c r="LH126" s="32"/>
      <c r="LI126" s="32"/>
      <c r="LJ126" s="32"/>
      <c r="LK126" s="32"/>
      <c r="LL126" s="32"/>
      <c r="LM126" s="32"/>
      <c r="LN126" s="32"/>
      <c r="LO126" s="32"/>
      <c r="LP126" s="32"/>
      <c r="LQ126" s="32"/>
      <c r="LR126" s="32"/>
      <c r="LS126" s="32"/>
      <c r="LT126" s="32"/>
      <c r="LU126" s="32"/>
      <c r="LV126" s="32"/>
      <c r="LW126" s="32"/>
      <c r="LX126" s="32"/>
      <c r="LY126" s="32"/>
      <c r="LZ126" s="32"/>
      <c r="MA126" s="32"/>
      <c r="MB126" s="32"/>
      <c r="MC126" s="32"/>
      <c r="MD126" s="32"/>
      <c r="ME126" s="32"/>
      <c r="MF126" s="32"/>
      <c r="MG126" s="32"/>
      <c r="MH126" s="32"/>
      <c r="MI126" s="32"/>
      <c r="MJ126" s="32"/>
      <c r="MK126" s="32"/>
      <c r="ML126" s="32"/>
      <c r="MM126" s="32"/>
      <c r="MN126" s="32"/>
      <c r="MO126" s="32"/>
      <c r="MP126" s="32"/>
      <c r="MQ126" s="32"/>
      <c r="MR126" s="32"/>
      <c r="MS126" s="32"/>
      <c r="MT126" s="32"/>
      <c r="MU126" s="32"/>
      <c r="MV126" s="32"/>
      <c r="MW126" s="32"/>
      <c r="MX126" s="32"/>
      <c r="MY126" s="32"/>
      <c r="MZ126" s="32"/>
      <c r="NA126" s="32"/>
      <c r="NB126" s="32"/>
      <c r="NC126" s="32"/>
      <c r="ND126" s="32"/>
      <c r="NE126" s="32"/>
      <c r="NF126" s="32"/>
      <c r="NG126" s="32"/>
      <c r="NH126" s="32"/>
      <c r="NI126" s="32"/>
      <c r="NJ126" s="32"/>
      <c r="NK126" s="32"/>
      <c r="NL126" s="32"/>
      <c r="NM126" s="32"/>
      <c r="NN126" s="32"/>
      <c r="NO126" s="32"/>
      <c r="NP126" s="32"/>
      <c r="NQ126" s="32"/>
      <c r="NR126" s="32"/>
      <c r="NS126" s="32"/>
      <c r="NT126" s="32"/>
      <c r="NU126" s="32"/>
      <c r="NV126" s="32"/>
      <c r="NW126" s="32"/>
      <c r="NX126" s="32"/>
      <c r="NY126" s="32"/>
      <c r="NZ126" s="32"/>
      <c r="OA126" s="32"/>
      <c r="OB126" s="32"/>
      <c r="OC126" s="32"/>
      <c r="OD126" s="32"/>
      <c r="OE126" s="32"/>
      <c r="OF126" s="32"/>
      <c r="OG126" s="32"/>
      <c r="OH126" s="32"/>
      <c r="OI126" s="32"/>
      <c r="OJ126" s="32"/>
      <c r="OK126" s="32"/>
      <c r="OL126" s="32"/>
      <c r="OM126" s="32"/>
      <c r="ON126" s="32"/>
      <c r="OO126" s="32"/>
      <c r="OP126" s="32"/>
      <c r="OQ126" s="32"/>
      <c r="OR126" s="32"/>
      <c r="OS126" s="32"/>
      <c r="OT126" s="32"/>
      <c r="OU126" s="32"/>
      <c r="OV126" s="32"/>
      <c r="OW126" s="32"/>
      <c r="OX126" s="32"/>
      <c r="OY126" s="32"/>
      <c r="OZ126" s="32"/>
      <c r="PA126" s="32"/>
      <c r="PB126" s="32"/>
      <c r="PC126" s="32"/>
      <c r="PD126" s="32"/>
      <c r="PE126" s="32"/>
      <c r="PF126" s="32"/>
      <c r="PG126" s="32"/>
      <c r="PH126" s="32"/>
      <c r="PI126" s="32"/>
      <c r="PJ126" s="32"/>
      <c r="PK126" s="32"/>
      <c r="PL126" s="32"/>
      <c r="PM126" s="32"/>
      <c r="PN126" s="32"/>
      <c r="PO126" s="32"/>
      <c r="PP126" s="32"/>
      <c r="PQ126" s="32"/>
      <c r="PR126" s="32"/>
      <c r="PS126" s="32"/>
      <c r="PT126" s="32"/>
      <c r="PU126" s="32"/>
      <c r="PV126" s="32"/>
      <c r="PW126" s="32"/>
      <c r="PX126" s="32"/>
      <c r="PY126" s="32"/>
      <c r="PZ126" s="32"/>
      <c r="QA126" s="32"/>
      <c r="QB126" s="32"/>
      <c r="QC126" s="32"/>
      <c r="QD126" s="32"/>
      <c r="QE126" s="32"/>
      <c r="QF126" s="32"/>
      <c r="QG126" s="32"/>
      <c r="QH126" s="32"/>
      <c r="QI126" s="32"/>
      <c r="QJ126" s="32"/>
      <c r="QK126" s="32"/>
      <c r="QL126" s="32"/>
      <c r="QM126" s="32"/>
      <c r="QN126" s="32"/>
      <c r="QO126" s="32"/>
      <c r="QP126" s="32"/>
      <c r="QQ126" s="32"/>
      <c r="QR126" s="32"/>
      <c r="QS126" s="32"/>
      <c r="QT126" s="32"/>
      <c r="QU126" s="32"/>
      <c r="QV126" s="32"/>
      <c r="QW126" s="32"/>
      <c r="QX126" s="32"/>
      <c r="QY126" s="32"/>
      <c r="QZ126" s="32"/>
      <c r="RA126" s="32"/>
      <c r="RB126" s="32"/>
      <c r="RC126" s="32"/>
      <c r="RD126" s="32"/>
      <c r="RE126" s="32"/>
      <c r="RF126" s="32"/>
      <c r="RG126" s="32"/>
      <c r="RH126" s="32"/>
      <c r="RI126" s="32"/>
      <c r="RJ126" s="32"/>
      <c r="RK126" s="32"/>
      <c r="RL126" s="32"/>
      <c r="RM126" s="32"/>
      <c r="RN126" s="32"/>
      <c r="RO126" s="32"/>
      <c r="RP126" s="32"/>
      <c r="RQ126" s="32"/>
      <c r="RR126" s="32"/>
      <c r="RS126" s="32"/>
      <c r="RT126" s="32"/>
      <c r="RU126" s="32"/>
      <c r="RV126" s="32"/>
      <c r="RW126" s="32"/>
      <c r="RX126" s="32"/>
      <c r="RY126" s="32"/>
      <c r="RZ126" s="32"/>
      <c r="SA126" s="32"/>
      <c r="SB126" s="32"/>
      <c r="SC126" s="32"/>
      <c r="SD126" s="32"/>
      <c r="SE126" s="32"/>
      <c r="SF126" s="32"/>
      <c r="SG126" s="32"/>
      <c r="SH126" s="32"/>
      <c r="SI126" s="32"/>
      <c r="SJ126" s="32"/>
      <c r="SK126" s="32"/>
      <c r="SL126" s="32"/>
      <c r="SM126" s="32"/>
      <c r="SN126" s="32"/>
      <c r="SO126" s="32"/>
      <c r="SP126" s="32"/>
      <c r="SQ126" s="32"/>
      <c r="SR126" s="32"/>
      <c r="SS126" s="32"/>
      <c r="ST126" s="32"/>
      <c r="SU126" s="32"/>
      <c r="SV126" s="32"/>
      <c r="SW126" s="32"/>
      <c r="SX126" s="32"/>
      <c r="SY126" s="32"/>
      <c r="SZ126" s="32"/>
      <c r="TA126" s="32"/>
      <c r="TB126" s="32"/>
      <c r="TC126" s="32"/>
      <c r="TD126" s="32"/>
      <c r="TE126" s="32"/>
      <c r="TF126" s="32"/>
      <c r="TG126" s="32"/>
    </row>
    <row r="127" spans="1:527" s="34" customFormat="1" ht="30.75" customHeight="1" x14ac:dyDescent="0.25">
      <c r="A127" s="96" t="s">
        <v>170</v>
      </c>
      <c r="B127" s="109"/>
      <c r="C127" s="109"/>
      <c r="D127" s="77" t="s">
        <v>469</v>
      </c>
      <c r="E127" s="98">
        <f>E135+E136+E141+E143+E145+E147+E150+E151+E152+E153+E154+E156+E158+E159+E140</f>
        <v>91114891.400000006</v>
      </c>
      <c r="F127" s="98">
        <f t="shared" ref="F127:P127" si="44">F135+F136+F141+F143+F145+F147+F150+F151+F152+F153+F154+F156+F158+F159+F140</f>
        <v>91114891.400000006</v>
      </c>
      <c r="G127" s="98">
        <f t="shared" si="44"/>
        <v>4343800</v>
      </c>
      <c r="H127" s="98">
        <f t="shared" si="44"/>
        <v>97368</v>
      </c>
      <c r="I127" s="98">
        <f t="shared" si="44"/>
        <v>0</v>
      </c>
      <c r="J127" s="98">
        <f t="shared" si="44"/>
        <v>130078374.53999999</v>
      </c>
      <c r="K127" s="98">
        <f>K135+K136+K141+K143+K145+K147+K150+K151+K152+K153+K154+K156+K158+K159+K140</f>
        <v>130078374.53999999</v>
      </c>
      <c r="L127" s="98">
        <f t="shared" si="44"/>
        <v>0</v>
      </c>
      <c r="M127" s="98">
        <f t="shared" si="44"/>
        <v>0</v>
      </c>
      <c r="N127" s="98">
        <f t="shared" si="44"/>
        <v>0</v>
      </c>
      <c r="O127" s="98">
        <f t="shared" si="44"/>
        <v>130078374.53999999</v>
      </c>
      <c r="P127" s="98">
        <f t="shared" si="44"/>
        <v>221193265.94</v>
      </c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  <c r="OE127" s="33"/>
      <c r="OF127" s="33"/>
      <c r="OG127" s="33"/>
      <c r="OH127" s="33"/>
      <c r="OI127" s="33"/>
      <c r="OJ127" s="33"/>
      <c r="OK127" s="33"/>
      <c r="OL127" s="33"/>
      <c r="OM127" s="33"/>
      <c r="ON127" s="33"/>
      <c r="OO127" s="33"/>
      <c r="OP127" s="33"/>
      <c r="OQ127" s="33"/>
      <c r="OR127" s="33"/>
      <c r="OS127" s="33"/>
      <c r="OT127" s="33"/>
      <c r="OU127" s="33"/>
      <c r="OV127" s="33"/>
      <c r="OW127" s="33"/>
      <c r="OX127" s="33"/>
      <c r="OY127" s="33"/>
      <c r="OZ127" s="33"/>
      <c r="PA127" s="33"/>
      <c r="PB127" s="33"/>
      <c r="PC127" s="33"/>
      <c r="PD127" s="33"/>
      <c r="PE127" s="33"/>
      <c r="PF127" s="33"/>
      <c r="PG127" s="33"/>
      <c r="PH127" s="33"/>
      <c r="PI127" s="33"/>
      <c r="PJ127" s="33"/>
      <c r="PK127" s="33"/>
      <c r="PL127" s="33"/>
      <c r="PM127" s="33"/>
      <c r="PN127" s="33"/>
      <c r="PO127" s="33"/>
      <c r="PP127" s="33"/>
      <c r="PQ127" s="33"/>
      <c r="PR127" s="33"/>
      <c r="PS127" s="33"/>
      <c r="PT127" s="33"/>
      <c r="PU127" s="33"/>
      <c r="PV127" s="33"/>
      <c r="PW127" s="33"/>
      <c r="PX127" s="33"/>
      <c r="PY127" s="33"/>
      <c r="PZ127" s="33"/>
      <c r="QA127" s="33"/>
      <c r="QB127" s="33"/>
      <c r="QC127" s="33"/>
      <c r="QD127" s="33"/>
      <c r="QE127" s="33"/>
      <c r="QF127" s="33"/>
      <c r="QG127" s="33"/>
      <c r="QH127" s="33"/>
      <c r="QI127" s="33"/>
      <c r="QJ127" s="33"/>
      <c r="QK127" s="33"/>
      <c r="QL127" s="33"/>
      <c r="QM127" s="33"/>
      <c r="QN127" s="33"/>
      <c r="QO127" s="33"/>
      <c r="QP127" s="33"/>
      <c r="QQ127" s="33"/>
      <c r="QR127" s="33"/>
      <c r="QS127" s="33"/>
      <c r="QT127" s="33"/>
      <c r="QU127" s="33"/>
      <c r="QV127" s="33"/>
      <c r="QW127" s="33"/>
      <c r="QX127" s="33"/>
      <c r="QY127" s="33"/>
      <c r="QZ127" s="33"/>
      <c r="RA127" s="33"/>
      <c r="RB127" s="33"/>
      <c r="RC127" s="33"/>
      <c r="RD127" s="33"/>
      <c r="RE127" s="33"/>
      <c r="RF127" s="33"/>
      <c r="RG127" s="33"/>
      <c r="RH127" s="33"/>
      <c r="RI127" s="33"/>
      <c r="RJ127" s="33"/>
      <c r="RK127" s="33"/>
      <c r="RL127" s="33"/>
      <c r="RM127" s="33"/>
      <c r="RN127" s="33"/>
      <c r="RO127" s="33"/>
      <c r="RP127" s="33"/>
      <c r="RQ127" s="33"/>
      <c r="RR127" s="33"/>
      <c r="RS127" s="33"/>
      <c r="RT127" s="33"/>
      <c r="RU127" s="33"/>
      <c r="RV127" s="33"/>
      <c r="RW127" s="33"/>
      <c r="RX127" s="33"/>
      <c r="RY127" s="33"/>
      <c r="RZ127" s="33"/>
      <c r="SA127" s="33"/>
      <c r="SB127" s="33"/>
      <c r="SC127" s="33"/>
      <c r="SD127" s="33"/>
      <c r="SE127" s="33"/>
      <c r="SF127" s="33"/>
      <c r="SG127" s="33"/>
      <c r="SH127" s="33"/>
      <c r="SI127" s="33"/>
      <c r="SJ127" s="33"/>
      <c r="SK127" s="33"/>
      <c r="SL127" s="33"/>
      <c r="SM127" s="33"/>
      <c r="SN127" s="33"/>
      <c r="SO127" s="33"/>
      <c r="SP127" s="33"/>
      <c r="SQ127" s="33"/>
      <c r="SR127" s="33"/>
      <c r="SS127" s="33"/>
      <c r="ST127" s="33"/>
      <c r="SU127" s="33"/>
      <c r="SV127" s="33"/>
      <c r="SW127" s="33"/>
      <c r="SX127" s="33"/>
      <c r="SY127" s="33"/>
      <c r="SZ127" s="33"/>
      <c r="TA127" s="33"/>
      <c r="TB127" s="33"/>
      <c r="TC127" s="33"/>
      <c r="TD127" s="33"/>
      <c r="TE127" s="33"/>
      <c r="TF127" s="33"/>
      <c r="TG127" s="33"/>
    </row>
    <row r="128" spans="1:527" s="34" customFormat="1" ht="31.5" hidden="1" customHeight="1" x14ac:dyDescent="0.25">
      <c r="A128" s="96"/>
      <c r="B128" s="109"/>
      <c r="C128" s="109"/>
      <c r="D128" s="77" t="s">
        <v>390</v>
      </c>
      <c r="E128" s="98">
        <f>E137+E142+E144</f>
        <v>0</v>
      </c>
      <c r="F128" s="98">
        <f t="shared" ref="F128:P128" si="45">F137+F142+F144</f>
        <v>0</v>
      </c>
      <c r="G128" s="98">
        <f t="shared" si="45"/>
        <v>0</v>
      </c>
      <c r="H128" s="98">
        <f t="shared" si="45"/>
        <v>0</v>
      </c>
      <c r="I128" s="98">
        <f t="shared" si="45"/>
        <v>0</v>
      </c>
      <c r="J128" s="98">
        <f t="shared" si="45"/>
        <v>0</v>
      </c>
      <c r="K128" s="98">
        <f t="shared" si="45"/>
        <v>0</v>
      </c>
      <c r="L128" s="98">
        <f t="shared" si="45"/>
        <v>0</v>
      </c>
      <c r="M128" s="98">
        <f t="shared" si="45"/>
        <v>0</v>
      </c>
      <c r="N128" s="98">
        <f t="shared" si="45"/>
        <v>0</v>
      </c>
      <c r="O128" s="98">
        <f t="shared" si="45"/>
        <v>0</v>
      </c>
      <c r="P128" s="98">
        <f t="shared" si="45"/>
        <v>0</v>
      </c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</row>
    <row r="129" spans="1:527" s="34" customFormat="1" ht="63" hidden="1" customHeight="1" x14ac:dyDescent="0.25">
      <c r="A129" s="96"/>
      <c r="B129" s="109"/>
      <c r="C129" s="109"/>
      <c r="D129" s="77" t="s">
        <v>388</v>
      </c>
      <c r="E129" s="98">
        <f>E155</f>
        <v>0</v>
      </c>
      <c r="F129" s="98">
        <f>F155</f>
        <v>0</v>
      </c>
      <c r="G129" s="98">
        <f t="shared" ref="G129:I129" si="46">G155</f>
        <v>0</v>
      </c>
      <c r="H129" s="98">
        <f t="shared" si="46"/>
        <v>0</v>
      </c>
      <c r="I129" s="98">
        <f t="shared" si="46"/>
        <v>0</v>
      </c>
      <c r="J129" s="98">
        <f>J155</f>
        <v>156000</v>
      </c>
      <c r="K129" s="98">
        <f t="shared" ref="K129:P129" si="47">K155</f>
        <v>156000</v>
      </c>
      <c r="L129" s="98">
        <f t="shared" si="47"/>
        <v>0</v>
      </c>
      <c r="M129" s="98">
        <f t="shared" si="47"/>
        <v>0</v>
      </c>
      <c r="N129" s="98">
        <f t="shared" si="47"/>
        <v>0</v>
      </c>
      <c r="O129" s="98">
        <f t="shared" si="47"/>
        <v>156000</v>
      </c>
      <c r="P129" s="98">
        <f t="shared" si="47"/>
        <v>156000</v>
      </c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</row>
    <row r="130" spans="1:527" s="34" customFormat="1" ht="47.25" hidden="1" customHeight="1" x14ac:dyDescent="0.25">
      <c r="A130" s="96"/>
      <c r="B130" s="109"/>
      <c r="C130" s="109"/>
      <c r="D130" s="77" t="s">
        <v>391</v>
      </c>
      <c r="E130" s="98">
        <f>E138+E148</f>
        <v>0</v>
      </c>
      <c r="F130" s="98">
        <f t="shared" ref="F130:P130" si="48">F138+F148</f>
        <v>0</v>
      </c>
      <c r="G130" s="98">
        <f t="shared" si="48"/>
        <v>0</v>
      </c>
      <c r="H130" s="98">
        <f t="shared" si="48"/>
        <v>0</v>
      </c>
      <c r="I130" s="98">
        <f t="shared" si="48"/>
        <v>0</v>
      </c>
      <c r="J130" s="98">
        <f t="shared" si="48"/>
        <v>0</v>
      </c>
      <c r="K130" s="98">
        <f t="shared" si="48"/>
        <v>0</v>
      </c>
      <c r="L130" s="98">
        <f t="shared" si="48"/>
        <v>0</v>
      </c>
      <c r="M130" s="98">
        <f t="shared" si="48"/>
        <v>0</v>
      </c>
      <c r="N130" s="98">
        <f t="shared" si="48"/>
        <v>0</v>
      </c>
      <c r="O130" s="98">
        <f t="shared" si="48"/>
        <v>0</v>
      </c>
      <c r="P130" s="98">
        <f t="shared" si="48"/>
        <v>0</v>
      </c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</row>
    <row r="131" spans="1:527" s="34" customFormat="1" ht="63" x14ac:dyDescent="0.25">
      <c r="A131" s="96"/>
      <c r="B131" s="109"/>
      <c r="C131" s="109"/>
      <c r="D131" s="77" t="s">
        <v>392</v>
      </c>
      <c r="E131" s="98">
        <f>E146+E149</f>
        <v>11403700</v>
      </c>
      <c r="F131" s="98">
        <f t="shared" ref="F131:P131" si="49">F146+F149</f>
        <v>11403700</v>
      </c>
      <c r="G131" s="98">
        <f t="shared" si="49"/>
        <v>0</v>
      </c>
      <c r="H131" s="98">
        <f t="shared" si="49"/>
        <v>0</v>
      </c>
      <c r="I131" s="98">
        <f t="shared" si="49"/>
        <v>0</v>
      </c>
      <c r="J131" s="98">
        <f t="shared" si="49"/>
        <v>0</v>
      </c>
      <c r="K131" s="98">
        <f>K146+K149</f>
        <v>0</v>
      </c>
      <c r="L131" s="98">
        <f t="shared" si="49"/>
        <v>0</v>
      </c>
      <c r="M131" s="98">
        <f t="shared" si="49"/>
        <v>0</v>
      </c>
      <c r="N131" s="98">
        <f t="shared" si="49"/>
        <v>0</v>
      </c>
      <c r="O131" s="98">
        <f t="shared" si="49"/>
        <v>0</v>
      </c>
      <c r="P131" s="98">
        <f t="shared" si="49"/>
        <v>11403700</v>
      </c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</row>
    <row r="132" spans="1:527" s="34" customFormat="1" ht="49.5" customHeight="1" x14ac:dyDescent="0.25">
      <c r="A132" s="96"/>
      <c r="B132" s="109"/>
      <c r="C132" s="109"/>
      <c r="D132" s="77" t="s">
        <v>388</v>
      </c>
      <c r="E132" s="98">
        <f>E155</f>
        <v>0</v>
      </c>
      <c r="F132" s="98">
        <f t="shared" ref="F132:P132" si="50">F155</f>
        <v>0</v>
      </c>
      <c r="G132" s="98">
        <f t="shared" si="50"/>
        <v>0</v>
      </c>
      <c r="H132" s="98">
        <f t="shared" si="50"/>
        <v>0</v>
      </c>
      <c r="I132" s="98">
        <f t="shared" si="50"/>
        <v>0</v>
      </c>
      <c r="J132" s="98">
        <f t="shared" si="50"/>
        <v>156000</v>
      </c>
      <c r="K132" s="98">
        <f t="shared" si="50"/>
        <v>156000</v>
      </c>
      <c r="L132" s="98">
        <f t="shared" si="50"/>
        <v>0</v>
      </c>
      <c r="M132" s="98">
        <f t="shared" si="50"/>
        <v>0</v>
      </c>
      <c r="N132" s="98">
        <f t="shared" si="50"/>
        <v>0</v>
      </c>
      <c r="O132" s="98">
        <f t="shared" si="50"/>
        <v>156000</v>
      </c>
      <c r="P132" s="98">
        <f t="shared" si="50"/>
        <v>156000</v>
      </c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</row>
    <row r="133" spans="1:527" s="34" customFormat="1" ht="15.75" x14ac:dyDescent="0.25">
      <c r="A133" s="96"/>
      <c r="B133" s="109"/>
      <c r="C133" s="109"/>
      <c r="D133" s="77" t="s">
        <v>393</v>
      </c>
      <c r="E133" s="98">
        <f>E139</f>
        <v>0</v>
      </c>
      <c r="F133" s="98">
        <f t="shared" ref="F133:O133" si="51">F139</f>
        <v>0</v>
      </c>
      <c r="G133" s="98">
        <f t="shared" si="51"/>
        <v>0</v>
      </c>
      <c r="H133" s="98">
        <f t="shared" si="51"/>
        <v>0</v>
      </c>
      <c r="I133" s="98">
        <f t="shared" si="51"/>
        <v>0</v>
      </c>
      <c r="J133" s="98">
        <f t="shared" si="51"/>
        <v>5750000</v>
      </c>
      <c r="K133" s="98">
        <f t="shared" si="51"/>
        <v>5750000</v>
      </c>
      <c r="L133" s="98">
        <f t="shared" si="51"/>
        <v>0</v>
      </c>
      <c r="M133" s="98">
        <f t="shared" si="51"/>
        <v>0</v>
      </c>
      <c r="N133" s="98">
        <f t="shared" si="51"/>
        <v>0</v>
      </c>
      <c r="O133" s="98">
        <f t="shared" si="51"/>
        <v>5750000</v>
      </c>
      <c r="P133" s="98">
        <f>P139</f>
        <v>5750000</v>
      </c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</row>
    <row r="134" spans="1:527" s="34" customFormat="1" ht="15.75" x14ac:dyDescent="0.25">
      <c r="A134" s="96"/>
      <c r="B134" s="109"/>
      <c r="C134" s="109"/>
      <c r="D134" s="83" t="s">
        <v>419</v>
      </c>
      <c r="E134" s="98">
        <f>E157</f>
        <v>0</v>
      </c>
      <c r="F134" s="98">
        <f t="shared" ref="F134:P134" si="52">F157</f>
        <v>0</v>
      </c>
      <c r="G134" s="98">
        <f t="shared" si="52"/>
        <v>0</v>
      </c>
      <c r="H134" s="98">
        <f t="shared" si="52"/>
        <v>0</v>
      </c>
      <c r="I134" s="98">
        <f t="shared" si="52"/>
        <v>0</v>
      </c>
      <c r="J134" s="98">
        <f t="shared" si="52"/>
        <v>4662070.12</v>
      </c>
      <c r="K134" s="98">
        <f t="shared" si="52"/>
        <v>4662070.12</v>
      </c>
      <c r="L134" s="98">
        <f t="shared" si="52"/>
        <v>0</v>
      </c>
      <c r="M134" s="98">
        <f t="shared" si="52"/>
        <v>0</v>
      </c>
      <c r="N134" s="98">
        <f t="shared" si="52"/>
        <v>0</v>
      </c>
      <c r="O134" s="98">
        <f t="shared" si="52"/>
        <v>4662070.12</v>
      </c>
      <c r="P134" s="98">
        <f t="shared" si="52"/>
        <v>4662070.12</v>
      </c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  <c r="TF134" s="33"/>
      <c r="TG134" s="33"/>
    </row>
    <row r="135" spans="1:527" s="22" customFormat="1" ht="48" customHeight="1" x14ac:dyDescent="0.25">
      <c r="A135" s="59" t="s">
        <v>171</v>
      </c>
      <c r="B135" s="93" t="str">
        <f>'дод 8'!A19</f>
        <v>0160</v>
      </c>
      <c r="C135" s="93" t="str">
        <f>'дод 8'!B19</f>
        <v>0111</v>
      </c>
      <c r="D135" s="36" t="s">
        <v>494</v>
      </c>
      <c r="E135" s="99">
        <f t="shared" ref="E135:E159" si="53">F135+I135</f>
        <v>2555884</v>
      </c>
      <c r="F135" s="99">
        <v>2555884</v>
      </c>
      <c r="G135" s="99">
        <v>1956200</v>
      </c>
      <c r="H135" s="99">
        <v>35584</v>
      </c>
      <c r="I135" s="99"/>
      <c r="J135" s="99">
        <f>L135+O135</f>
        <v>600000</v>
      </c>
      <c r="K135" s="99">
        <v>600000</v>
      </c>
      <c r="L135" s="99"/>
      <c r="M135" s="99"/>
      <c r="N135" s="99"/>
      <c r="O135" s="99">
        <v>600000</v>
      </c>
      <c r="P135" s="99">
        <f t="shared" ref="P135:P159" si="54">E135+J135</f>
        <v>3155884</v>
      </c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F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  <c r="MJ135" s="23"/>
      <c r="MK135" s="23"/>
      <c r="ML135" s="23"/>
      <c r="MM135" s="23"/>
      <c r="MN135" s="23"/>
      <c r="MO135" s="23"/>
      <c r="MP135" s="23"/>
      <c r="MQ135" s="23"/>
      <c r="MR135" s="23"/>
      <c r="MS135" s="23"/>
      <c r="MT135" s="23"/>
      <c r="MU135" s="23"/>
      <c r="MV135" s="23"/>
      <c r="MW135" s="23"/>
      <c r="MX135" s="23"/>
      <c r="MY135" s="23"/>
      <c r="MZ135" s="23"/>
      <c r="NA135" s="23"/>
      <c r="NB135" s="23"/>
      <c r="NC135" s="23"/>
      <c r="ND135" s="23"/>
      <c r="NE135" s="23"/>
      <c r="NF135" s="23"/>
      <c r="NG135" s="23"/>
      <c r="NH135" s="23"/>
      <c r="NI135" s="23"/>
      <c r="NJ135" s="23"/>
      <c r="NK135" s="23"/>
      <c r="NL135" s="23"/>
      <c r="NM135" s="23"/>
      <c r="NN135" s="23"/>
      <c r="NO135" s="23"/>
      <c r="NP135" s="23"/>
      <c r="NQ135" s="23"/>
      <c r="NR135" s="23"/>
      <c r="NS135" s="23"/>
      <c r="NT135" s="23"/>
      <c r="NU135" s="23"/>
      <c r="NV135" s="23"/>
      <c r="NW135" s="23"/>
      <c r="NX135" s="23"/>
      <c r="NY135" s="23"/>
      <c r="NZ135" s="23"/>
      <c r="OA135" s="23"/>
      <c r="OB135" s="23"/>
      <c r="OC135" s="23"/>
      <c r="OD135" s="23"/>
      <c r="OE135" s="23"/>
      <c r="OF135" s="23"/>
      <c r="OG135" s="23"/>
      <c r="OH135" s="23"/>
      <c r="OI135" s="23"/>
      <c r="OJ135" s="23"/>
      <c r="OK135" s="23"/>
      <c r="OL135" s="23"/>
      <c r="OM135" s="23"/>
      <c r="ON135" s="23"/>
      <c r="OO135" s="23"/>
      <c r="OP135" s="23"/>
      <c r="OQ135" s="23"/>
      <c r="OR135" s="23"/>
      <c r="OS135" s="23"/>
      <c r="OT135" s="23"/>
      <c r="OU135" s="23"/>
      <c r="OV135" s="23"/>
      <c r="OW135" s="23"/>
      <c r="OX135" s="23"/>
      <c r="OY135" s="23"/>
      <c r="OZ135" s="23"/>
      <c r="PA135" s="23"/>
      <c r="PB135" s="23"/>
      <c r="PC135" s="23"/>
      <c r="PD135" s="23"/>
      <c r="PE135" s="23"/>
      <c r="PF135" s="23"/>
      <c r="PG135" s="23"/>
      <c r="PH135" s="23"/>
      <c r="PI135" s="23"/>
      <c r="PJ135" s="23"/>
      <c r="PK135" s="23"/>
      <c r="PL135" s="23"/>
      <c r="PM135" s="23"/>
      <c r="PN135" s="23"/>
      <c r="PO135" s="23"/>
      <c r="PP135" s="23"/>
      <c r="PQ135" s="23"/>
      <c r="PR135" s="23"/>
      <c r="PS135" s="23"/>
      <c r="PT135" s="23"/>
      <c r="PU135" s="23"/>
      <c r="PV135" s="23"/>
      <c r="PW135" s="23"/>
      <c r="PX135" s="23"/>
      <c r="PY135" s="23"/>
      <c r="PZ135" s="23"/>
      <c r="QA135" s="23"/>
      <c r="QB135" s="23"/>
      <c r="QC135" s="23"/>
      <c r="QD135" s="23"/>
      <c r="QE135" s="23"/>
      <c r="QF135" s="23"/>
      <c r="QG135" s="23"/>
      <c r="QH135" s="23"/>
      <c r="QI135" s="23"/>
      <c r="QJ135" s="23"/>
      <c r="QK135" s="23"/>
      <c r="QL135" s="23"/>
      <c r="QM135" s="23"/>
      <c r="QN135" s="23"/>
      <c r="QO135" s="23"/>
      <c r="QP135" s="23"/>
      <c r="QQ135" s="23"/>
      <c r="QR135" s="23"/>
      <c r="QS135" s="23"/>
      <c r="QT135" s="23"/>
      <c r="QU135" s="23"/>
      <c r="QV135" s="23"/>
      <c r="QW135" s="23"/>
      <c r="QX135" s="23"/>
      <c r="QY135" s="23"/>
      <c r="QZ135" s="23"/>
      <c r="RA135" s="23"/>
      <c r="RB135" s="23"/>
      <c r="RC135" s="23"/>
      <c r="RD135" s="23"/>
      <c r="RE135" s="23"/>
      <c r="RF135" s="23"/>
      <c r="RG135" s="23"/>
      <c r="RH135" s="23"/>
      <c r="RI135" s="23"/>
      <c r="RJ135" s="23"/>
      <c r="RK135" s="23"/>
      <c r="RL135" s="23"/>
      <c r="RM135" s="23"/>
      <c r="RN135" s="23"/>
      <c r="RO135" s="23"/>
      <c r="RP135" s="23"/>
      <c r="RQ135" s="23"/>
      <c r="RR135" s="23"/>
      <c r="RS135" s="23"/>
      <c r="RT135" s="23"/>
      <c r="RU135" s="23"/>
      <c r="RV135" s="23"/>
      <c r="RW135" s="23"/>
      <c r="RX135" s="23"/>
      <c r="RY135" s="23"/>
      <c r="RZ135" s="23"/>
      <c r="SA135" s="23"/>
      <c r="SB135" s="23"/>
      <c r="SC135" s="23"/>
      <c r="SD135" s="23"/>
      <c r="SE135" s="23"/>
      <c r="SF135" s="23"/>
      <c r="SG135" s="23"/>
      <c r="SH135" s="23"/>
      <c r="SI135" s="23"/>
      <c r="SJ135" s="23"/>
      <c r="SK135" s="23"/>
      <c r="SL135" s="23"/>
      <c r="SM135" s="23"/>
      <c r="SN135" s="23"/>
      <c r="SO135" s="23"/>
      <c r="SP135" s="23"/>
      <c r="SQ135" s="23"/>
      <c r="SR135" s="23"/>
      <c r="SS135" s="23"/>
      <c r="ST135" s="23"/>
      <c r="SU135" s="23"/>
      <c r="SV135" s="23"/>
      <c r="SW135" s="23"/>
      <c r="SX135" s="23"/>
      <c r="SY135" s="23"/>
      <c r="SZ135" s="23"/>
      <c r="TA135" s="23"/>
      <c r="TB135" s="23"/>
      <c r="TC135" s="23"/>
      <c r="TD135" s="23"/>
      <c r="TE135" s="23"/>
      <c r="TF135" s="23"/>
      <c r="TG135" s="23"/>
    </row>
    <row r="136" spans="1:527" s="22" customFormat="1" ht="33" customHeight="1" x14ac:dyDescent="0.25">
      <c r="A136" s="59" t="s">
        <v>172</v>
      </c>
      <c r="B136" s="93" t="str">
        <f>'дод 8'!A84</f>
        <v>2010</v>
      </c>
      <c r="C136" s="93" t="str">
        <f>'дод 8'!B84</f>
        <v>0731</v>
      </c>
      <c r="D136" s="6" t="s">
        <v>619</v>
      </c>
      <c r="E136" s="99">
        <f t="shared" si="53"/>
        <v>39575027.399999999</v>
      </c>
      <c r="F136" s="99">
        <v>39575027.399999999</v>
      </c>
      <c r="G136" s="99"/>
      <c r="H136" s="99"/>
      <c r="I136" s="113"/>
      <c r="J136" s="99">
        <f t="shared" ref="J136:J159" si="55">L136+O136</f>
        <v>45245966.82</v>
      </c>
      <c r="K136" s="99">
        <v>45245966.82</v>
      </c>
      <c r="L136" s="99"/>
      <c r="M136" s="99"/>
      <c r="N136" s="99"/>
      <c r="O136" s="99">
        <v>45245966.82</v>
      </c>
      <c r="P136" s="99">
        <f t="shared" si="54"/>
        <v>84820994.219999999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</row>
    <row r="137" spans="1:527" s="24" customFormat="1" ht="30" hidden="1" customHeight="1" x14ac:dyDescent="0.25">
      <c r="A137" s="84"/>
      <c r="B137" s="111"/>
      <c r="C137" s="111"/>
      <c r="D137" s="87" t="s">
        <v>390</v>
      </c>
      <c r="E137" s="101">
        <f t="shared" si="53"/>
        <v>0</v>
      </c>
      <c r="F137" s="101"/>
      <c r="G137" s="101"/>
      <c r="H137" s="101"/>
      <c r="I137" s="114"/>
      <c r="J137" s="101">
        <f t="shared" si="55"/>
        <v>0</v>
      </c>
      <c r="K137" s="101"/>
      <c r="L137" s="101"/>
      <c r="M137" s="101"/>
      <c r="N137" s="101"/>
      <c r="O137" s="101"/>
      <c r="P137" s="101">
        <f t="shared" si="54"/>
        <v>0</v>
      </c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  <c r="NO137" s="30"/>
      <c r="NP137" s="30"/>
      <c r="NQ137" s="30"/>
      <c r="NR137" s="30"/>
      <c r="NS137" s="30"/>
      <c r="NT137" s="30"/>
      <c r="NU137" s="30"/>
      <c r="NV137" s="30"/>
      <c r="NW137" s="30"/>
      <c r="NX137" s="30"/>
      <c r="NY137" s="30"/>
      <c r="NZ137" s="30"/>
      <c r="OA137" s="30"/>
      <c r="OB137" s="30"/>
      <c r="OC137" s="30"/>
      <c r="OD137" s="30"/>
      <c r="OE137" s="30"/>
      <c r="OF137" s="30"/>
      <c r="OG137" s="30"/>
      <c r="OH137" s="30"/>
      <c r="OI137" s="30"/>
      <c r="OJ137" s="30"/>
      <c r="OK137" s="30"/>
      <c r="OL137" s="30"/>
      <c r="OM137" s="30"/>
      <c r="ON137" s="30"/>
      <c r="OO137" s="30"/>
      <c r="OP137" s="30"/>
      <c r="OQ137" s="30"/>
      <c r="OR137" s="30"/>
      <c r="OS137" s="30"/>
      <c r="OT137" s="30"/>
      <c r="OU137" s="30"/>
      <c r="OV137" s="30"/>
      <c r="OW137" s="30"/>
      <c r="OX137" s="30"/>
      <c r="OY137" s="30"/>
      <c r="OZ137" s="30"/>
      <c r="PA137" s="30"/>
      <c r="PB137" s="30"/>
      <c r="PC137" s="30"/>
      <c r="PD137" s="30"/>
      <c r="PE137" s="30"/>
      <c r="PF137" s="30"/>
      <c r="PG137" s="30"/>
      <c r="PH137" s="30"/>
      <c r="PI137" s="30"/>
      <c r="PJ137" s="30"/>
      <c r="PK137" s="30"/>
      <c r="PL137" s="30"/>
      <c r="PM137" s="30"/>
      <c r="PN137" s="30"/>
      <c r="PO137" s="30"/>
      <c r="PP137" s="30"/>
      <c r="PQ137" s="30"/>
      <c r="PR137" s="30"/>
      <c r="PS137" s="30"/>
      <c r="PT137" s="30"/>
      <c r="PU137" s="30"/>
      <c r="PV137" s="30"/>
      <c r="PW137" s="30"/>
      <c r="PX137" s="30"/>
      <c r="PY137" s="30"/>
      <c r="PZ137" s="30"/>
      <c r="QA137" s="30"/>
      <c r="QB137" s="30"/>
      <c r="QC137" s="30"/>
      <c r="QD137" s="30"/>
      <c r="QE137" s="30"/>
      <c r="QF137" s="30"/>
      <c r="QG137" s="30"/>
      <c r="QH137" s="30"/>
      <c r="QI137" s="30"/>
      <c r="QJ137" s="30"/>
      <c r="QK137" s="30"/>
      <c r="QL137" s="30"/>
      <c r="QM137" s="30"/>
      <c r="QN137" s="30"/>
      <c r="QO137" s="30"/>
      <c r="QP137" s="30"/>
      <c r="QQ137" s="30"/>
      <c r="QR137" s="30"/>
      <c r="QS137" s="30"/>
      <c r="QT137" s="30"/>
      <c r="QU137" s="30"/>
      <c r="QV137" s="30"/>
      <c r="QW137" s="30"/>
      <c r="QX137" s="30"/>
      <c r="QY137" s="30"/>
      <c r="QZ137" s="30"/>
      <c r="RA137" s="30"/>
      <c r="RB137" s="30"/>
      <c r="RC137" s="30"/>
      <c r="RD137" s="30"/>
      <c r="RE137" s="30"/>
      <c r="RF137" s="30"/>
      <c r="RG137" s="30"/>
      <c r="RH137" s="30"/>
      <c r="RI137" s="30"/>
      <c r="RJ137" s="30"/>
      <c r="RK137" s="30"/>
      <c r="RL137" s="30"/>
      <c r="RM137" s="30"/>
      <c r="RN137" s="30"/>
      <c r="RO137" s="30"/>
      <c r="RP137" s="30"/>
      <c r="RQ137" s="30"/>
      <c r="RR137" s="30"/>
      <c r="RS137" s="30"/>
      <c r="RT137" s="30"/>
      <c r="RU137" s="30"/>
      <c r="RV137" s="30"/>
      <c r="RW137" s="30"/>
      <c r="RX137" s="30"/>
      <c r="RY137" s="30"/>
      <c r="RZ137" s="30"/>
      <c r="SA137" s="30"/>
      <c r="SB137" s="30"/>
      <c r="SC137" s="30"/>
      <c r="SD137" s="30"/>
      <c r="SE137" s="30"/>
      <c r="SF137" s="30"/>
      <c r="SG137" s="30"/>
      <c r="SH137" s="30"/>
      <c r="SI137" s="30"/>
      <c r="SJ137" s="30"/>
      <c r="SK137" s="30"/>
      <c r="SL137" s="30"/>
      <c r="SM137" s="30"/>
      <c r="SN137" s="30"/>
      <c r="SO137" s="30"/>
      <c r="SP137" s="30"/>
      <c r="SQ137" s="30"/>
      <c r="SR137" s="30"/>
      <c r="SS137" s="30"/>
      <c r="ST137" s="30"/>
      <c r="SU137" s="30"/>
      <c r="SV137" s="30"/>
      <c r="SW137" s="30"/>
      <c r="SX137" s="30"/>
      <c r="SY137" s="30"/>
      <c r="SZ137" s="30"/>
      <c r="TA137" s="30"/>
      <c r="TB137" s="30"/>
      <c r="TC137" s="30"/>
      <c r="TD137" s="30"/>
      <c r="TE137" s="30"/>
      <c r="TF137" s="30"/>
      <c r="TG137" s="30"/>
    </row>
    <row r="138" spans="1:527" s="24" customFormat="1" ht="47.25" hidden="1" x14ac:dyDescent="0.25">
      <c r="A138" s="84"/>
      <c r="B138" s="111"/>
      <c r="C138" s="111"/>
      <c r="D138" s="87" t="s">
        <v>391</v>
      </c>
      <c r="E138" s="101">
        <f t="shared" si="53"/>
        <v>0</v>
      </c>
      <c r="F138" s="101"/>
      <c r="G138" s="101"/>
      <c r="H138" s="101"/>
      <c r="I138" s="101"/>
      <c r="J138" s="101">
        <f t="shared" si="55"/>
        <v>0</v>
      </c>
      <c r="K138" s="101"/>
      <c r="L138" s="101"/>
      <c r="M138" s="101"/>
      <c r="N138" s="101"/>
      <c r="O138" s="101"/>
      <c r="P138" s="101">
        <f t="shared" si="54"/>
        <v>0</v>
      </c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  <c r="IS138" s="30"/>
      <c r="IT138" s="30"/>
      <c r="IU138" s="30"/>
      <c r="IV138" s="30"/>
      <c r="IW138" s="30"/>
      <c r="IX138" s="30"/>
      <c r="IY138" s="30"/>
      <c r="IZ138" s="30"/>
      <c r="JA138" s="30"/>
      <c r="JB138" s="30"/>
      <c r="JC138" s="30"/>
      <c r="JD138" s="30"/>
      <c r="JE138" s="30"/>
      <c r="JF138" s="30"/>
      <c r="JG138" s="30"/>
      <c r="JH138" s="30"/>
      <c r="JI138" s="30"/>
      <c r="JJ138" s="30"/>
      <c r="JK138" s="30"/>
      <c r="JL138" s="30"/>
      <c r="JM138" s="30"/>
      <c r="JN138" s="30"/>
      <c r="JO138" s="30"/>
      <c r="JP138" s="30"/>
      <c r="JQ138" s="30"/>
      <c r="JR138" s="30"/>
      <c r="JS138" s="30"/>
      <c r="JT138" s="30"/>
      <c r="JU138" s="30"/>
      <c r="JV138" s="30"/>
      <c r="JW138" s="30"/>
      <c r="JX138" s="30"/>
      <c r="JY138" s="30"/>
      <c r="JZ138" s="30"/>
      <c r="KA138" s="30"/>
      <c r="KB138" s="30"/>
      <c r="KC138" s="30"/>
      <c r="KD138" s="30"/>
      <c r="KE138" s="30"/>
      <c r="KF138" s="30"/>
      <c r="KG138" s="30"/>
      <c r="KH138" s="30"/>
      <c r="KI138" s="30"/>
      <c r="KJ138" s="30"/>
      <c r="KK138" s="30"/>
      <c r="KL138" s="30"/>
      <c r="KM138" s="30"/>
      <c r="KN138" s="30"/>
      <c r="KO138" s="30"/>
      <c r="KP138" s="30"/>
      <c r="KQ138" s="30"/>
      <c r="KR138" s="30"/>
      <c r="KS138" s="30"/>
      <c r="KT138" s="30"/>
      <c r="KU138" s="30"/>
      <c r="KV138" s="30"/>
      <c r="KW138" s="30"/>
      <c r="KX138" s="30"/>
      <c r="KY138" s="30"/>
      <c r="KZ138" s="30"/>
      <c r="LA138" s="30"/>
      <c r="LB138" s="30"/>
      <c r="LC138" s="30"/>
      <c r="LD138" s="30"/>
      <c r="LE138" s="30"/>
      <c r="LF138" s="30"/>
      <c r="LG138" s="30"/>
      <c r="LH138" s="30"/>
      <c r="LI138" s="30"/>
      <c r="LJ138" s="30"/>
      <c r="LK138" s="30"/>
      <c r="LL138" s="30"/>
      <c r="LM138" s="30"/>
      <c r="LN138" s="30"/>
      <c r="LO138" s="30"/>
      <c r="LP138" s="30"/>
      <c r="LQ138" s="30"/>
      <c r="LR138" s="30"/>
      <c r="LS138" s="30"/>
      <c r="LT138" s="30"/>
      <c r="LU138" s="30"/>
      <c r="LV138" s="30"/>
      <c r="LW138" s="30"/>
      <c r="LX138" s="30"/>
      <c r="LY138" s="30"/>
      <c r="LZ138" s="30"/>
      <c r="MA138" s="30"/>
      <c r="MB138" s="30"/>
      <c r="MC138" s="30"/>
      <c r="MD138" s="30"/>
      <c r="ME138" s="30"/>
      <c r="MF138" s="30"/>
      <c r="MG138" s="30"/>
      <c r="MH138" s="30"/>
      <c r="MI138" s="30"/>
      <c r="MJ138" s="30"/>
      <c r="MK138" s="30"/>
      <c r="ML138" s="30"/>
      <c r="MM138" s="30"/>
      <c r="MN138" s="30"/>
      <c r="MO138" s="30"/>
      <c r="MP138" s="30"/>
      <c r="MQ138" s="30"/>
      <c r="MR138" s="30"/>
      <c r="MS138" s="30"/>
      <c r="MT138" s="30"/>
      <c r="MU138" s="30"/>
      <c r="MV138" s="30"/>
      <c r="MW138" s="30"/>
      <c r="MX138" s="30"/>
      <c r="MY138" s="30"/>
      <c r="MZ138" s="30"/>
      <c r="NA138" s="30"/>
      <c r="NB138" s="30"/>
      <c r="NC138" s="30"/>
      <c r="ND138" s="30"/>
      <c r="NE138" s="30"/>
      <c r="NF138" s="30"/>
      <c r="NG138" s="30"/>
      <c r="NH138" s="30"/>
      <c r="NI138" s="30"/>
      <c r="NJ138" s="30"/>
      <c r="NK138" s="30"/>
      <c r="NL138" s="30"/>
      <c r="NM138" s="30"/>
      <c r="NN138" s="30"/>
      <c r="NO138" s="30"/>
      <c r="NP138" s="30"/>
      <c r="NQ138" s="30"/>
      <c r="NR138" s="30"/>
      <c r="NS138" s="30"/>
      <c r="NT138" s="30"/>
      <c r="NU138" s="30"/>
      <c r="NV138" s="30"/>
      <c r="NW138" s="30"/>
      <c r="NX138" s="30"/>
      <c r="NY138" s="30"/>
      <c r="NZ138" s="30"/>
      <c r="OA138" s="30"/>
      <c r="OB138" s="30"/>
      <c r="OC138" s="30"/>
      <c r="OD138" s="30"/>
      <c r="OE138" s="30"/>
      <c r="OF138" s="30"/>
      <c r="OG138" s="30"/>
      <c r="OH138" s="30"/>
      <c r="OI138" s="30"/>
      <c r="OJ138" s="30"/>
      <c r="OK138" s="30"/>
      <c r="OL138" s="30"/>
      <c r="OM138" s="30"/>
      <c r="ON138" s="30"/>
      <c r="OO138" s="30"/>
      <c r="OP138" s="30"/>
      <c r="OQ138" s="30"/>
      <c r="OR138" s="30"/>
      <c r="OS138" s="30"/>
      <c r="OT138" s="30"/>
      <c r="OU138" s="30"/>
      <c r="OV138" s="30"/>
      <c r="OW138" s="30"/>
      <c r="OX138" s="30"/>
      <c r="OY138" s="30"/>
      <c r="OZ138" s="30"/>
      <c r="PA138" s="30"/>
      <c r="PB138" s="30"/>
      <c r="PC138" s="30"/>
      <c r="PD138" s="30"/>
      <c r="PE138" s="30"/>
      <c r="PF138" s="30"/>
      <c r="PG138" s="30"/>
      <c r="PH138" s="30"/>
      <c r="PI138" s="30"/>
      <c r="PJ138" s="30"/>
      <c r="PK138" s="30"/>
      <c r="PL138" s="30"/>
      <c r="PM138" s="30"/>
      <c r="PN138" s="30"/>
      <c r="PO138" s="30"/>
      <c r="PP138" s="30"/>
      <c r="PQ138" s="30"/>
      <c r="PR138" s="30"/>
      <c r="PS138" s="30"/>
      <c r="PT138" s="30"/>
      <c r="PU138" s="30"/>
      <c r="PV138" s="30"/>
      <c r="PW138" s="30"/>
      <c r="PX138" s="30"/>
      <c r="PY138" s="30"/>
      <c r="PZ138" s="30"/>
      <c r="QA138" s="30"/>
      <c r="QB138" s="30"/>
      <c r="QC138" s="30"/>
      <c r="QD138" s="30"/>
      <c r="QE138" s="30"/>
      <c r="QF138" s="30"/>
      <c r="QG138" s="30"/>
      <c r="QH138" s="30"/>
      <c r="QI138" s="30"/>
      <c r="QJ138" s="30"/>
      <c r="QK138" s="30"/>
      <c r="QL138" s="30"/>
      <c r="QM138" s="30"/>
      <c r="QN138" s="30"/>
      <c r="QO138" s="30"/>
      <c r="QP138" s="30"/>
      <c r="QQ138" s="30"/>
      <c r="QR138" s="30"/>
      <c r="QS138" s="30"/>
      <c r="QT138" s="30"/>
      <c r="QU138" s="30"/>
      <c r="QV138" s="30"/>
      <c r="QW138" s="30"/>
      <c r="QX138" s="30"/>
      <c r="QY138" s="30"/>
      <c r="QZ138" s="30"/>
      <c r="RA138" s="30"/>
      <c r="RB138" s="30"/>
      <c r="RC138" s="30"/>
      <c r="RD138" s="30"/>
      <c r="RE138" s="30"/>
      <c r="RF138" s="30"/>
      <c r="RG138" s="30"/>
      <c r="RH138" s="30"/>
      <c r="RI138" s="30"/>
      <c r="RJ138" s="30"/>
      <c r="RK138" s="30"/>
      <c r="RL138" s="30"/>
      <c r="RM138" s="30"/>
      <c r="RN138" s="30"/>
      <c r="RO138" s="30"/>
      <c r="RP138" s="30"/>
      <c r="RQ138" s="30"/>
      <c r="RR138" s="30"/>
      <c r="RS138" s="30"/>
      <c r="RT138" s="30"/>
      <c r="RU138" s="30"/>
      <c r="RV138" s="30"/>
      <c r="RW138" s="30"/>
      <c r="RX138" s="30"/>
      <c r="RY138" s="30"/>
      <c r="RZ138" s="30"/>
      <c r="SA138" s="30"/>
      <c r="SB138" s="30"/>
      <c r="SC138" s="30"/>
      <c r="SD138" s="30"/>
      <c r="SE138" s="30"/>
      <c r="SF138" s="30"/>
      <c r="SG138" s="30"/>
      <c r="SH138" s="30"/>
      <c r="SI138" s="30"/>
      <c r="SJ138" s="30"/>
      <c r="SK138" s="30"/>
      <c r="SL138" s="30"/>
      <c r="SM138" s="30"/>
      <c r="SN138" s="30"/>
      <c r="SO138" s="30"/>
      <c r="SP138" s="30"/>
      <c r="SQ138" s="30"/>
      <c r="SR138" s="30"/>
      <c r="SS138" s="30"/>
      <c r="ST138" s="30"/>
      <c r="SU138" s="30"/>
      <c r="SV138" s="30"/>
      <c r="SW138" s="30"/>
      <c r="SX138" s="30"/>
      <c r="SY138" s="30"/>
      <c r="SZ138" s="30"/>
      <c r="TA138" s="30"/>
      <c r="TB138" s="30"/>
      <c r="TC138" s="30"/>
      <c r="TD138" s="30"/>
      <c r="TE138" s="30"/>
      <c r="TF138" s="30"/>
      <c r="TG138" s="30"/>
    </row>
    <row r="139" spans="1:527" s="24" customFormat="1" ht="15.75" x14ac:dyDescent="0.25">
      <c r="A139" s="84"/>
      <c r="B139" s="111"/>
      <c r="C139" s="111"/>
      <c r="D139" s="87" t="s">
        <v>393</v>
      </c>
      <c r="E139" s="101">
        <f t="shared" si="53"/>
        <v>0</v>
      </c>
      <c r="F139" s="101"/>
      <c r="G139" s="101"/>
      <c r="H139" s="101"/>
      <c r="I139" s="114"/>
      <c r="J139" s="101">
        <f t="shared" si="55"/>
        <v>5750000</v>
      </c>
      <c r="K139" s="101">
        <v>5750000</v>
      </c>
      <c r="L139" s="101"/>
      <c r="M139" s="101"/>
      <c r="N139" s="101"/>
      <c r="O139" s="101">
        <v>5750000</v>
      </c>
      <c r="P139" s="101">
        <f t="shared" si="54"/>
        <v>5750000</v>
      </c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</row>
    <row r="140" spans="1:527" s="22" customFormat="1" ht="31.5" x14ac:dyDescent="0.25">
      <c r="A140" s="59" t="s">
        <v>447</v>
      </c>
      <c r="B140" s="93">
        <v>2020</v>
      </c>
      <c r="C140" s="59" t="s">
        <v>448</v>
      </c>
      <c r="D140" s="60" t="str">
        <f>'дод 8'!C88</f>
        <v xml:space="preserve"> Спеціалізована стаціонарна медична допомога населенню</v>
      </c>
      <c r="E140" s="99">
        <f t="shared" si="53"/>
        <v>90000</v>
      </c>
      <c r="F140" s="99">
        <v>90000</v>
      </c>
      <c r="G140" s="113"/>
      <c r="H140" s="113"/>
      <c r="I140" s="113"/>
      <c r="J140" s="99">
        <f t="shared" si="55"/>
        <v>0</v>
      </c>
      <c r="K140" s="99"/>
      <c r="L140" s="99"/>
      <c r="M140" s="99"/>
      <c r="N140" s="99"/>
      <c r="O140" s="99"/>
      <c r="P140" s="99">
        <f t="shared" si="54"/>
        <v>90000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</row>
    <row r="141" spans="1:527" s="22" customFormat="1" ht="36.75" customHeight="1" x14ac:dyDescent="0.25">
      <c r="A141" s="59" t="s">
        <v>177</v>
      </c>
      <c r="B141" s="93" t="str">
        <f>'дод 8'!A89</f>
        <v>2030</v>
      </c>
      <c r="C141" s="93" t="str">
        <f>'дод 8'!B89</f>
        <v>0733</v>
      </c>
      <c r="D141" s="60" t="s">
        <v>464</v>
      </c>
      <c r="E141" s="99">
        <f t="shared" si="53"/>
        <v>3742159</v>
      </c>
      <c r="F141" s="99">
        <v>3742159</v>
      </c>
      <c r="G141" s="115"/>
      <c r="H141" s="115"/>
      <c r="I141" s="113"/>
      <c r="J141" s="99">
        <f t="shared" si="55"/>
        <v>5100000</v>
      </c>
      <c r="K141" s="99">
        <v>5100000</v>
      </c>
      <c r="L141" s="99"/>
      <c r="M141" s="99"/>
      <c r="N141" s="99"/>
      <c r="O141" s="99">
        <v>5100000</v>
      </c>
      <c r="P141" s="99">
        <f t="shared" si="54"/>
        <v>8842159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</row>
    <row r="142" spans="1:527" s="24" customFormat="1" ht="30" hidden="1" customHeight="1" x14ac:dyDescent="0.25">
      <c r="A142" s="84"/>
      <c r="B142" s="111"/>
      <c r="C142" s="111"/>
      <c r="D142" s="87" t="s">
        <v>390</v>
      </c>
      <c r="E142" s="101">
        <f t="shared" si="53"/>
        <v>0</v>
      </c>
      <c r="F142" s="101"/>
      <c r="G142" s="114"/>
      <c r="H142" s="114"/>
      <c r="I142" s="114"/>
      <c r="J142" s="101"/>
      <c r="K142" s="101"/>
      <c r="L142" s="101"/>
      <c r="M142" s="101"/>
      <c r="N142" s="101"/>
      <c r="O142" s="101"/>
      <c r="P142" s="101">
        <f t="shared" si="54"/>
        <v>0</v>
      </c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  <c r="TG142" s="30"/>
    </row>
    <row r="143" spans="1:527" s="22" customFormat="1" ht="24" customHeight="1" x14ac:dyDescent="0.25">
      <c r="A143" s="59" t="s">
        <v>176</v>
      </c>
      <c r="B143" s="93" t="str">
        <f>'дод 8'!A91</f>
        <v>2100</v>
      </c>
      <c r="C143" s="93" t="str">
        <f>'дод 8'!B91</f>
        <v>0722</v>
      </c>
      <c r="D143" s="60" t="str">
        <f>'дод 8'!C91</f>
        <v>Стоматологічна допомога населенню</v>
      </c>
      <c r="E143" s="99">
        <f t="shared" si="53"/>
        <v>7683806</v>
      </c>
      <c r="F143" s="99">
        <v>7683806</v>
      </c>
      <c r="G143" s="115"/>
      <c r="H143" s="115"/>
      <c r="I143" s="113"/>
      <c r="J143" s="99">
        <f t="shared" si="55"/>
        <v>0</v>
      </c>
      <c r="K143" s="99"/>
      <c r="L143" s="99"/>
      <c r="M143" s="99"/>
      <c r="N143" s="99"/>
      <c r="O143" s="99"/>
      <c r="P143" s="99">
        <f t="shared" si="54"/>
        <v>7683806</v>
      </c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</row>
    <row r="144" spans="1:527" s="24" customFormat="1" ht="30" hidden="1" customHeight="1" x14ac:dyDescent="0.25">
      <c r="A144" s="84"/>
      <c r="B144" s="111"/>
      <c r="C144" s="111"/>
      <c r="D144" s="87" t="s">
        <v>390</v>
      </c>
      <c r="E144" s="101">
        <f t="shared" si="53"/>
        <v>0</v>
      </c>
      <c r="F144" s="101"/>
      <c r="G144" s="114"/>
      <c r="H144" s="114"/>
      <c r="I144" s="114"/>
      <c r="J144" s="101">
        <f t="shared" si="55"/>
        <v>0</v>
      </c>
      <c r="K144" s="101"/>
      <c r="L144" s="101"/>
      <c r="M144" s="101"/>
      <c r="N144" s="101"/>
      <c r="O144" s="101"/>
      <c r="P144" s="101">
        <f t="shared" si="54"/>
        <v>0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</row>
    <row r="145" spans="1:527" s="22" customFormat="1" ht="48" customHeight="1" x14ac:dyDescent="0.25">
      <c r="A145" s="59" t="s">
        <v>175</v>
      </c>
      <c r="B145" s="93" t="str">
        <f>'дод 8'!A93</f>
        <v>2111</v>
      </c>
      <c r="C145" s="93" t="str">
        <f>'дод 8'!B93</f>
        <v>0726</v>
      </c>
      <c r="D145" s="60" t="str">
        <f>'дод 8'!C93</f>
        <v>Первинна медична допомога населенню, що надається центрами первинної медичної (медико-санітарної) допомоги</v>
      </c>
      <c r="E145" s="99">
        <f t="shared" si="53"/>
        <v>3026631</v>
      </c>
      <c r="F145" s="99">
        <v>3026631</v>
      </c>
      <c r="G145" s="113"/>
      <c r="H145" s="115"/>
      <c r="I145" s="113"/>
      <c r="J145" s="99">
        <f t="shared" si="55"/>
        <v>0</v>
      </c>
      <c r="K145" s="99"/>
      <c r="L145" s="99"/>
      <c r="M145" s="99"/>
      <c r="N145" s="99"/>
      <c r="O145" s="99"/>
      <c r="P145" s="99">
        <f t="shared" si="54"/>
        <v>3026631</v>
      </c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</row>
    <row r="146" spans="1:527" s="24" customFormat="1" ht="63" hidden="1" customHeight="1" x14ac:dyDescent="0.25">
      <c r="A146" s="84"/>
      <c r="B146" s="111"/>
      <c r="C146" s="111"/>
      <c r="D146" s="85" t="s">
        <v>392</v>
      </c>
      <c r="E146" s="101">
        <f t="shared" si="53"/>
        <v>0</v>
      </c>
      <c r="F146" s="101"/>
      <c r="G146" s="114"/>
      <c r="H146" s="114"/>
      <c r="I146" s="114"/>
      <c r="J146" s="101">
        <f t="shared" si="55"/>
        <v>0</v>
      </c>
      <c r="K146" s="101"/>
      <c r="L146" s="101"/>
      <c r="M146" s="101"/>
      <c r="N146" s="101"/>
      <c r="O146" s="101"/>
      <c r="P146" s="101">
        <f t="shared" si="54"/>
        <v>0</v>
      </c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  <c r="SO146" s="30"/>
      <c r="SP146" s="30"/>
      <c r="SQ146" s="30"/>
      <c r="SR146" s="30"/>
      <c r="SS146" s="30"/>
      <c r="ST146" s="30"/>
      <c r="SU146" s="30"/>
      <c r="SV146" s="30"/>
      <c r="SW146" s="30"/>
      <c r="SX146" s="30"/>
      <c r="SY146" s="30"/>
      <c r="SZ146" s="30"/>
      <c r="TA146" s="30"/>
      <c r="TB146" s="30"/>
      <c r="TC146" s="30"/>
      <c r="TD146" s="30"/>
      <c r="TE146" s="30"/>
      <c r="TF146" s="30"/>
      <c r="TG146" s="30"/>
    </row>
    <row r="147" spans="1:527" s="22" customFormat="1" ht="31.5" x14ac:dyDescent="0.25">
      <c r="A147" s="59" t="s">
        <v>174</v>
      </c>
      <c r="B147" s="93">
        <f>'дод 8'!A95</f>
        <v>2144</v>
      </c>
      <c r="C147" s="93" t="str">
        <f>'дод 8'!B95</f>
        <v>0763</v>
      </c>
      <c r="D147" s="123" t="str">
        <f>'дод 8'!C95</f>
        <v>Централізовані заходи з лікування хворих на цукровий та нецукровий діабет, у т.ч. за рахунок:</v>
      </c>
      <c r="E147" s="99">
        <f t="shared" si="53"/>
        <v>11403700</v>
      </c>
      <c r="F147" s="99">
        <v>11403700</v>
      </c>
      <c r="G147" s="113"/>
      <c r="H147" s="113"/>
      <c r="I147" s="113"/>
      <c r="J147" s="99">
        <f t="shared" si="55"/>
        <v>0</v>
      </c>
      <c r="K147" s="99"/>
      <c r="L147" s="99"/>
      <c r="M147" s="99"/>
      <c r="N147" s="99"/>
      <c r="O147" s="99"/>
      <c r="P147" s="99">
        <f t="shared" si="54"/>
        <v>11403700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  <c r="TF147" s="23"/>
      <c r="TG147" s="23"/>
    </row>
    <row r="148" spans="1:527" s="24" customFormat="1" ht="47.25" hidden="1" customHeight="1" x14ac:dyDescent="0.25">
      <c r="A148" s="84"/>
      <c r="B148" s="111"/>
      <c r="C148" s="111"/>
      <c r="D148" s="124" t="s">
        <v>391</v>
      </c>
      <c r="E148" s="101">
        <f t="shared" si="53"/>
        <v>0</v>
      </c>
      <c r="F148" s="101"/>
      <c r="G148" s="101"/>
      <c r="H148" s="101"/>
      <c r="I148" s="101"/>
      <c r="J148" s="101">
        <f t="shared" si="55"/>
        <v>0</v>
      </c>
      <c r="K148" s="101"/>
      <c r="L148" s="101"/>
      <c r="M148" s="101"/>
      <c r="N148" s="101"/>
      <c r="O148" s="101"/>
      <c r="P148" s="101">
        <f t="shared" si="54"/>
        <v>0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  <c r="TF148" s="30"/>
      <c r="TG148" s="30"/>
    </row>
    <row r="149" spans="1:527" s="24" customFormat="1" ht="63" x14ac:dyDescent="0.25">
      <c r="A149" s="84"/>
      <c r="B149" s="111"/>
      <c r="C149" s="111"/>
      <c r="D149" s="124" t="s">
        <v>392</v>
      </c>
      <c r="E149" s="101">
        <f t="shared" si="53"/>
        <v>11403700</v>
      </c>
      <c r="F149" s="101">
        <v>11403700</v>
      </c>
      <c r="G149" s="114"/>
      <c r="H149" s="114"/>
      <c r="I149" s="114"/>
      <c r="J149" s="101">
        <f t="shared" si="55"/>
        <v>0</v>
      </c>
      <c r="K149" s="101"/>
      <c r="L149" s="101"/>
      <c r="M149" s="101"/>
      <c r="N149" s="101"/>
      <c r="O149" s="101"/>
      <c r="P149" s="101">
        <f t="shared" si="54"/>
        <v>11403700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  <c r="TF149" s="30"/>
      <c r="TG149" s="30"/>
    </row>
    <row r="150" spans="1:527" s="22" customFormat="1" ht="30" customHeight="1" x14ac:dyDescent="0.25">
      <c r="A150" s="59" t="s">
        <v>325</v>
      </c>
      <c r="B150" s="42" t="str">
        <f>'дод 8'!A98</f>
        <v>2151</v>
      </c>
      <c r="C150" s="42" t="str">
        <f>'дод 8'!B98</f>
        <v>0763</v>
      </c>
      <c r="D150" s="60" t="str">
        <f>'дод 8'!C98</f>
        <v>Забезпечення діяльності інших закладів у сфері охорони здоров’я</v>
      </c>
      <c r="E150" s="99">
        <f t="shared" si="53"/>
        <v>3062384</v>
      </c>
      <c r="F150" s="99">
        <v>3062384</v>
      </c>
      <c r="G150" s="115">
        <v>2387600</v>
      </c>
      <c r="H150" s="115">
        <v>61784</v>
      </c>
      <c r="I150" s="113"/>
      <c r="J150" s="99">
        <f t="shared" si="55"/>
        <v>0</v>
      </c>
      <c r="K150" s="99"/>
      <c r="L150" s="99"/>
      <c r="M150" s="99"/>
      <c r="N150" s="99"/>
      <c r="O150" s="99"/>
      <c r="P150" s="99">
        <f t="shared" si="54"/>
        <v>3062384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  <c r="TG150" s="23"/>
    </row>
    <row r="151" spans="1:527" s="22" customFormat="1" ht="24.75" customHeight="1" x14ac:dyDescent="0.25">
      <c r="A151" s="59" t="s">
        <v>326</v>
      </c>
      <c r="B151" s="42" t="str">
        <f>'дод 8'!A99</f>
        <v>2152</v>
      </c>
      <c r="C151" s="42" t="str">
        <f>'дод 8'!B99</f>
        <v>0763</v>
      </c>
      <c r="D151" s="36" t="str">
        <f>'дод 8'!C99</f>
        <v>Інші програми та заходи у сфері охорони здоров’я</v>
      </c>
      <c r="E151" s="99">
        <f>F151+I151</f>
        <v>19853800</v>
      </c>
      <c r="F151" s="99">
        <v>19853800</v>
      </c>
      <c r="G151" s="99"/>
      <c r="H151" s="99"/>
      <c r="I151" s="99"/>
      <c r="J151" s="99">
        <f t="shared" si="55"/>
        <v>23031354</v>
      </c>
      <c r="K151" s="99">
        <v>23031354</v>
      </c>
      <c r="L151" s="99"/>
      <c r="M151" s="99"/>
      <c r="N151" s="99"/>
      <c r="O151" s="99">
        <v>23031354</v>
      </c>
      <c r="P151" s="99">
        <f t="shared" si="54"/>
        <v>42885154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  <c r="TF151" s="23"/>
      <c r="TG151" s="23"/>
    </row>
    <row r="152" spans="1:527" s="22" customFormat="1" ht="24.75" customHeight="1" x14ac:dyDescent="0.25">
      <c r="A152" s="59" t="s">
        <v>416</v>
      </c>
      <c r="B152" s="42">
        <v>7322</v>
      </c>
      <c r="C152" s="103" t="s">
        <v>111</v>
      </c>
      <c r="D152" s="6" t="s">
        <v>549</v>
      </c>
      <c r="E152" s="99">
        <f>F152+I152</f>
        <v>0</v>
      </c>
      <c r="F152" s="99"/>
      <c r="G152" s="99"/>
      <c r="H152" s="99"/>
      <c r="I152" s="99"/>
      <c r="J152" s="99">
        <f t="shared" si="55"/>
        <v>31128372</v>
      </c>
      <c r="K152" s="99">
        <v>31128372</v>
      </c>
      <c r="L152" s="99"/>
      <c r="M152" s="99"/>
      <c r="N152" s="99"/>
      <c r="O152" s="99">
        <v>31128372</v>
      </c>
      <c r="P152" s="99">
        <f t="shared" si="54"/>
        <v>31128372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</row>
    <row r="153" spans="1:527" s="22" customFormat="1" ht="47.25" x14ac:dyDescent="0.25">
      <c r="A153" s="59" t="s">
        <v>373</v>
      </c>
      <c r="B153" s="42">
        <f>'дод 8'!A187</f>
        <v>7361</v>
      </c>
      <c r="C153" s="42" t="str">
        <f>'дод 8'!B187</f>
        <v>0490</v>
      </c>
      <c r="D153" s="36" t="str">
        <f>'дод 8'!C187</f>
        <v>Співфінансування інвестиційних проектів, що реалізуються за рахунок коштів державного фонду регіонального розвитку</v>
      </c>
      <c r="E153" s="99">
        <f t="shared" si="53"/>
        <v>0</v>
      </c>
      <c r="F153" s="99"/>
      <c r="G153" s="99"/>
      <c r="H153" s="99"/>
      <c r="I153" s="99"/>
      <c r="J153" s="99">
        <f t="shared" si="55"/>
        <v>4289000</v>
      </c>
      <c r="K153" s="99">
        <v>4289000</v>
      </c>
      <c r="L153" s="99"/>
      <c r="M153" s="99"/>
      <c r="N153" s="99"/>
      <c r="O153" s="99">
        <v>4289000</v>
      </c>
      <c r="P153" s="99">
        <f t="shared" si="54"/>
        <v>4289000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</row>
    <row r="154" spans="1:527" s="22" customFormat="1" ht="47.25" x14ac:dyDescent="0.25">
      <c r="A154" s="59" t="s">
        <v>423</v>
      </c>
      <c r="B154" s="42">
        <v>7363</v>
      </c>
      <c r="C154" s="103" t="s">
        <v>82</v>
      </c>
      <c r="D154" s="60" t="s">
        <v>398</v>
      </c>
      <c r="E154" s="99">
        <f t="shared" si="53"/>
        <v>0</v>
      </c>
      <c r="F154" s="99"/>
      <c r="G154" s="99"/>
      <c r="H154" s="99"/>
      <c r="I154" s="99"/>
      <c r="J154" s="99">
        <f t="shared" si="55"/>
        <v>156000</v>
      </c>
      <c r="K154" s="99">
        <v>156000</v>
      </c>
      <c r="L154" s="99"/>
      <c r="M154" s="99"/>
      <c r="N154" s="99"/>
      <c r="O154" s="99">
        <v>156000</v>
      </c>
      <c r="P154" s="99">
        <f t="shared" si="54"/>
        <v>156000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</row>
    <row r="155" spans="1:527" s="22" customFormat="1" ht="47.25" x14ac:dyDescent="0.25">
      <c r="A155" s="59"/>
      <c r="B155" s="42"/>
      <c r="C155" s="42"/>
      <c r="D155" s="87" t="s">
        <v>388</v>
      </c>
      <c r="E155" s="101">
        <f t="shared" si="53"/>
        <v>0</v>
      </c>
      <c r="F155" s="101"/>
      <c r="G155" s="101"/>
      <c r="H155" s="101"/>
      <c r="I155" s="101"/>
      <c r="J155" s="101">
        <f t="shared" si="55"/>
        <v>156000</v>
      </c>
      <c r="K155" s="101">
        <v>156000</v>
      </c>
      <c r="L155" s="101"/>
      <c r="M155" s="101"/>
      <c r="N155" s="101"/>
      <c r="O155" s="101">
        <v>156000</v>
      </c>
      <c r="P155" s="101">
        <f t="shared" si="54"/>
        <v>156000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</row>
    <row r="156" spans="1:527" s="22" customFormat="1" ht="18.75" customHeight="1" x14ac:dyDescent="0.25">
      <c r="A156" s="59" t="s">
        <v>173</v>
      </c>
      <c r="B156" s="93" t="str">
        <f>'дод 8'!A215</f>
        <v>7640</v>
      </c>
      <c r="C156" s="93" t="str">
        <f>'дод 8'!B215</f>
        <v>0470</v>
      </c>
      <c r="D156" s="60" t="s">
        <v>418</v>
      </c>
      <c r="E156" s="99">
        <f t="shared" si="53"/>
        <v>121500</v>
      </c>
      <c r="F156" s="99">
        <v>121500</v>
      </c>
      <c r="G156" s="99"/>
      <c r="H156" s="99"/>
      <c r="I156" s="99"/>
      <c r="J156" s="99">
        <f t="shared" si="55"/>
        <v>10527570.120000001</v>
      </c>
      <c r="K156" s="99">
        <v>10527570.120000001</v>
      </c>
      <c r="L156" s="99"/>
      <c r="M156" s="99"/>
      <c r="N156" s="99"/>
      <c r="O156" s="99">
        <v>10527570.120000001</v>
      </c>
      <c r="P156" s="99">
        <f t="shared" si="54"/>
        <v>10649070.120000001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</row>
    <row r="157" spans="1:527" s="24" customFormat="1" ht="15" customHeight="1" x14ac:dyDescent="0.25">
      <c r="A157" s="84"/>
      <c r="B157" s="111"/>
      <c r="C157" s="111"/>
      <c r="D157" s="85" t="s">
        <v>419</v>
      </c>
      <c r="E157" s="101">
        <f t="shared" si="53"/>
        <v>0</v>
      </c>
      <c r="F157" s="101"/>
      <c r="G157" s="101"/>
      <c r="H157" s="101"/>
      <c r="I157" s="101"/>
      <c r="J157" s="101">
        <f t="shared" si="55"/>
        <v>4662070.12</v>
      </c>
      <c r="K157" s="101">
        <v>4662070.12</v>
      </c>
      <c r="L157" s="101"/>
      <c r="M157" s="101"/>
      <c r="N157" s="101"/>
      <c r="O157" s="101">
        <v>4662070.12</v>
      </c>
      <c r="P157" s="101">
        <f t="shared" si="54"/>
        <v>4662070.12</v>
      </c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  <c r="TF157" s="30"/>
      <c r="TG157" s="30"/>
    </row>
    <row r="158" spans="1:527" s="22" customFormat="1" ht="45" hidden="1" customHeight="1" x14ac:dyDescent="0.25">
      <c r="A158" s="59" t="s">
        <v>361</v>
      </c>
      <c r="B158" s="93">
        <v>7700</v>
      </c>
      <c r="C158" s="59" t="s">
        <v>93</v>
      </c>
      <c r="D158" s="60" t="s">
        <v>362</v>
      </c>
      <c r="E158" s="99">
        <f t="shared" si="53"/>
        <v>0</v>
      </c>
      <c r="F158" s="99"/>
      <c r="G158" s="99"/>
      <c r="H158" s="99"/>
      <c r="I158" s="99"/>
      <c r="J158" s="99">
        <f t="shared" si="55"/>
        <v>0</v>
      </c>
      <c r="K158" s="99"/>
      <c r="L158" s="99"/>
      <c r="M158" s="99"/>
      <c r="N158" s="99"/>
      <c r="O158" s="99">
        <v>0</v>
      </c>
      <c r="P158" s="99">
        <f t="shared" si="54"/>
        <v>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</row>
    <row r="159" spans="1:527" s="22" customFormat="1" ht="15.75" x14ac:dyDescent="0.25">
      <c r="A159" s="59" t="s">
        <v>432</v>
      </c>
      <c r="B159" s="93">
        <v>9770</v>
      </c>
      <c r="C159" s="59" t="s">
        <v>45</v>
      </c>
      <c r="D159" s="60" t="s">
        <v>433</v>
      </c>
      <c r="E159" s="99">
        <f t="shared" si="53"/>
        <v>0</v>
      </c>
      <c r="F159" s="99"/>
      <c r="G159" s="99"/>
      <c r="H159" s="99"/>
      <c r="I159" s="99"/>
      <c r="J159" s="99">
        <f t="shared" si="55"/>
        <v>10000111.600000001</v>
      </c>
      <c r="K159" s="99">
        <v>10000111.600000001</v>
      </c>
      <c r="L159" s="99"/>
      <c r="M159" s="99"/>
      <c r="N159" s="99"/>
      <c r="O159" s="99">
        <v>10000111.600000001</v>
      </c>
      <c r="P159" s="99">
        <f t="shared" si="54"/>
        <v>10000111.600000001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</row>
    <row r="160" spans="1:527" s="27" customFormat="1" ht="36" customHeight="1" x14ac:dyDescent="0.25">
      <c r="A160" s="110" t="s">
        <v>178</v>
      </c>
      <c r="B160" s="112"/>
      <c r="C160" s="112"/>
      <c r="D160" s="107" t="s">
        <v>38</v>
      </c>
      <c r="E160" s="95">
        <f>E161</f>
        <v>193667752.35000002</v>
      </c>
      <c r="F160" s="95">
        <f t="shared" ref="F160:J160" si="56">F161</f>
        <v>193667752.35000002</v>
      </c>
      <c r="G160" s="95">
        <f t="shared" si="56"/>
        <v>60937100</v>
      </c>
      <c r="H160" s="95">
        <f t="shared" si="56"/>
        <v>1606689</v>
      </c>
      <c r="I160" s="95">
        <f t="shared" si="56"/>
        <v>0</v>
      </c>
      <c r="J160" s="95">
        <f t="shared" si="56"/>
        <v>2939024.05</v>
      </c>
      <c r="K160" s="95">
        <f t="shared" ref="K160" si="57">K161</f>
        <v>2842824.05</v>
      </c>
      <c r="L160" s="95">
        <f t="shared" ref="L160" si="58">L161</f>
        <v>96200</v>
      </c>
      <c r="M160" s="95">
        <f t="shared" ref="M160" si="59">M161</f>
        <v>75000</v>
      </c>
      <c r="N160" s="95">
        <f t="shared" ref="N160" si="60">N161</f>
        <v>0</v>
      </c>
      <c r="O160" s="95">
        <f t="shared" ref="O160:P160" si="61">O161</f>
        <v>2842824.05</v>
      </c>
      <c r="P160" s="95">
        <f t="shared" si="61"/>
        <v>196606776.40000004</v>
      </c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32"/>
      <c r="IS160" s="32"/>
      <c r="IT160" s="32"/>
      <c r="IU160" s="32"/>
      <c r="IV160" s="32"/>
      <c r="IW160" s="32"/>
      <c r="IX160" s="32"/>
      <c r="IY160" s="32"/>
      <c r="IZ160" s="32"/>
      <c r="JA160" s="32"/>
      <c r="JB160" s="32"/>
      <c r="JC160" s="32"/>
      <c r="JD160" s="32"/>
      <c r="JE160" s="32"/>
      <c r="JF160" s="32"/>
      <c r="JG160" s="32"/>
      <c r="JH160" s="32"/>
      <c r="JI160" s="32"/>
      <c r="JJ160" s="32"/>
      <c r="JK160" s="32"/>
      <c r="JL160" s="32"/>
      <c r="JM160" s="32"/>
      <c r="JN160" s="32"/>
      <c r="JO160" s="32"/>
      <c r="JP160" s="32"/>
      <c r="JQ160" s="32"/>
      <c r="JR160" s="32"/>
      <c r="JS160" s="32"/>
      <c r="JT160" s="32"/>
      <c r="JU160" s="32"/>
      <c r="JV160" s="32"/>
      <c r="JW160" s="32"/>
      <c r="JX160" s="32"/>
      <c r="JY160" s="32"/>
      <c r="JZ160" s="32"/>
      <c r="KA160" s="32"/>
      <c r="KB160" s="32"/>
      <c r="KC160" s="32"/>
      <c r="KD160" s="32"/>
      <c r="KE160" s="32"/>
      <c r="KF160" s="32"/>
      <c r="KG160" s="32"/>
      <c r="KH160" s="32"/>
      <c r="KI160" s="32"/>
      <c r="KJ160" s="32"/>
      <c r="KK160" s="32"/>
      <c r="KL160" s="32"/>
      <c r="KM160" s="32"/>
      <c r="KN160" s="32"/>
      <c r="KO160" s="32"/>
      <c r="KP160" s="32"/>
      <c r="KQ160" s="32"/>
      <c r="KR160" s="32"/>
      <c r="KS160" s="32"/>
      <c r="KT160" s="32"/>
      <c r="KU160" s="32"/>
      <c r="KV160" s="32"/>
      <c r="KW160" s="32"/>
      <c r="KX160" s="32"/>
      <c r="KY160" s="32"/>
      <c r="KZ160" s="32"/>
      <c r="LA160" s="32"/>
      <c r="LB160" s="32"/>
      <c r="LC160" s="32"/>
      <c r="LD160" s="32"/>
      <c r="LE160" s="32"/>
      <c r="LF160" s="32"/>
      <c r="LG160" s="32"/>
      <c r="LH160" s="32"/>
      <c r="LI160" s="32"/>
      <c r="LJ160" s="32"/>
      <c r="LK160" s="32"/>
      <c r="LL160" s="32"/>
      <c r="LM160" s="32"/>
      <c r="LN160" s="32"/>
      <c r="LO160" s="32"/>
      <c r="LP160" s="32"/>
      <c r="LQ160" s="32"/>
      <c r="LR160" s="32"/>
      <c r="LS160" s="32"/>
      <c r="LT160" s="32"/>
      <c r="LU160" s="32"/>
      <c r="LV160" s="32"/>
      <c r="LW160" s="32"/>
      <c r="LX160" s="32"/>
      <c r="LY160" s="32"/>
      <c r="LZ160" s="32"/>
      <c r="MA160" s="32"/>
      <c r="MB160" s="32"/>
      <c r="MC160" s="32"/>
      <c r="MD160" s="32"/>
      <c r="ME160" s="32"/>
      <c r="MF160" s="32"/>
      <c r="MG160" s="32"/>
      <c r="MH160" s="32"/>
      <c r="MI160" s="32"/>
      <c r="MJ160" s="32"/>
      <c r="MK160" s="32"/>
      <c r="ML160" s="32"/>
      <c r="MM160" s="32"/>
      <c r="MN160" s="32"/>
      <c r="MO160" s="32"/>
      <c r="MP160" s="32"/>
      <c r="MQ160" s="32"/>
      <c r="MR160" s="32"/>
      <c r="MS160" s="32"/>
      <c r="MT160" s="32"/>
      <c r="MU160" s="32"/>
      <c r="MV160" s="32"/>
      <c r="MW160" s="32"/>
      <c r="MX160" s="32"/>
      <c r="MY160" s="32"/>
      <c r="MZ160" s="32"/>
      <c r="NA160" s="32"/>
      <c r="NB160" s="32"/>
      <c r="NC160" s="32"/>
      <c r="ND160" s="32"/>
      <c r="NE160" s="32"/>
      <c r="NF160" s="32"/>
      <c r="NG160" s="32"/>
      <c r="NH160" s="32"/>
      <c r="NI160" s="32"/>
      <c r="NJ160" s="32"/>
      <c r="NK160" s="32"/>
      <c r="NL160" s="32"/>
      <c r="NM160" s="32"/>
      <c r="NN160" s="32"/>
      <c r="NO160" s="32"/>
      <c r="NP160" s="32"/>
      <c r="NQ160" s="32"/>
      <c r="NR160" s="32"/>
      <c r="NS160" s="32"/>
      <c r="NT160" s="32"/>
      <c r="NU160" s="32"/>
      <c r="NV160" s="32"/>
      <c r="NW160" s="32"/>
      <c r="NX160" s="32"/>
      <c r="NY160" s="32"/>
      <c r="NZ160" s="32"/>
      <c r="OA160" s="32"/>
      <c r="OB160" s="32"/>
      <c r="OC160" s="32"/>
      <c r="OD160" s="32"/>
      <c r="OE160" s="32"/>
      <c r="OF160" s="32"/>
      <c r="OG160" s="32"/>
      <c r="OH160" s="32"/>
      <c r="OI160" s="32"/>
      <c r="OJ160" s="32"/>
      <c r="OK160" s="32"/>
      <c r="OL160" s="32"/>
      <c r="OM160" s="32"/>
      <c r="ON160" s="32"/>
      <c r="OO160" s="32"/>
      <c r="OP160" s="32"/>
      <c r="OQ160" s="32"/>
      <c r="OR160" s="32"/>
      <c r="OS160" s="32"/>
      <c r="OT160" s="32"/>
      <c r="OU160" s="32"/>
      <c r="OV160" s="32"/>
      <c r="OW160" s="32"/>
      <c r="OX160" s="32"/>
      <c r="OY160" s="32"/>
      <c r="OZ160" s="32"/>
      <c r="PA160" s="32"/>
      <c r="PB160" s="32"/>
      <c r="PC160" s="32"/>
      <c r="PD160" s="32"/>
      <c r="PE160" s="32"/>
      <c r="PF160" s="32"/>
      <c r="PG160" s="32"/>
      <c r="PH160" s="32"/>
      <c r="PI160" s="32"/>
      <c r="PJ160" s="32"/>
      <c r="PK160" s="32"/>
      <c r="PL160" s="32"/>
      <c r="PM160" s="32"/>
      <c r="PN160" s="32"/>
      <c r="PO160" s="32"/>
      <c r="PP160" s="32"/>
      <c r="PQ160" s="32"/>
      <c r="PR160" s="32"/>
      <c r="PS160" s="32"/>
      <c r="PT160" s="32"/>
      <c r="PU160" s="32"/>
      <c r="PV160" s="32"/>
      <c r="PW160" s="32"/>
      <c r="PX160" s="32"/>
      <c r="PY160" s="32"/>
      <c r="PZ160" s="32"/>
      <c r="QA160" s="32"/>
      <c r="QB160" s="32"/>
      <c r="QC160" s="32"/>
      <c r="QD160" s="32"/>
      <c r="QE160" s="32"/>
      <c r="QF160" s="32"/>
      <c r="QG160" s="32"/>
      <c r="QH160" s="32"/>
      <c r="QI160" s="32"/>
      <c r="QJ160" s="32"/>
      <c r="QK160" s="32"/>
      <c r="QL160" s="32"/>
      <c r="QM160" s="32"/>
      <c r="QN160" s="32"/>
      <c r="QO160" s="32"/>
      <c r="QP160" s="32"/>
      <c r="QQ160" s="32"/>
      <c r="QR160" s="32"/>
      <c r="QS160" s="32"/>
      <c r="QT160" s="32"/>
      <c r="QU160" s="32"/>
      <c r="QV160" s="32"/>
      <c r="QW160" s="32"/>
      <c r="QX160" s="32"/>
      <c r="QY160" s="32"/>
      <c r="QZ160" s="32"/>
      <c r="RA160" s="32"/>
      <c r="RB160" s="32"/>
      <c r="RC160" s="32"/>
      <c r="RD160" s="32"/>
      <c r="RE160" s="32"/>
      <c r="RF160" s="32"/>
      <c r="RG160" s="32"/>
      <c r="RH160" s="32"/>
      <c r="RI160" s="32"/>
      <c r="RJ160" s="32"/>
      <c r="RK160" s="32"/>
      <c r="RL160" s="32"/>
      <c r="RM160" s="32"/>
      <c r="RN160" s="32"/>
      <c r="RO160" s="32"/>
      <c r="RP160" s="32"/>
      <c r="RQ160" s="32"/>
      <c r="RR160" s="32"/>
      <c r="RS160" s="32"/>
      <c r="RT160" s="32"/>
      <c r="RU160" s="32"/>
      <c r="RV160" s="32"/>
      <c r="RW160" s="32"/>
      <c r="RX160" s="32"/>
      <c r="RY160" s="32"/>
      <c r="RZ160" s="32"/>
      <c r="SA160" s="32"/>
      <c r="SB160" s="32"/>
      <c r="SC160" s="32"/>
      <c r="SD160" s="32"/>
      <c r="SE160" s="32"/>
      <c r="SF160" s="32"/>
      <c r="SG160" s="32"/>
      <c r="SH160" s="32"/>
      <c r="SI160" s="32"/>
      <c r="SJ160" s="32"/>
      <c r="SK160" s="32"/>
      <c r="SL160" s="32"/>
      <c r="SM160" s="32"/>
      <c r="SN160" s="32"/>
      <c r="SO160" s="32"/>
      <c r="SP160" s="32"/>
      <c r="SQ160" s="32"/>
      <c r="SR160" s="32"/>
      <c r="SS160" s="32"/>
      <c r="ST160" s="32"/>
      <c r="SU160" s="32"/>
      <c r="SV160" s="32"/>
      <c r="SW160" s="32"/>
      <c r="SX160" s="32"/>
      <c r="SY160" s="32"/>
      <c r="SZ160" s="32"/>
      <c r="TA160" s="32"/>
      <c r="TB160" s="32"/>
      <c r="TC160" s="32"/>
      <c r="TD160" s="32"/>
      <c r="TE160" s="32"/>
      <c r="TF160" s="32"/>
      <c r="TG160" s="32"/>
    </row>
    <row r="161" spans="1:527" s="34" customFormat="1" ht="32.25" customHeight="1" x14ac:dyDescent="0.25">
      <c r="A161" s="96" t="s">
        <v>179</v>
      </c>
      <c r="B161" s="109"/>
      <c r="C161" s="109"/>
      <c r="D161" s="77" t="s">
        <v>394</v>
      </c>
      <c r="E161" s="98">
        <f>E167+E168+E169+E170+E171+E173+E174+E175+E177+E179+E180+E181+E183+E185+E186+E187+E188+E189+E190+E192+E194+E196+E197+E199+E200</f>
        <v>193667752.35000002</v>
      </c>
      <c r="F161" s="98">
        <f t="shared" ref="F161:P161" si="62">F167+F168+F169+F170+F171+F173+F174+F175+F177+F179+F180+F181+F183+F185+F186+F187+F188+F189+F190+F192+F194+F196+F197+F199+F200</f>
        <v>193667752.35000002</v>
      </c>
      <c r="G161" s="98">
        <f t="shared" si="62"/>
        <v>60937100</v>
      </c>
      <c r="H161" s="98">
        <f t="shared" si="62"/>
        <v>1606689</v>
      </c>
      <c r="I161" s="98">
        <f t="shared" si="62"/>
        <v>0</v>
      </c>
      <c r="J161" s="98">
        <f t="shared" si="62"/>
        <v>2939024.05</v>
      </c>
      <c r="K161" s="98">
        <f t="shared" si="62"/>
        <v>2842824.05</v>
      </c>
      <c r="L161" s="98">
        <f t="shared" si="62"/>
        <v>96200</v>
      </c>
      <c r="M161" s="98">
        <f t="shared" si="62"/>
        <v>75000</v>
      </c>
      <c r="N161" s="98">
        <f t="shared" si="62"/>
        <v>0</v>
      </c>
      <c r="O161" s="98">
        <f t="shared" si="62"/>
        <v>2842824.05</v>
      </c>
      <c r="P161" s="98">
        <f t="shared" si="62"/>
        <v>196606776.40000004</v>
      </c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  <c r="IU161" s="33"/>
      <c r="IV161" s="33"/>
      <c r="IW161" s="33"/>
      <c r="IX161" s="33"/>
      <c r="IY161" s="33"/>
      <c r="IZ161" s="33"/>
      <c r="JA161" s="33"/>
      <c r="JB161" s="33"/>
      <c r="JC161" s="33"/>
      <c r="JD161" s="33"/>
      <c r="JE161" s="33"/>
      <c r="JF161" s="33"/>
      <c r="JG161" s="33"/>
      <c r="JH161" s="33"/>
      <c r="JI161" s="33"/>
      <c r="JJ161" s="33"/>
      <c r="JK161" s="33"/>
      <c r="JL161" s="33"/>
      <c r="JM161" s="33"/>
      <c r="JN161" s="33"/>
      <c r="JO161" s="33"/>
      <c r="JP161" s="33"/>
      <c r="JQ161" s="33"/>
      <c r="JR161" s="33"/>
      <c r="JS161" s="33"/>
      <c r="JT161" s="33"/>
      <c r="JU161" s="33"/>
      <c r="JV161" s="33"/>
      <c r="JW161" s="33"/>
      <c r="JX161" s="33"/>
      <c r="JY161" s="33"/>
      <c r="JZ161" s="33"/>
      <c r="KA161" s="33"/>
      <c r="KB161" s="33"/>
      <c r="KC161" s="33"/>
      <c r="KD161" s="33"/>
      <c r="KE161" s="33"/>
      <c r="KF161" s="33"/>
      <c r="KG161" s="33"/>
      <c r="KH161" s="33"/>
      <c r="KI161" s="33"/>
      <c r="KJ161" s="33"/>
      <c r="KK161" s="33"/>
      <c r="KL161" s="33"/>
      <c r="KM161" s="33"/>
      <c r="KN161" s="33"/>
      <c r="KO161" s="33"/>
      <c r="KP161" s="33"/>
      <c r="KQ161" s="33"/>
      <c r="KR161" s="33"/>
      <c r="KS161" s="33"/>
      <c r="KT161" s="33"/>
      <c r="KU161" s="33"/>
      <c r="KV161" s="33"/>
      <c r="KW161" s="33"/>
      <c r="KX161" s="33"/>
      <c r="KY161" s="33"/>
      <c r="KZ161" s="33"/>
      <c r="LA161" s="33"/>
      <c r="LB161" s="33"/>
      <c r="LC161" s="33"/>
      <c r="LD161" s="33"/>
      <c r="LE161" s="33"/>
      <c r="LF161" s="33"/>
      <c r="LG161" s="33"/>
      <c r="LH161" s="33"/>
      <c r="LI161" s="33"/>
      <c r="LJ161" s="33"/>
      <c r="LK161" s="33"/>
      <c r="LL161" s="33"/>
      <c r="LM161" s="33"/>
      <c r="LN161" s="33"/>
      <c r="LO161" s="33"/>
      <c r="LP161" s="33"/>
      <c r="LQ161" s="33"/>
      <c r="LR161" s="33"/>
      <c r="LS161" s="33"/>
      <c r="LT161" s="33"/>
      <c r="LU161" s="33"/>
      <c r="LV161" s="33"/>
      <c r="LW161" s="33"/>
      <c r="LX161" s="33"/>
      <c r="LY161" s="33"/>
      <c r="LZ161" s="33"/>
      <c r="MA161" s="33"/>
      <c r="MB161" s="33"/>
      <c r="MC161" s="33"/>
      <c r="MD161" s="33"/>
      <c r="ME161" s="33"/>
      <c r="MF161" s="33"/>
      <c r="MG161" s="33"/>
      <c r="MH161" s="33"/>
      <c r="MI161" s="33"/>
      <c r="MJ161" s="33"/>
      <c r="MK161" s="33"/>
      <c r="ML161" s="33"/>
      <c r="MM161" s="33"/>
      <c r="MN161" s="33"/>
      <c r="MO161" s="33"/>
      <c r="MP161" s="33"/>
      <c r="MQ161" s="33"/>
      <c r="MR161" s="33"/>
      <c r="MS161" s="33"/>
      <c r="MT161" s="33"/>
      <c r="MU161" s="33"/>
      <c r="MV161" s="33"/>
      <c r="MW161" s="33"/>
      <c r="MX161" s="33"/>
      <c r="MY161" s="33"/>
      <c r="MZ161" s="33"/>
      <c r="NA161" s="33"/>
      <c r="NB161" s="33"/>
      <c r="NC161" s="33"/>
      <c r="ND161" s="33"/>
      <c r="NE161" s="33"/>
      <c r="NF161" s="33"/>
      <c r="NG161" s="33"/>
      <c r="NH161" s="33"/>
      <c r="NI161" s="33"/>
      <c r="NJ161" s="33"/>
      <c r="NK161" s="33"/>
      <c r="NL161" s="33"/>
      <c r="NM161" s="33"/>
      <c r="NN161" s="33"/>
      <c r="NO161" s="33"/>
      <c r="NP161" s="33"/>
      <c r="NQ161" s="33"/>
      <c r="NR161" s="33"/>
      <c r="NS161" s="33"/>
      <c r="NT161" s="33"/>
      <c r="NU161" s="33"/>
      <c r="NV161" s="33"/>
      <c r="NW161" s="33"/>
      <c r="NX161" s="33"/>
      <c r="NY161" s="33"/>
      <c r="NZ161" s="33"/>
      <c r="OA161" s="33"/>
      <c r="OB161" s="33"/>
      <c r="OC161" s="33"/>
      <c r="OD161" s="33"/>
      <c r="OE161" s="33"/>
      <c r="OF161" s="33"/>
      <c r="OG161" s="33"/>
      <c r="OH161" s="33"/>
      <c r="OI161" s="33"/>
      <c r="OJ161" s="33"/>
      <c r="OK161" s="33"/>
      <c r="OL161" s="33"/>
      <c r="OM161" s="33"/>
      <c r="ON161" s="33"/>
      <c r="OO161" s="33"/>
      <c r="OP161" s="33"/>
      <c r="OQ161" s="33"/>
      <c r="OR161" s="33"/>
      <c r="OS161" s="33"/>
      <c r="OT161" s="33"/>
      <c r="OU161" s="33"/>
      <c r="OV161" s="33"/>
      <c r="OW161" s="33"/>
      <c r="OX161" s="33"/>
      <c r="OY161" s="33"/>
      <c r="OZ161" s="33"/>
      <c r="PA161" s="33"/>
      <c r="PB161" s="33"/>
      <c r="PC161" s="33"/>
      <c r="PD161" s="33"/>
      <c r="PE161" s="33"/>
      <c r="PF161" s="33"/>
      <c r="PG161" s="33"/>
      <c r="PH161" s="33"/>
      <c r="PI161" s="33"/>
      <c r="PJ161" s="33"/>
      <c r="PK161" s="33"/>
      <c r="PL161" s="33"/>
      <c r="PM161" s="33"/>
      <c r="PN161" s="33"/>
      <c r="PO161" s="33"/>
      <c r="PP161" s="33"/>
      <c r="PQ161" s="33"/>
      <c r="PR161" s="33"/>
      <c r="PS161" s="33"/>
      <c r="PT161" s="33"/>
      <c r="PU161" s="33"/>
      <c r="PV161" s="33"/>
      <c r="PW161" s="33"/>
      <c r="PX161" s="33"/>
      <c r="PY161" s="33"/>
      <c r="PZ161" s="33"/>
      <c r="QA161" s="33"/>
      <c r="QB161" s="33"/>
      <c r="QC161" s="33"/>
      <c r="QD161" s="33"/>
      <c r="QE161" s="33"/>
      <c r="QF161" s="33"/>
      <c r="QG161" s="33"/>
      <c r="QH161" s="33"/>
      <c r="QI161" s="33"/>
      <c r="QJ161" s="33"/>
      <c r="QK161" s="33"/>
      <c r="QL161" s="33"/>
      <c r="QM161" s="33"/>
      <c r="QN161" s="33"/>
      <c r="QO161" s="33"/>
      <c r="QP161" s="33"/>
      <c r="QQ161" s="33"/>
      <c r="QR161" s="33"/>
      <c r="QS161" s="33"/>
      <c r="QT161" s="33"/>
      <c r="QU161" s="33"/>
      <c r="QV161" s="33"/>
      <c r="QW161" s="33"/>
      <c r="QX161" s="33"/>
      <c r="QY161" s="33"/>
      <c r="QZ161" s="33"/>
      <c r="RA161" s="33"/>
      <c r="RB161" s="33"/>
      <c r="RC161" s="33"/>
      <c r="RD161" s="33"/>
      <c r="RE161" s="33"/>
      <c r="RF161" s="33"/>
      <c r="RG161" s="33"/>
      <c r="RH161" s="33"/>
      <c r="RI161" s="33"/>
      <c r="RJ161" s="33"/>
      <c r="RK161" s="33"/>
      <c r="RL161" s="33"/>
      <c r="RM161" s="33"/>
      <c r="RN161" s="33"/>
      <c r="RO161" s="33"/>
      <c r="RP161" s="33"/>
      <c r="RQ161" s="33"/>
      <c r="RR161" s="33"/>
      <c r="RS161" s="33"/>
      <c r="RT161" s="33"/>
      <c r="RU161" s="33"/>
      <c r="RV161" s="33"/>
      <c r="RW161" s="33"/>
      <c r="RX161" s="33"/>
      <c r="RY161" s="33"/>
      <c r="RZ161" s="33"/>
      <c r="SA161" s="33"/>
      <c r="SB161" s="33"/>
      <c r="SC161" s="33"/>
      <c r="SD161" s="33"/>
      <c r="SE161" s="33"/>
      <c r="SF161" s="33"/>
      <c r="SG161" s="33"/>
      <c r="SH161" s="33"/>
      <c r="SI161" s="33"/>
      <c r="SJ161" s="33"/>
      <c r="SK161" s="33"/>
      <c r="SL161" s="33"/>
      <c r="SM161" s="33"/>
      <c r="SN161" s="33"/>
      <c r="SO161" s="33"/>
      <c r="SP161" s="33"/>
      <c r="SQ161" s="33"/>
      <c r="SR161" s="33"/>
      <c r="SS161" s="33"/>
      <c r="ST161" s="33"/>
      <c r="SU161" s="33"/>
      <c r="SV161" s="33"/>
      <c r="SW161" s="33"/>
      <c r="SX161" s="33"/>
      <c r="SY161" s="33"/>
      <c r="SZ161" s="33"/>
      <c r="TA161" s="33"/>
      <c r="TB161" s="33"/>
      <c r="TC161" s="33"/>
      <c r="TD161" s="33"/>
      <c r="TE161" s="33"/>
      <c r="TF161" s="33"/>
      <c r="TG161" s="33"/>
    </row>
    <row r="162" spans="1:527" s="34" customFormat="1" ht="275.25" hidden="1" customHeight="1" x14ac:dyDescent="0.25">
      <c r="A162" s="96"/>
      <c r="B162" s="109"/>
      <c r="C162" s="109"/>
      <c r="D162" s="77" t="str">
        <f>'дод 8'!C101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2" s="98">
        <f>E191</f>
        <v>0</v>
      </c>
      <c r="F162" s="98">
        <f>L191</f>
        <v>0</v>
      </c>
      <c r="G162" s="98">
        <f t="shared" ref="G162:P162" si="63">G191</f>
        <v>0</v>
      </c>
      <c r="H162" s="98">
        <f t="shared" si="63"/>
        <v>0</v>
      </c>
      <c r="I162" s="98">
        <f t="shared" si="63"/>
        <v>0</v>
      </c>
      <c r="J162" s="98">
        <f t="shared" si="63"/>
        <v>975480.06</v>
      </c>
      <c r="K162" s="98">
        <f t="shared" si="63"/>
        <v>975480.06</v>
      </c>
      <c r="L162" s="98">
        <f t="shared" si="63"/>
        <v>0</v>
      </c>
      <c r="M162" s="98">
        <f t="shared" si="63"/>
        <v>0</v>
      </c>
      <c r="N162" s="98">
        <f t="shared" si="63"/>
        <v>0</v>
      </c>
      <c r="O162" s="98">
        <f t="shared" si="63"/>
        <v>975480.06</v>
      </c>
      <c r="P162" s="98">
        <f t="shared" si="63"/>
        <v>975480.06</v>
      </c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  <c r="KU162" s="33"/>
      <c r="KV162" s="33"/>
      <c r="KW162" s="33"/>
      <c r="KX162" s="33"/>
      <c r="KY162" s="33"/>
      <c r="KZ162" s="33"/>
      <c r="LA162" s="33"/>
      <c r="LB162" s="33"/>
      <c r="LC162" s="33"/>
      <c r="LD162" s="33"/>
      <c r="LE162" s="33"/>
      <c r="LF162" s="33"/>
      <c r="LG162" s="33"/>
      <c r="LH162" s="33"/>
      <c r="LI162" s="33"/>
      <c r="LJ162" s="33"/>
      <c r="LK162" s="33"/>
      <c r="LL162" s="33"/>
      <c r="LM162" s="33"/>
      <c r="LN162" s="33"/>
      <c r="LO162" s="33"/>
      <c r="LP162" s="33"/>
      <c r="LQ162" s="33"/>
      <c r="LR162" s="33"/>
      <c r="LS162" s="33"/>
      <c r="LT162" s="33"/>
      <c r="LU162" s="33"/>
      <c r="LV162" s="33"/>
      <c r="LW162" s="33"/>
      <c r="LX162" s="33"/>
      <c r="LY162" s="33"/>
      <c r="LZ162" s="33"/>
      <c r="MA162" s="33"/>
      <c r="MB162" s="33"/>
      <c r="MC162" s="33"/>
      <c r="MD162" s="33"/>
      <c r="ME162" s="33"/>
      <c r="MF162" s="33"/>
      <c r="MG162" s="33"/>
      <c r="MH162" s="33"/>
      <c r="MI162" s="33"/>
      <c r="MJ162" s="33"/>
      <c r="MK162" s="33"/>
      <c r="ML162" s="33"/>
      <c r="MM162" s="33"/>
      <c r="MN162" s="33"/>
      <c r="MO162" s="33"/>
      <c r="MP162" s="33"/>
      <c r="MQ162" s="33"/>
      <c r="MR162" s="33"/>
      <c r="MS162" s="33"/>
      <c r="MT162" s="33"/>
      <c r="MU162" s="33"/>
      <c r="MV162" s="33"/>
      <c r="MW162" s="33"/>
      <c r="MX162" s="33"/>
      <c r="MY162" s="33"/>
      <c r="MZ162" s="33"/>
      <c r="NA162" s="33"/>
      <c r="NB162" s="33"/>
      <c r="NC162" s="33"/>
      <c r="ND162" s="33"/>
      <c r="NE162" s="33"/>
      <c r="NF162" s="33"/>
      <c r="NG162" s="33"/>
      <c r="NH162" s="33"/>
      <c r="NI162" s="33"/>
      <c r="NJ162" s="33"/>
      <c r="NK162" s="33"/>
      <c r="NL162" s="33"/>
      <c r="NM162" s="33"/>
      <c r="NN162" s="33"/>
      <c r="NO162" s="33"/>
      <c r="NP162" s="33"/>
      <c r="NQ162" s="33"/>
      <c r="NR162" s="33"/>
      <c r="NS162" s="33"/>
      <c r="NT162" s="33"/>
      <c r="NU162" s="33"/>
      <c r="NV162" s="33"/>
      <c r="NW162" s="33"/>
      <c r="NX162" s="33"/>
      <c r="NY162" s="33"/>
      <c r="NZ162" s="33"/>
      <c r="OA162" s="33"/>
      <c r="OB162" s="33"/>
      <c r="OC162" s="33"/>
      <c r="OD162" s="33"/>
      <c r="OE162" s="33"/>
      <c r="OF162" s="33"/>
      <c r="OG162" s="33"/>
      <c r="OH162" s="33"/>
      <c r="OI162" s="33"/>
      <c r="OJ162" s="33"/>
      <c r="OK162" s="33"/>
      <c r="OL162" s="33"/>
      <c r="OM162" s="33"/>
      <c r="ON162" s="33"/>
      <c r="OO162" s="33"/>
      <c r="OP162" s="33"/>
      <c r="OQ162" s="33"/>
      <c r="OR162" s="33"/>
      <c r="OS162" s="33"/>
      <c r="OT162" s="33"/>
      <c r="OU162" s="33"/>
      <c r="OV162" s="33"/>
      <c r="OW162" s="33"/>
      <c r="OX162" s="33"/>
      <c r="OY162" s="33"/>
      <c r="OZ162" s="33"/>
      <c r="PA162" s="33"/>
      <c r="PB162" s="33"/>
      <c r="PC162" s="33"/>
      <c r="PD162" s="33"/>
      <c r="PE162" s="33"/>
      <c r="PF162" s="33"/>
      <c r="PG162" s="33"/>
      <c r="PH162" s="33"/>
      <c r="PI162" s="33"/>
      <c r="PJ162" s="33"/>
      <c r="PK162" s="33"/>
      <c r="PL162" s="33"/>
      <c r="PM162" s="33"/>
      <c r="PN162" s="33"/>
      <c r="PO162" s="33"/>
      <c r="PP162" s="33"/>
      <c r="PQ162" s="33"/>
      <c r="PR162" s="33"/>
      <c r="PS162" s="33"/>
      <c r="PT162" s="33"/>
      <c r="PU162" s="33"/>
      <c r="PV162" s="33"/>
      <c r="PW162" s="33"/>
      <c r="PX162" s="33"/>
      <c r="PY162" s="33"/>
      <c r="PZ162" s="33"/>
      <c r="QA162" s="33"/>
      <c r="QB162" s="33"/>
      <c r="QC162" s="33"/>
      <c r="QD162" s="33"/>
      <c r="QE162" s="33"/>
      <c r="QF162" s="33"/>
      <c r="QG162" s="33"/>
      <c r="QH162" s="33"/>
      <c r="QI162" s="33"/>
      <c r="QJ162" s="33"/>
      <c r="QK162" s="33"/>
      <c r="QL162" s="33"/>
      <c r="QM162" s="33"/>
      <c r="QN162" s="33"/>
      <c r="QO162" s="33"/>
      <c r="QP162" s="33"/>
      <c r="QQ162" s="33"/>
      <c r="QR162" s="33"/>
      <c r="QS162" s="33"/>
      <c r="QT162" s="33"/>
      <c r="QU162" s="33"/>
      <c r="QV162" s="33"/>
      <c r="QW162" s="33"/>
      <c r="QX162" s="33"/>
      <c r="QY162" s="33"/>
      <c r="QZ162" s="33"/>
      <c r="RA162" s="33"/>
      <c r="RB162" s="33"/>
      <c r="RC162" s="33"/>
      <c r="RD162" s="33"/>
      <c r="RE162" s="33"/>
      <c r="RF162" s="33"/>
      <c r="RG162" s="33"/>
      <c r="RH162" s="33"/>
      <c r="RI162" s="33"/>
      <c r="RJ162" s="33"/>
      <c r="RK162" s="33"/>
      <c r="RL162" s="33"/>
      <c r="RM162" s="33"/>
      <c r="RN162" s="33"/>
      <c r="RO162" s="33"/>
      <c r="RP162" s="33"/>
      <c r="RQ162" s="33"/>
      <c r="RR162" s="33"/>
      <c r="RS162" s="33"/>
      <c r="RT162" s="33"/>
      <c r="RU162" s="33"/>
      <c r="RV162" s="33"/>
      <c r="RW162" s="33"/>
      <c r="RX162" s="33"/>
      <c r="RY162" s="33"/>
      <c r="RZ162" s="33"/>
      <c r="SA162" s="33"/>
      <c r="SB162" s="33"/>
      <c r="SC162" s="33"/>
      <c r="SD162" s="33"/>
      <c r="SE162" s="33"/>
      <c r="SF162" s="33"/>
      <c r="SG162" s="33"/>
      <c r="SH162" s="33"/>
      <c r="SI162" s="33"/>
      <c r="SJ162" s="33"/>
      <c r="SK162" s="33"/>
      <c r="SL162" s="33"/>
      <c r="SM162" s="33"/>
      <c r="SN162" s="33"/>
      <c r="SO162" s="33"/>
      <c r="SP162" s="33"/>
      <c r="SQ162" s="33"/>
      <c r="SR162" s="33"/>
      <c r="SS162" s="33"/>
      <c r="ST162" s="33"/>
      <c r="SU162" s="33"/>
      <c r="SV162" s="33"/>
      <c r="SW162" s="33"/>
      <c r="SX162" s="33"/>
      <c r="SY162" s="33"/>
      <c r="SZ162" s="33"/>
      <c r="TA162" s="33"/>
      <c r="TB162" s="33"/>
      <c r="TC162" s="33"/>
      <c r="TD162" s="33"/>
      <c r="TE162" s="33"/>
      <c r="TF162" s="33"/>
      <c r="TG162" s="33"/>
    </row>
    <row r="163" spans="1:527" s="34" customFormat="1" ht="255" hidden="1" customHeight="1" x14ac:dyDescent="0.25">
      <c r="A163" s="96"/>
      <c r="B163" s="109"/>
      <c r="C163" s="109"/>
      <c r="D163" s="77" t="str">
        <f>'дод 8'!C102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3" s="98">
        <f>E195</f>
        <v>0</v>
      </c>
      <c r="F163" s="98">
        <f t="shared" ref="F163:P163" si="64">F195</f>
        <v>0</v>
      </c>
      <c r="G163" s="98">
        <f t="shared" si="64"/>
        <v>0</v>
      </c>
      <c r="H163" s="98">
        <f t="shared" si="64"/>
        <v>0</v>
      </c>
      <c r="I163" s="98">
        <f t="shared" si="64"/>
        <v>0</v>
      </c>
      <c r="J163" s="98">
        <f t="shared" si="64"/>
        <v>0</v>
      </c>
      <c r="K163" s="98">
        <f t="shared" si="64"/>
        <v>0</v>
      </c>
      <c r="L163" s="98">
        <f t="shared" si="64"/>
        <v>0</v>
      </c>
      <c r="M163" s="98">
        <f t="shared" si="64"/>
        <v>0</v>
      </c>
      <c r="N163" s="98">
        <f t="shared" si="64"/>
        <v>0</v>
      </c>
      <c r="O163" s="98">
        <f t="shared" si="64"/>
        <v>0</v>
      </c>
      <c r="P163" s="98">
        <f t="shared" si="64"/>
        <v>0</v>
      </c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  <c r="IU163" s="33"/>
      <c r="IV163" s="33"/>
      <c r="IW163" s="33"/>
      <c r="IX163" s="33"/>
      <c r="IY163" s="33"/>
      <c r="IZ163" s="33"/>
      <c r="JA163" s="33"/>
      <c r="JB163" s="33"/>
      <c r="JC163" s="33"/>
      <c r="JD163" s="33"/>
      <c r="JE163" s="33"/>
      <c r="JF163" s="33"/>
      <c r="JG163" s="33"/>
      <c r="JH163" s="33"/>
      <c r="JI163" s="33"/>
      <c r="JJ163" s="33"/>
      <c r="JK163" s="33"/>
      <c r="JL163" s="33"/>
      <c r="JM163" s="33"/>
      <c r="JN163" s="33"/>
      <c r="JO163" s="33"/>
      <c r="JP163" s="33"/>
      <c r="JQ163" s="33"/>
      <c r="JR163" s="33"/>
      <c r="JS163" s="33"/>
      <c r="JT163" s="33"/>
      <c r="JU163" s="33"/>
      <c r="JV163" s="33"/>
      <c r="JW163" s="33"/>
      <c r="JX163" s="33"/>
      <c r="JY163" s="33"/>
      <c r="JZ163" s="33"/>
      <c r="KA163" s="33"/>
      <c r="KB163" s="33"/>
      <c r="KC163" s="33"/>
      <c r="KD163" s="33"/>
      <c r="KE163" s="33"/>
      <c r="KF163" s="33"/>
      <c r="KG163" s="33"/>
      <c r="KH163" s="33"/>
      <c r="KI163" s="33"/>
      <c r="KJ163" s="33"/>
      <c r="KK163" s="33"/>
      <c r="KL163" s="33"/>
      <c r="KM163" s="33"/>
      <c r="KN163" s="33"/>
      <c r="KO163" s="33"/>
      <c r="KP163" s="33"/>
      <c r="KQ163" s="33"/>
      <c r="KR163" s="33"/>
      <c r="KS163" s="33"/>
      <c r="KT163" s="33"/>
      <c r="KU163" s="33"/>
      <c r="KV163" s="33"/>
      <c r="KW163" s="33"/>
      <c r="KX163" s="33"/>
      <c r="KY163" s="33"/>
      <c r="KZ163" s="33"/>
      <c r="LA163" s="33"/>
      <c r="LB163" s="33"/>
      <c r="LC163" s="33"/>
      <c r="LD163" s="33"/>
      <c r="LE163" s="33"/>
      <c r="LF163" s="33"/>
      <c r="LG163" s="33"/>
      <c r="LH163" s="33"/>
      <c r="LI163" s="33"/>
      <c r="LJ163" s="33"/>
      <c r="LK163" s="33"/>
      <c r="LL163" s="33"/>
      <c r="LM163" s="33"/>
      <c r="LN163" s="33"/>
      <c r="LO163" s="33"/>
      <c r="LP163" s="33"/>
      <c r="LQ163" s="33"/>
      <c r="LR163" s="33"/>
      <c r="LS163" s="33"/>
      <c r="LT163" s="33"/>
      <c r="LU163" s="33"/>
      <c r="LV163" s="33"/>
      <c r="LW163" s="33"/>
      <c r="LX163" s="33"/>
      <c r="LY163" s="33"/>
      <c r="LZ163" s="33"/>
      <c r="MA163" s="33"/>
      <c r="MB163" s="33"/>
      <c r="MC163" s="33"/>
      <c r="MD163" s="33"/>
      <c r="ME163" s="33"/>
      <c r="MF163" s="33"/>
      <c r="MG163" s="33"/>
      <c r="MH163" s="33"/>
      <c r="MI163" s="33"/>
      <c r="MJ163" s="33"/>
      <c r="MK163" s="33"/>
      <c r="ML163" s="33"/>
      <c r="MM163" s="33"/>
      <c r="MN163" s="33"/>
      <c r="MO163" s="33"/>
      <c r="MP163" s="33"/>
      <c r="MQ163" s="33"/>
      <c r="MR163" s="33"/>
      <c r="MS163" s="33"/>
      <c r="MT163" s="33"/>
      <c r="MU163" s="33"/>
      <c r="MV163" s="33"/>
      <c r="MW163" s="33"/>
      <c r="MX163" s="33"/>
      <c r="MY163" s="33"/>
      <c r="MZ163" s="33"/>
      <c r="NA163" s="33"/>
      <c r="NB163" s="33"/>
      <c r="NC163" s="33"/>
      <c r="ND163" s="33"/>
      <c r="NE163" s="33"/>
      <c r="NF163" s="33"/>
      <c r="NG163" s="33"/>
      <c r="NH163" s="33"/>
      <c r="NI163" s="33"/>
      <c r="NJ163" s="33"/>
      <c r="NK163" s="33"/>
      <c r="NL163" s="33"/>
      <c r="NM163" s="33"/>
      <c r="NN163" s="33"/>
      <c r="NO163" s="33"/>
      <c r="NP163" s="33"/>
      <c r="NQ163" s="33"/>
      <c r="NR163" s="33"/>
      <c r="NS163" s="33"/>
      <c r="NT163" s="33"/>
      <c r="NU163" s="33"/>
      <c r="NV163" s="33"/>
      <c r="NW163" s="33"/>
      <c r="NX163" s="33"/>
      <c r="NY163" s="33"/>
      <c r="NZ163" s="33"/>
      <c r="OA163" s="33"/>
      <c r="OB163" s="33"/>
      <c r="OC163" s="33"/>
      <c r="OD163" s="33"/>
      <c r="OE163" s="33"/>
      <c r="OF163" s="33"/>
      <c r="OG163" s="33"/>
      <c r="OH163" s="33"/>
      <c r="OI163" s="33"/>
      <c r="OJ163" s="33"/>
      <c r="OK163" s="33"/>
      <c r="OL163" s="33"/>
      <c r="OM163" s="33"/>
      <c r="ON163" s="33"/>
      <c r="OO163" s="33"/>
      <c r="OP163" s="33"/>
      <c r="OQ163" s="33"/>
      <c r="OR163" s="33"/>
      <c r="OS163" s="33"/>
      <c r="OT163" s="33"/>
      <c r="OU163" s="33"/>
      <c r="OV163" s="33"/>
      <c r="OW163" s="33"/>
      <c r="OX163" s="33"/>
      <c r="OY163" s="33"/>
      <c r="OZ163" s="33"/>
      <c r="PA163" s="33"/>
      <c r="PB163" s="33"/>
      <c r="PC163" s="33"/>
      <c r="PD163" s="33"/>
      <c r="PE163" s="33"/>
      <c r="PF163" s="33"/>
      <c r="PG163" s="33"/>
      <c r="PH163" s="33"/>
      <c r="PI163" s="33"/>
      <c r="PJ163" s="33"/>
      <c r="PK163" s="33"/>
      <c r="PL163" s="33"/>
      <c r="PM163" s="33"/>
      <c r="PN163" s="33"/>
      <c r="PO163" s="33"/>
      <c r="PP163" s="33"/>
      <c r="PQ163" s="33"/>
      <c r="PR163" s="33"/>
      <c r="PS163" s="33"/>
      <c r="PT163" s="33"/>
      <c r="PU163" s="33"/>
      <c r="PV163" s="33"/>
      <c r="PW163" s="33"/>
      <c r="PX163" s="33"/>
      <c r="PY163" s="33"/>
      <c r="PZ163" s="33"/>
      <c r="QA163" s="33"/>
      <c r="QB163" s="33"/>
      <c r="QC163" s="33"/>
      <c r="QD163" s="33"/>
      <c r="QE163" s="33"/>
      <c r="QF163" s="33"/>
      <c r="QG163" s="33"/>
      <c r="QH163" s="33"/>
      <c r="QI163" s="33"/>
      <c r="QJ163" s="33"/>
      <c r="QK163" s="33"/>
      <c r="QL163" s="33"/>
      <c r="QM163" s="33"/>
      <c r="QN163" s="33"/>
      <c r="QO163" s="33"/>
      <c r="QP163" s="33"/>
      <c r="QQ163" s="33"/>
      <c r="QR163" s="33"/>
      <c r="QS163" s="33"/>
      <c r="QT163" s="33"/>
      <c r="QU163" s="33"/>
      <c r="QV163" s="33"/>
      <c r="QW163" s="33"/>
      <c r="QX163" s="33"/>
      <c r="QY163" s="33"/>
      <c r="QZ163" s="33"/>
      <c r="RA163" s="33"/>
      <c r="RB163" s="33"/>
      <c r="RC163" s="33"/>
      <c r="RD163" s="33"/>
      <c r="RE163" s="33"/>
      <c r="RF163" s="33"/>
      <c r="RG163" s="33"/>
      <c r="RH163" s="33"/>
      <c r="RI163" s="33"/>
      <c r="RJ163" s="33"/>
      <c r="RK163" s="33"/>
      <c r="RL163" s="33"/>
      <c r="RM163" s="33"/>
      <c r="RN163" s="33"/>
      <c r="RO163" s="33"/>
      <c r="RP163" s="33"/>
      <c r="RQ163" s="33"/>
      <c r="RR163" s="33"/>
      <c r="RS163" s="33"/>
      <c r="RT163" s="33"/>
      <c r="RU163" s="33"/>
      <c r="RV163" s="33"/>
      <c r="RW163" s="33"/>
      <c r="RX163" s="33"/>
      <c r="RY163" s="33"/>
      <c r="RZ163" s="33"/>
      <c r="SA163" s="33"/>
      <c r="SB163" s="33"/>
      <c r="SC163" s="33"/>
      <c r="SD163" s="33"/>
      <c r="SE163" s="33"/>
      <c r="SF163" s="33"/>
      <c r="SG163" s="33"/>
      <c r="SH163" s="33"/>
      <c r="SI163" s="33"/>
      <c r="SJ163" s="33"/>
      <c r="SK163" s="33"/>
      <c r="SL163" s="33"/>
      <c r="SM163" s="33"/>
      <c r="SN163" s="33"/>
      <c r="SO163" s="33"/>
      <c r="SP163" s="33"/>
      <c r="SQ163" s="33"/>
      <c r="SR163" s="33"/>
      <c r="SS163" s="33"/>
      <c r="ST163" s="33"/>
      <c r="SU163" s="33"/>
      <c r="SV163" s="33"/>
      <c r="SW163" s="33"/>
      <c r="SX163" s="33"/>
      <c r="SY163" s="33"/>
      <c r="SZ163" s="33"/>
      <c r="TA163" s="33"/>
      <c r="TB163" s="33"/>
      <c r="TC163" s="33"/>
      <c r="TD163" s="33"/>
      <c r="TE163" s="33"/>
      <c r="TF163" s="33"/>
      <c r="TG163" s="33"/>
    </row>
    <row r="164" spans="1:527" s="34" customFormat="1" ht="15.75" x14ac:dyDescent="0.25">
      <c r="A164" s="96"/>
      <c r="B164" s="109"/>
      <c r="C164" s="109"/>
      <c r="D164" s="77" t="s">
        <v>395</v>
      </c>
      <c r="E164" s="98">
        <f>E172+E176+E178+E182+E184+E198</f>
        <v>4858460.24</v>
      </c>
      <c r="F164" s="98">
        <f t="shared" ref="F164:P164" si="65">F172+F176+F178+F182+F184+F198</f>
        <v>4858460.24</v>
      </c>
      <c r="G164" s="98">
        <f t="shared" si="65"/>
        <v>0</v>
      </c>
      <c r="H164" s="98">
        <f t="shared" si="65"/>
        <v>0</v>
      </c>
      <c r="I164" s="98">
        <f t="shared" si="65"/>
        <v>0</v>
      </c>
      <c r="J164" s="98">
        <f t="shared" si="65"/>
        <v>0</v>
      </c>
      <c r="K164" s="98">
        <f t="shared" si="65"/>
        <v>0</v>
      </c>
      <c r="L164" s="98">
        <f t="shared" si="65"/>
        <v>0</v>
      </c>
      <c r="M164" s="98">
        <f t="shared" si="65"/>
        <v>0</v>
      </c>
      <c r="N164" s="98">
        <f t="shared" si="65"/>
        <v>0</v>
      </c>
      <c r="O164" s="98">
        <f t="shared" si="65"/>
        <v>0</v>
      </c>
      <c r="P164" s="98">
        <f t="shared" si="65"/>
        <v>4858460.24</v>
      </c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  <c r="TG164" s="33"/>
    </row>
    <row r="165" spans="1:527" s="34" customFormat="1" ht="306.75" customHeight="1" x14ac:dyDescent="0.25">
      <c r="A165" s="96"/>
      <c r="B165" s="109"/>
      <c r="C165" s="109"/>
      <c r="D165" s="77" t="s">
        <v>583</v>
      </c>
      <c r="E165" s="98">
        <f>E191</f>
        <v>0</v>
      </c>
      <c r="F165" s="98">
        <f t="shared" ref="F165:P165" si="66">F191</f>
        <v>0</v>
      </c>
      <c r="G165" s="98">
        <f t="shared" si="66"/>
        <v>0</v>
      </c>
      <c r="H165" s="98">
        <f t="shared" si="66"/>
        <v>0</v>
      </c>
      <c r="I165" s="98">
        <f t="shared" si="66"/>
        <v>0</v>
      </c>
      <c r="J165" s="98">
        <f t="shared" si="66"/>
        <v>975480.06</v>
      </c>
      <c r="K165" s="98">
        <f t="shared" si="66"/>
        <v>975480.06</v>
      </c>
      <c r="L165" s="98">
        <f t="shared" si="66"/>
        <v>0</v>
      </c>
      <c r="M165" s="98">
        <f t="shared" si="66"/>
        <v>0</v>
      </c>
      <c r="N165" s="98">
        <f t="shared" si="66"/>
        <v>0</v>
      </c>
      <c r="O165" s="98">
        <f t="shared" si="66"/>
        <v>975480.06</v>
      </c>
      <c r="P165" s="98">
        <f t="shared" si="66"/>
        <v>975480.06</v>
      </c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</row>
    <row r="166" spans="1:527" s="34" customFormat="1" ht="369.75" customHeight="1" x14ac:dyDescent="0.25">
      <c r="A166" s="96"/>
      <c r="B166" s="109"/>
      <c r="C166" s="109"/>
      <c r="D166" s="77" t="s">
        <v>609</v>
      </c>
      <c r="E166" s="98">
        <f>E193</f>
        <v>0</v>
      </c>
      <c r="F166" s="98">
        <f t="shared" ref="F166:P166" si="67">F193</f>
        <v>0</v>
      </c>
      <c r="G166" s="98">
        <f t="shared" si="67"/>
        <v>0</v>
      </c>
      <c r="H166" s="98">
        <f t="shared" si="67"/>
        <v>0</v>
      </c>
      <c r="I166" s="98">
        <f t="shared" si="67"/>
        <v>0</v>
      </c>
      <c r="J166" s="98">
        <f t="shared" si="67"/>
        <v>1176130.99</v>
      </c>
      <c r="K166" s="98">
        <f t="shared" si="67"/>
        <v>1176130.99</v>
      </c>
      <c r="L166" s="98">
        <f t="shared" si="67"/>
        <v>0</v>
      </c>
      <c r="M166" s="98">
        <f t="shared" si="67"/>
        <v>0</v>
      </c>
      <c r="N166" s="98">
        <f t="shared" si="67"/>
        <v>0</v>
      </c>
      <c r="O166" s="98">
        <f t="shared" si="67"/>
        <v>1176130.99</v>
      </c>
      <c r="P166" s="98">
        <f t="shared" si="67"/>
        <v>1176130.99</v>
      </c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</row>
    <row r="167" spans="1:527" s="22" customFormat="1" ht="45.75" customHeight="1" x14ac:dyDescent="0.25">
      <c r="A167" s="59" t="s">
        <v>180</v>
      </c>
      <c r="B167" s="93" t="str">
        <f>'дод 8'!A19</f>
        <v>0160</v>
      </c>
      <c r="C167" s="93" t="str">
        <f>'дод 8'!B19</f>
        <v>0111</v>
      </c>
      <c r="D167" s="36" t="s">
        <v>494</v>
      </c>
      <c r="E167" s="99">
        <f t="shared" ref="E167:E200" si="68">F167+I167</f>
        <v>55588560</v>
      </c>
      <c r="F167" s="99">
        <f>55404100-2500-39500+158460+68000</f>
        <v>55588560</v>
      </c>
      <c r="G167" s="99">
        <v>43270200</v>
      </c>
      <c r="H167" s="99">
        <f>762000+158460</f>
        <v>920460</v>
      </c>
      <c r="I167" s="99"/>
      <c r="J167" s="99">
        <f>L167+O167</f>
        <v>0</v>
      </c>
      <c r="K167" s="99">
        <f>68000-68000</f>
        <v>0</v>
      </c>
      <c r="L167" s="99"/>
      <c r="M167" s="99"/>
      <c r="N167" s="99"/>
      <c r="O167" s="99">
        <f>68000-68000</f>
        <v>0</v>
      </c>
      <c r="P167" s="99">
        <f t="shared" ref="P167:P200" si="69">E167+J167</f>
        <v>55588560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</row>
    <row r="168" spans="1:527" s="22" customFormat="1" ht="23.25" customHeight="1" x14ac:dyDescent="0.25">
      <c r="A168" s="59" t="s">
        <v>534</v>
      </c>
      <c r="B168" s="59" t="s">
        <v>45</v>
      </c>
      <c r="C168" s="59" t="s">
        <v>93</v>
      </c>
      <c r="D168" s="36" t="s">
        <v>242</v>
      </c>
      <c r="E168" s="99">
        <f t="shared" si="68"/>
        <v>39500</v>
      </c>
      <c r="F168" s="99">
        <v>39500</v>
      </c>
      <c r="G168" s="99"/>
      <c r="H168" s="99"/>
      <c r="I168" s="99"/>
      <c r="J168" s="99">
        <f>L168+O168</f>
        <v>0</v>
      </c>
      <c r="K168" s="99"/>
      <c r="L168" s="99"/>
      <c r="M168" s="99"/>
      <c r="N168" s="99"/>
      <c r="O168" s="99"/>
      <c r="P168" s="99">
        <f t="shared" si="69"/>
        <v>39500</v>
      </c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</row>
    <row r="169" spans="1:527" s="23" customFormat="1" ht="36" customHeight="1" x14ac:dyDescent="0.25">
      <c r="A169" s="59" t="s">
        <v>181</v>
      </c>
      <c r="B169" s="93" t="str">
        <f>'дод 8'!A106</f>
        <v>3031</v>
      </c>
      <c r="C169" s="93" t="str">
        <f>'дод 8'!B106</f>
        <v>1030</v>
      </c>
      <c r="D169" s="60" t="str">
        <f>'дод 8'!C106</f>
        <v>Надання інших пільг окремим категоріям громадян відповідно до законодавства</v>
      </c>
      <c r="E169" s="99">
        <f t="shared" si="68"/>
        <v>604900</v>
      </c>
      <c r="F169" s="99">
        <v>604900</v>
      </c>
      <c r="G169" s="99"/>
      <c r="H169" s="99"/>
      <c r="I169" s="99"/>
      <c r="J169" s="99">
        <f t="shared" ref="J169:J195" si="70">L169+O169</f>
        <v>0</v>
      </c>
      <c r="K169" s="99"/>
      <c r="L169" s="99"/>
      <c r="M169" s="99"/>
      <c r="N169" s="99"/>
      <c r="O169" s="99"/>
      <c r="P169" s="99">
        <f t="shared" si="69"/>
        <v>604900</v>
      </c>
    </row>
    <row r="170" spans="1:527" s="23" customFormat="1" ht="33" customHeight="1" x14ac:dyDescent="0.25">
      <c r="A170" s="59" t="s">
        <v>182</v>
      </c>
      <c r="B170" s="93" t="str">
        <f>'дод 8'!A107</f>
        <v>3032</v>
      </c>
      <c r="C170" s="93" t="str">
        <f>'дод 8'!B107</f>
        <v>1070</v>
      </c>
      <c r="D170" s="60" t="str">
        <f>'дод 8'!C107</f>
        <v>Надання пільг окремим категоріям громадян з оплати послуг зв'язку</v>
      </c>
      <c r="E170" s="99">
        <f t="shared" si="68"/>
        <v>1129230</v>
      </c>
      <c r="F170" s="99">
        <f>1150000-20770</f>
        <v>1129230</v>
      </c>
      <c r="G170" s="99"/>
      <c r="H170" s="99"/>
      <c r="I170" s="99"/>
      <c r="J170" s="99">
        <f t="shared" si="70"/>
        <v>0</v>
      </c>
      <c r="K170" s="99"/>
      <c r="L170" s="99"/>
      <c r="M170" s="99"/>
      <c r="N170" s="99"/>
      <c r="O170" s="99"/>
      <c r="P170" s="99">
        <f t="shared" si="69"/>
        <v>1129230</v>
      </c>
    </row>
    <row r="171" spans="1:527" s="23" customFormat="1" ht="48.75" customHeight="1" x14ac:dyDescent="0.25">
      <c r="A171" s="59" t="s">
        <v>352</v>
      </c>
      <c r="B171" s="93" t="str">
        <f>'дод 8'!A108</f>
        <v>3033</v>
      </c>
      <c r="C171" s="93" t="str">
        <f>'дод 8'!B108</f>
        <v>1070</v>
      </c>
      <c r="D171" s="60" t="str">
        <f>'дод 8'!C108</f>
        <v>Компенсаційні виплати на пільговий проїзд автомобільним транспортом окремим категоріям громадян, у т.ч. за рахунок:</v>
      </c>
      <c r="E171" s="99">
        <f t="shared" si="68"/>
        <v>21727961.240000002</v>
      </c>
      <c r="F171" s="99">
        <f>3342111.24+19700200+44220+1920+11410+500000+678100-2550000</f>
        <v>21727961.240000002</v>
      </c>
      <c r="G171" s="99"/>
      <c r="H171" s="99"/>
      <c r="I171" s="99"/>
      <c r="J171" s="99">
        <f t="shared" si="70"/>
        <v>0</v>
      </c>
      <c r="K171" s="99"/>
      <c r="L171" s="99"/>
      <c r="M171" s="99"/>
      <c r="N171" s="99"/>
      <c r="O171" s="99"/>
      <c r="P171" s="99">
        <f t="shared" si="69"/>
        <v>21727961.240000002</v>
      </c>
    </row>
    <row r="172" spans="1:527" s="30" customFormat="1" ht="20.25" customHeight="1" x14ac:dyDescent="0.25">
      <c r="A172" s="84"/>
      <c r="B172" s="111"/>
      <c r="C172" s="111"/>
      <c r="D172" s="85" t="s">
        <v>393</v>
      </c>
      <c r="E172" s="101">
        <f t="shared" si="68"/>
        <v>3399661.24</v>
      </c>
      <c r="F172" s="101">
        <f>3342111.24+44220+1920+11410</f>
        <v>3399661.24</v>
      </c>
      <c r="G172" s="101"/>
      <c r="H172" s="101"/>
      <c r="I172" s="101"/>
      <c r="J172" s="101">
        <f t="shared" si="70"/>
        <v>0</v>
      </c>
      <c r="K172" s="101"/>
      <c r="L172" s="101"/>
      <c r="M172" s="101"/>
      <c r="N172" s="101"/>
      <c r="O172" s="101"/>
      <c r="P172" s="101">
        <f t="shared" si="69"/>
        <v>3399661.24</v>
      </c>
    </row>
    <row r="173" spans="1:527" s="23" customFormat="1" ht="35.25" customHeight="1" x14ac:dyDescent="0.25">
      <c r="A173" s="59" t="s">
        <v>324</v>
      </c>
      <c r="B173" s="93" t="str">
        <f>'дод 8'!A110</f>
        <v>3035</v>
      </c>
      <c r="C173" s="93" t="str">
        <f>'дод 8'!B110</f>
        <v>1070</v>
      </c>
      <c r="D173" s="60" t="str">
        <f>'дод 8'!C110</f>
        <v>Компенсаційні виплати за пільговий проїзд окремих категорій громадян на залізничному транспорті</v>
      </c>
      <c r="E173" s="99">
        <f t="shared" si="68"/>
        <v>1500000</v>
      </c>
      <c r="F173" s="99">
        <v>1500000</v>
      </c>
      <c r="G173" s="99"/>
      <c r="H173" s="99"/>
      <c r="I173" s="99"/>
      <c r="J173" s="99">
        <f t="shared" si="70"/>
        <v>0</v>
      </c>
      <c r="K173" s="99"/>
      <c r="L173" s="99"/>
      <c r="M173" s="99"/>
      <c r="N173" s="99"/>
      <c r="O173" s="99"/>
      <c r="P173" s="99">
        <f t="shared" si="69"/>
        <v>1500000</v>
      </c>
    </row>
    <row r="174" spans="1:527" s="23" customFormat="1" ht="36" customHeight="1" x14ac:dyDescent="0.25">
      <c r="A174" s="59" t="s">
        <v>183</v>
      </c>
      <c r="B174" s="93" t="str">
        <f>'дод 8'!A111</f>
        <v>3036</v>
      </c>
      <c r="C174" s="93" t="str">
        <f>'дод 8'!B111</f>
        <v>1070</v>
      </c>
      <c r="D174" s="60" t="str">
        <f>'дод 8'!C111</f>
        <v>Компенсаційні виплати на пільговий проїзд електротранспортом окремим категоріям громадян</v>
      </c>
      <c r="E174" s="99">
        <f t="shared" si="68"/>
        <v>35143700</v>
      </c>
      <c r="F174" s="99">
        <f>37333000+3760700-5950000</f>
        <v>35143700</v>
      </c>
      <c r="G174" s="99"/>
      <c r="H174" s="99"/>
      <c r="I174" s="99"/>
      <c r="J174" s="99">
        <f t="shared" si="70"/>
        <v>0</v>
      </c>
      <c r="K174" s="99"/>
      <c r="L174" s="99"/>
      <c r="M174" s="99"/>
      <c r="N174" s="99"/>
      <c r="O174" s="99"/>
      <c r="P174" s="99">
        <f t="shared" si="69"/>
        <v>35143700</v>
      </c>
    </row>
    <row r="175" spans="1:527" s="22" customFormat="1" ht="47.25" x14ac:dyDescent="0.25">
      <c r="A175" s="59" t="s">
        <v>350</v>
      </c>
      <c r="B175" s="93" t="str">
        <f>'дод 8'!A112</f>
        <v>3050</v>
      </c>
      <c r="C175" s="93" t="str">
        <f>'дод 8'!B112</f>
        <v>1070</v>
      </c>
      <c r="D175" s="60" t="str">
        <f>'дод 8'!C112</f>
        <v>Пільгове медичне обслуговування осіб, які постраждали внаслідок Чорнобильської катастрофи, у т.ч. за рахунок:</v>
      </c>
      <c r="E175" s="99">
        <f t="shared" si="68"/>
        <v>667500</v>
      </c>
      <c r="F175" s="99">
        <v>667500</v>
      </c>
      <c r="G175" s="99"/>
      <c r="H175" s="99"/>
      <c r="I175" s="99"/>
      <c r="J175" s="99">
        <f t="shared" si="70"/>
        <v>0</v>
      </c>
      <c r="K175" s="99"/>
      <c r="L175" s="99"/>
      <c r="M175" s="99"/>
      <c r="N175" s="99"/>
      <c r="O175" s="99"/>
      <c r="P175" s="99">
        <f t="shared" si="69"/>
        <v>667500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</row>
    <row r="176" spans="1:527" s="24" customFormat="1" ht="15.75" x14ac:dyDescent="0.25">
      <c r="A176" s="84"/>
      <c r="B176" s="111"/>
      <c r="C176" s="111"/>
      <c r="D176" s="85" t="s">
        <v>393</v>
      </c>
      <c r="E176" s="101">
        <f t="shared" si="68"/>
        <v>667500</v>
      </c>
      <c r="F176" s="101">
        <v>667500</v>
      </c>
      <c r="G176" s="101"/>
      <c r="H176" s="101"/>
      <c r="I176" s="101"/>
      <c r="J176" s="101">
        <f t="shared" si="70"/>
        <v>0</v>
      </c>
      <c r="K176" s="101"/>
      <c r="L176" s="101"/>
      <c r="M176" s="101"/>
      <c r="N176" s="101"/>
      <c r="O176" s="101"/>
      <c r="P176" s="101">
        <f t="shared" si="69"/>
        <v>667500</v>
      </c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  <c r="SO176" s="30"/>
      <c r="SP176" s="30"/>
      <c r="SQ176" s="30"/>
      <c r="SR176" s="30"/>
      <c r="SS176" s="30"/>
      <c r="ST176" s="30"/>
      <c r="SU176" s="30"/>
      <c r="SV176" s="30"/>
      <c r="SW176" s="30"/>
      <c r="SX176" s="30"/>
      <c r="SY176" s="30"/>
      <c r="SZ176" s="30"/>
      <c r="TA176" s="30"/>
      <c r="TB176" s="30"/>
      <c r="TC176" s="30"/>
      <c r="TD176" s="30"/>
      <c r="TE176" s="30"/>
      <c r="TF176" s="30"/>
      <c r="TG176" s="30"/>
    </row>
    <row r="177" spans="1:527" s="22" customFormat="1" ht="47.25" x14ac:dyDescent="0.25">
      <c r="A177" s="59" t="s">
        <v>351</v>
      </c>
      <c r="B177" s="93" t="str">
        <f>'дод 8'!A114</f>
        <v>3090</v>
      </c>
      <c r="C177" s="93" t="str">
        <f>'дод 8'!B114</f>
        <v>1030</v>
      </c>
      <c r="D177" s="60" t="str">
        <f>'дод 8'!C114</f>
        <v>Видатки на поховання учасників бойових дій та осіб з інвалідністю внаслідок війни, у т.ч. за рахунок:</v>
      </c>
      <c r="E177" s="99">
        <f t="shared" si="68"/>
        <v>245000</v>
      </c>
      <c r="F177" s="99">
        <v>245000</v>
      </c>
      <c r="G177" s="99"/>
      <c r="H177" s="99"/>
      <c r="I177" s="99"/>
      <c r="J177" s="99">
        <f t="shared" si="70"/>
        <v>0</v>
      </c>
      <c r="K177" s="99"/>
      <c r="L177" s="99"/>
      <c r="M177" s="99"/>
      <c r="N177" s="99"/>
      <c r="O177" s="99"/>
      <c r="P177" s="99">
        <f t="shared" si="69"/>
        <v>245000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</row>
    <row r="178" spans="1:527" s="24" customFormat="1" ht="15.75" x14ac:dyDescent="0.25">
      <c r="A178" s="84"/>
      <c r="B178" s="111"/>
      <c r="C178" s="111"/>
      <c r="D178" s="85" t="s">
        <v>393</v>
      </c>
      <c r="E178" s="101">
        <f t="shared" si="68"/>
        <v>245000</v>
      </c>
      <c r="F178" s="101">
        <v>245000</v>
      </c>
      <c r="G178" s="101"/>
      <c r="H178" s="101"/>
      <c r="I178" s="101"/>
      <c r="J178" s="101">
        <f t="shared" si="70"/>
        <v>0</v>
      </c>
      <c r="K178" s="101"/>
      <c r="L178" s="101"/>
      <c r="M178" s="101"/>
      <c r="N178" s="101"/>
      <c r="O178" s="101"/>
      <c r="P178" s="101">
        <f t="shared" si="69"/>
        <v>245000</v>
      </c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30"/>
      <c r="NY178" s="30"/>
      <c r="NZ178" s="30"/>
      <c r="OA178" s="30"/>
      <c r="OB178" s="30"/>
      <c r="OC178" s="30"/>
      <c r="OD178" s="30"/>
      <c r="OE178" s="30"/>
      <c r="OF178" s="30"/>
      <c r="OG178" s="30"/>
      <c r="OH178" s="30"/>
      <c r="OI178" s="30"/>
      <c r="OJ178" s="30"/>
      <c r="OK178" s="30"/>
      <c r="OL178" s="30"/>
      <c r="OM178" s="30"/>
      <c r="ON178" s="30"/>
      <c r="OO178" s="30"/>
      <c r="OP178" s="30"/>
      <c r="OQ178" s="30"/>
      <c r="OR178" s="30"/>
      <c r="OS178" s="30"/>
      <c r="OT178" s="30"/>
      <c r="OU178" s="30"/>
      <c r="OV178" s="30"/>
      <c r="OW178" s="30"/>
      <c r="OX178" s="30"/>
      <c r="OY178" s="30"/>
      <c r="OZ178" s="30"/>
      <c r="PA178" s="30"/>
      <c r="PB178" s="30"/>
      <c r="PC178" s="30"/>
      <c r="PD178" s="30"/>
      <c r="PE178" s="30"/>
      <c r="PF178" s="30"/>
      <c r="PG178" s="30"/>
      <c r="PH178" s="30"/>
      <c r="PI178" s="30"/>
      <c r="PJ178" s="30"/>
      <c r="PK178" s="30"/>
      <c r="PL178" s="30"/>
      <c r="PM178" s="30"/>
      <c r="PN178" s="30"/>
      <c r="PO178" s="30"/>
      <c r="PP178" s="30"/>
      <c r="PQ178" s="30"/>
      <c r="PR178" s="30"/>
      <c r="PS178" s="30"/>
      <c r="PT178" s="30"/>
      <c r="PU178" s="30"/>
      <c r="PV178" s="30"/>
      <c r="PW178" s="30"/>
      <c r="PX178" s="30"/>
      <c r="PY178" s="30"/>
      <c r="PZ178" s="30"/>
      <c r="QA178" s="30"/>
      <c r="QB178" s="30"/>
      <c r="QC178" s="30"/>
      <c r="QD178" s="30"/>
      <c r="QE178" s="30"/>
      <c r="QF178" s="30"/>
      <c r="QG178" s="30"/>
      <c r="QH178" s="30"/>
      <c r="QI178" s="30"/>
      <c r="QJ178" s="30"/>
      <c r="QK178" s="30"/>
      <c r="QL178" s="30"/>
      <c r="QM178" s="30"/>
      <c r="QN178" s="30"/>
      <c r="QO178" s="30"/>
      <c r="QP178" s="30"/>
      <c r="QQ178" s="30"/>
      <c r="QR178" s="30"/>
      <c r="QS178" s="30"/>
      <c r="QT178" s="30"/>
      <c r="QU178" s="30"/>
      <c r="QV178" s="30"/>
      <c r="QW178" s="30"/>
      <c r="QX178" s="30"/>
      <c r="QY178" s="30"/>
      <c r="QZ178" s="30"/>
      <c r="RA178" s="30"/>
      <c r="RB178" s="30"/>
      <c r="RC178" s="30"/>
      <c r="RD178" s="30"/>
      <c r="RE178" s="30"/>
      <c r="RF178" s="30"/>
      <c r="RG178" s="30"/>
      <c r="RH178" s="30"/>
      <c r="RI178" s="30"/>
      <c r="RJ178" s="30"/>
      <c r="RK178" s="30"/>
      <c r="RL178" s="30"/>
      <c r="RM178" s="30"/>
      <c r="RN178" s="30"/>
      <c r="RO178" s="30"/>
      <c r="RP178" s="30"/>
      <c r="RQ178" s="30"/>
      <c r="RR178" s="30"/>
      <c r="RS178" s="30"/>
      <c r="RT178" s="30"/>
      <c r="RU178" s="30"/>
      <c r="RV178" s="30"/>
      <c r="RW178" s="30"/>
      <c r="RX178" s="30"/>
      <c r="RY178" s="30"/>
      <c r="RZ178" s="30"/>
      <c r="SA178" s="30"/>
      <c r="SB178" s="30"/>
      <c r="SC178" s="30"/>
      <c r="SD178" s="30"/>
      <c r="SE178" s="30"/>
      <c r="SF178" s="30"/>
      <c r="SG178" s="30"/>
      <c r="SH178" s="30"/>
      <c r="SI178" s="30"/>
      <c r="SJ178" s="30"/>
      <c r="SK178" s="30"/>
      <c r="SL178" s="30"/>
      <c r="SM178" s="30"/>
      <c r="SN178" s="30"/>
      <c r="SO178" s="30"/>
      <c r="SP178" s="30"/>
      <c r="SQ178" s="30"/>
      <c r="SR178" s="30"/>
      <c r="SS178" s="30"/>
      <c r="ST178" s="30"/>
      <c r="SU178" s="30"/>
      <c r="SV178" s="30"/>
      <c r="SW178" s="30"/>
      <c r="SX178" s="30"/>
      <c r="SY178" s="30"/>
      <c r="SZ178" s="30"/>
      <c r="TA178" s="30"/>
      <c r="TB178" s="30"/>
      <c r="TC178" s="30"/>
      <c r="TD178" s="30"/>
      <c r="TE178" s="30"/>
      <c r="TF178" s="30"/>
      <c r="TG178" s="30"/>
    </row>
    <row r="179" spans="1:527" s="22" customFormat="1" ht="64.5" customHeight="1" x14ac:dyDescent="0.25">
      <c r="A179" s="59" t="s">
        <v>184</v>
      </c>
      <c r="B179" s="93" t="str">
        <f>'дод 8'!A116</f>
        <v>3104</v>
      </c>
      <c r="C179" s="93" t="str">
        <f>'дод 8'!B116</f>
        <v>1020</v>
      </c>
      <c r="D179" s="60" t="str">
        <f>'дод 8'!C116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79" s="99">
        <f t="shared" si="68"/>
        <v>17540965</v>
      </c>
      <c r="F179" s="99">
        <f>17394450+20000+20000-20000+65000+42515+19000</f>
        <v>17540965</v>
      </c>
      <c r="G179" s="99">
        <v>13551350</v>
      </c>
      <c r="H179" s="99">
        <f>208050+26750+42515</f>
        <v>277315</v>
      </c>
      <c r="I179" s="99"/>
      <c r="J179" s="99">
        <f t="shared" si="70"/>
        <v>96200</v>
      </c>
      <c r="K179" s="99"/>
      <c r="L179" s="99">
        <v>96200</v>
      </c>
      <c r="M179" s="99">
        <v>75000</v>
      </c>
      <c r="N179" s="99"/>
      <c r="O179" s="99"/>
      <c r="P179" s="99">
        <f t="shared" si="69"/>
        <v>17637165</v>
      </c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</row>
    <row r="180" spans="1:527" s="22" customFormat="1" ht="81.75" customHeight="1" x14ac:dyDescent="0.25">
      <c r="A180" s="59" t="s">
        <v>185</v>
      </c>
      <c r="B180" s="93" t="str">
        <f>'дод 8'!A122</f>
        <v>3160</v>
      </c>
      <c r="C180" s="93">
        <f>'дод 8'!B122</f>
        <v>1010</v>
      </c>
      <c r="D180" s="60" t="str">
        <f>'дод 8'!C122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0" s="99">
        <f t="shared" si="68"/>
        <v>3000000</v>
      </c>
      <c r="F180" s="99">
        <f>2500000+500000</f>
        <v>3000000</v>
      </c>
      <c r="G180" s="99"/>
      <c r="H180" s="99"/>
      <c r="I180" s="99"/>
      <c r="J180" s="99">
        <f t="shared" si="70"/>
        <v>0</v>
      </c>
      <c r="K180" s="99"/>
      <c r="L180" s="99"/>
      <c r="M180" s="99"/>
      <c r="N180" s="99"/>
      <c r="O180" s="99"/>
      <c r="P180" s="99">
        <f t="shared" si="69"/>
        <v>3000000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</row>
    <row r="181" spans="1:527" s="22" customFormat="1" ht="63" x14ac:dyDescent="0.25">
      <c r="A181" s="59" t="s">
        <v>353</v>
      </c>
      <c r="B181" s="93" t="str">
        <f>'дод 8'!A123</f>
        <v>3171</v>
      </c>
      <c r="C181" s="93">
        <f>'дод 8'!B123</f>
        <v>1010</v>
      </c>
      <c r="D181" s="60" t="str">
        <f>'дод 8'!C123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1" s="99">
        <f t="shared" si="68"/>
        <v>198209</v>
      </c>
      <c r="F181" s="99">
        <v>198209</v>
      </c>
      <c r="G181" s="99"/>
      <c r="H181" s="99"/>
      <c r="I181" s="99"/>
      <c r="J181" s="99">
        <f t="shared" si="70"/>
        <v>0</v>
      </c>
      <c r="K181" s="99"/>
      <c r="L181" s="99"/>
      <c r="M181" s="99"/>
      <c r="N181" s="99"/>
      <c r="O181" s="99"/>
      <c r="P181" s="99">
        <f t="shared" si="69"/>
        <v>198209</v>
      </c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</row>
    <row r="182" spans="1:527" s="24" customFormat="1" ht="18" customHeight="1" x14ac:dyDescent="0.25">
      <c r="A182" s="84"/>
      <c r="B182" s="111"/>
      <c r="C182" s="111"/>
      <c r="D182" s="85" t="s">
        <v>393</v>
      </c>
      <c r="E182" s="101">
        <f t="shared" si="68"/>
        <v>198209</v>
      </c>
      <c r="F182" s="101">
        <v>198209</v>
      </c>
      <c r="G182" s="101"/>
      <c r="H182" s="101"/>
      <c r="I182" s="101"/>
      <c r="J182" s="101">
        <f t="shared" si="70"/>
        <v>0</v>
      </c>
      <c r="K182" s="101"/>
      <c r="L182" s="101"/>
      <c r="M182" s="101"/>
      <c r="N182" s="101"/>
      <c r="O182" s="101"/>
      <c r="P182" s="101">
        <f t="shared" si="69"/>
        <v>198209</v>
      </c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  <c r="LU182" s="30"/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30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0"/>
      <c r="NR182" s="30"/>
      <c r="NS182" s="30"/>
      <c r="NT182" s="30"/>
      <c r="NU182" s="30"/>
      <c r="NV182" s="30"/>
      <c r="NW182" s="30"/>
      <c r="NX182" s="30"/>
      <c r="NY182" s="30"/>
      <c r="NZ182" s="30"/>
      <c r="OA182" s="30"/>
      <c r="OB182" s="30"/>
      <c r="OC182" s="30"/>
      <c r="OD182" s="30"/>
      <c r="OE182" s="30"/>
      <c r="OF182" s="30"/>
      <c r="OG182" s="30"/>
      <c r="OH182" s="30"/>
      <c r="OI182" s="30"/>
      <c r="OJ182" s="30"/>
      <c r="OK182" s="30"/>
      <c r="OL182" s="30"/>
      <c r="OM182" s="30"/>
      <c r="ON182" s="30"/>
      <c r="OO182" s="30"/>
      <c r="OP182" s="30"/>
      <c r="OQ182" s="30"/>
      <c r="OR182" s="30"/>
      <c r="OS182" s="30"/>
      <c r="OT182" s="30"/>
      <c r="OU182" s="30"/>
      <c r="OV182" s="30"/>
      <c r="OW182" s="30"/>
      <c r="OX182" s="30"/>
      <c r="OY182" s="30"/>
      <c r="OZ182" s="30"/>
      <c r="PA182" s="30"/>
      <c r="PB182" s="30"/>
      <c r="PC182" s="30"/>
      <c r="PD182" s="30"/>
      <c r="PE182" s="30"/>
      <c r="PF182" s="30"/>
      <c r="PG182" s="30"/>
      <c r="PH182" s="30"/>
      <c r="PI182" s="30"/>
      <c r="PJ182" s="30"/>
      <c r="PK182" s="30"/>
      <c r="PL182" s="30"/>
      <c r="PM182" s="30"/>
      <c r="PN182" s="30"/>
      <c r="PO182" s="30"/>
      <c r="PP182" s="30"/>
      <c r="PQ182" s="30"/>
      <c r="PR182" s="30"/>
      <c r="PS182" s="30"/>
      <c r="PT182" s="30"/>
      <c r="PU182" s="30"/>
      <c r="PV182" s="30"/>
      <c r="PW182" s="30"/>
      <c r="PX182" s="30"/>
      <c r="PY182" s="30"/>
      <c r="PZ182" s="30"/>
      <c r="QA182" s="30"/>
      <c r="QB182" s="30"/>
      <c r="QC182" s="30"/>
      <c r="QD182" s="30"/>
      <c r="QE182" s="30"/>
      <c r="QF182" s="30"/>
      <c r="QG182" s="30"/>
      <c r="QH182" s="30"/>
      <c r="QI182" s="30"/>
      <c r="QJ182" s="30"/>
      <c r="QK182" s="30"/>
      <c r="QL182" s="30"/>
      <c r="QM182" s="30"/>
      <c r="QN182" s="30"/>
      <c r="QO182" s="30"/>
      <c r="QP182" s="30"/>
      <c r="QQ182" s="30"/>
      <c r="QR182" s="30"/>
      <c r="QS182" s="30"/>
      <c r="QT182" s="30"/>
      <c r="QU182" s="30"/>
      <c r="QV182" s="30"/>
      <c r="QW182" s="30"/>
      <c r="QX182" s="30"/>
      <c r="QY182" s="30"/>
      <c r="QZ182" s="30"/>
      <c r="RA182" s="30"/>
      <c r="RB182" s="30"/>
      <c r="RC182" s="30"/>
      <c r="RD182" s="30"/>
      <c r="RE182" s="30"/>
      <c r="RF182" s="30"/>
      <c r="RG182" s="30"/>
      <c r="RH182" s="30"/>
      <c r="RI182" s="30"/>
      <c r="RJ182" s="30"/>
      <c r="RK182" s="30"/>
      <c r="RL182" s="30"/>
      <c r="RM182" s="30"/>
      <c r="RN182" s="30"/>
      <c r="RO182" s="30"/>
      <c r="RP182" s="30"/>
      <c r="RQ182" s="30"/>
      <c r="RR182" s="30"/>
      <c r="RS182" s="30"/>
      <c r="RT182" s="30"/>
      <c r="RU182" s="30"/>
      <c r="RV182" s="30"/>
      <c r="RW182" s="30"/>
      <c r="RX182" s="30"/>
      <c r="RY182" s="30"/>
      <c r="RZ182" s="30"/>
      <c r="SA182" s="30"/>
      <c r="SB182" s="30"/>
      <c r="SC182" s="30"/>
      <c r="SD182" s="30"/>
      <c r="SE182" s="30"/>
      <c r="SF182" s="30"/>
      <c r="SG182" s="30"/>
      <c r="SH182" s="30"/>
      <c r="SI182" s="30"/>
      <c r="SJ182" s="30"/>
      <c r="SK182" s="30"/>
      <c r="SL182" s="30"/>
      <c r="SM182" s="30"/>
      <c r="SN182" s="30"/>
      <c r="SO182" s="30"/>
      <c r="SP182" s="30"/>
      <c r="SQ182" s="30"/>
      <c r="SR182" s="30"/>
      <c r="SS182" s="30"/>
      <c r="ST182" s="30"/>
      <c r="SU182" s="30"/>
      <c r="SV182" s="30"/>
      <c r="SW182" s="30"/>
      <c r="SX182" s="30"/>
      <c r="SY182" s="30"/>
      <c r="SZ182" s="30"/>
      <c r="TA182" s="30"/>
      <c r="TB182" s="30"/>
      <c r="TC182" s="30"/>
      <c r="TD182" s="30"/>
      <c r="TE182" s="30"/>
      <c r="TF182" s="30"/>
      <c r="TG182" s="30"/>
    </row>
    <row r="183" spans="1:527" s="22" customFormat="1" ht="31.5" x14ac:dyDescent="0.25">
      <c r="A183" s="59" t="s">
        <v>354</v>
      </c>
      <c r="B183" s="93" t="str">
        <f>'дод 8'!A125</f>
        <v>3172</v>
      </c>
      <c r="C183" s="93">
        <f>'дод 8'!B125</f>
        <v>1010</v>
      </c>
      <c r="D183" s="60" t="s">
        <v>406</v>
      </c>
      <c r="E183" s="99">
        <f t="shared" si="68"/>
        <v>90</v>
      </c>
      <c r="F183" s="99">
        <v>90</v>
      </c>
      <c r="G183" s="99"/>
      <c r="H183" s="99"/>
      <c r="I183" s="99"/>
      <c r="J183" s="99">
        <f t="shared" si="70"/>
        <v>0</v>
      </c>
      <c r="K183" s="99"/>
      <c r="L183" s="99"/>
      <c r="M183" s="99"/>
      <c r="N183" s="99"/>
      <c r="O183" s="99"/>
      <c r="P183" s="99">
        <f t="shared" si="69"/>
        <v>90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</row>
    <row r="184" spans="1:527" s="24" customFormat="1" ht="15.75" x14ac:dyDescent="0.25">
      <c r="A184" s="84"/>
      <c r="B184" s="111"/>
      <c r="C184" s="111"/>
      <c r="D184" s="85" t="s">
        <v>393</v>
      </c>
      <c r="E184" s="101">
        <f t="shared" si="68"/>
        <v>90</v>
      </c>
      <c r="F184" s="101">
        <v>90</v>
      </c>
      <c r="G184" s="101"/>
      <c r="H184" s="101"/>
      <c r="I184" s="101"/>
      <c r="J184" s="101">
        <f t="shared" si="70"/>
        <v>0</v>
      </c>
      <c r="K184" s="101"/>
      <c r="L184" s="101"/>
      <c r="M184" s="101"/>
      <c r="N184" s="101"/>
      <c r="O184" s="101"/>
      <c r="P184" s="101">
        <f t="shared" si="69"/>
        <v>90</v>
      </c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0"/>
      <c r="JD184" s="30"/>
      <c r="JE184" s="30"/>
      <c r="JF184" s="30"/>
      <c r="JG184" s="30"/>
      <c r="JH184" s="30"/>
      <c r="JI184" s="30"/>
      <c r="JJ184" s="30"/>
      <c r="JK184" s="30"/>
      <c r="JL184" s="30"/>
      <c r="JM184" s="30"/>
      <c r="JN184" s="30"/>
      <c r="JO184" s="30"/>
      <c r="JP184" s="30"/>
      <c r="JQ184" s="30"/>
      <c r="JR184" s="30"/>
      <c r="JS184" s="30"/>
      <c r="JT184" s="30"/>
      <c r="JU184" s="30"/>
      <c r="JV184" s="30"/>
      <c r="JW184" s="30"/>
      <c r="JX184" s="30"/>
      <c r="JY184" s="30"/>
      <c r="JZ184" s="30"/>
      <c r="KA184" s="30"/>
      <c r="KB184" s="30"/>
      <c r="KC184" s="30"/>
      <c r="KD184" s="30"/>
      <c r="KE184" s="30"/>
      <c r="KF184" s="30"/>
      <c r="KG184" s="30"/>
      <c r="KH184" s="30"/>
      <c r="KI184" s="30"/>
      <c r="KJ184" s="30"/>
      <c r="KK184" s="30"/>
      <c r="KL184" s="30"/>
      <c r="KM184" s="30"/>
      <c r="KN184" s="30"/>
      <c r="KO184" s="30"/>
      <c r="KP184" s="30"/>
      <c r="KQ184" s="30"/>
      <c r="KR184" s="30"/>
      <c r="KS184" s="30"/>
      <c r="KT184" s="30"/>
      <c r="KU184" s="30"/>
      <c r="KV184" s="30"/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/>
      <c r="LJ184" s="30"/>
      <c r="LK184" s="30"/>
      <c r="LL184" s="30"/>
      <c r="LM184" s="30"/>
      <c r="LN184" s="30"/>
      <c r="LO184" s="30"/>
      <c r="LP184" s="30"/>
      <c r="LQ184" s="30"/>
      <c r="LR184" s="30"/>
      <c r="LS184" s="30"/>
      <c r="LT184" s="30"/>
      <c r="LU184" s="30"/>
      <c r="LV184" s="30"/>
      <c r="LW184" s="30"/>
      <c r="LX184" s="30"/>
      <c r="LY184" s="30"/>
      <c r="LZ184" s="30"/>
      <c r="MA184" s="30"/>
      <c r="MB184" s="30"/>
      <c r="MC184" s="30"/>
      <c r="MD184" s="30"/>
      <c r="ME184" s="30"/>
      <c r="MF184" s="30"/>
      <c r="MG184" s="30"/>
      <c r="MH184" s="30"/>
      <c r="MI184" s="30"/>
      <c r="MJ184" s="30"/>
      <c r="MK184" s="30"/>
      <c r="ML184" s="30"/>
      <c r="MM184" s="30"/>
      <c r="MN184" s="30"/>
      <c r="MO184" s="30"/>
      <c r="MP184" s="30"/>
      <c r="MQ184" s="30"/>
      <c r="MR184" s="30"/>
      <c r="MS184" s="30"/>
      <c r="MT184" s="30"/>
      <c r="MU184" s="30"/>
      <c r="MV184" s="30"/>
      <c r="MW184" s="30"/>
      <c r="MX184" s="30"/>
      <c r="MY184" s="30"/>
      <c r="MZ184" s="30"/>
      <c r="NA184" s="30"/>
      <c r="NB184" s="30"/>
      <c r="NC184" s="30"/>
      <c r="ND184" s="30"/>
      <c r="NE184" s="30"/>
      <c r="NF184" s="30"/>
      <c r="NG184" s="30"/>
      <c r="NH184" s="30"/>
      <c r="NI184" s="30"/>
      <c r="NJ184" s="30"/>
      <c r="NK184" s="30"/>
      <c r="NL184" s="30"/>
      <c r="NM184" s="30"/>
      <c r="NN184" s="30"/>
      <c r="NO184" s="30"/>
      <c r="NP184" s="30"/>
      <c r="NQ184" s="30"/>
      <c r="NR184" s="30"/>
      <c r="NS184" s="30"/>
      <c r="NT184" s="30"/>
      <c r="NU184" s="30"/>
      <c r="NV184" s="30"/>
      <c r="NW184" s="30"/>
      <c r="NX184" s="30"/>
      <c r="NY184" s="30"/>
      <c r="NZ184" s="30"/>
      <c r="OA184" s="30"/>
      <c r="OB184" s="30"/>
      <c r="OC184" s="30"/>
      <c r="OD184" s="30"/>
      <c r="OE184" s="30"/>
      <c r="OF184" s="30"/>
      <c r="OG184" s="30"/>
      <c r="OH184" s="30"/>
      <c r="OI184" s="30"/>
      <c r="OJ184" s="30"/>
      <c r="OK184" s="30"/>
      <c r="OL184" s="30"/>
      <c r="OM184" s="30"/>
      <c r="ON184" s="30"/>
      <c r="OO184" s="30"/>
      <c r="OP184" s="30"/>
      <c r="OQ184" s="30"/>
      <c r="OR184" s="30"/>
      <c r="OS184" s="30"/>
      <c r="OT184" s="30"/>
      <c r="OU184" s="30"/>
      <c r="OV184" s="30"/>
      <c r="OW184" s="30"/>
      <c r="OX184" s="30"/>
      <c r="OY184" s="30"/>
      <c r="OZ184" s="30"/>
      <c r="PA184" s="30"/>
      <c r="PB184" s="30"/>
      <c r="PC184" s="30"/>
      <c r="PD184" s="30"/>
      <c r="PE184" s="30"/>
      <c r="PF184" s="30"/>
      <c r="PG184" s="30"/>
      <c r="PH184" s="30"/>
      <c r="PI184" s="30"/>
      <c r="PJ184" s="30"/>
      <c r="PK184" s="30"/>
      <c r="PL184" s="30"/>
      <c r="PM184" s="30"/>
      <c r="PN184" s="30"/>
      <c r="PO184" s="30"/>
      <c r="PP184" s="30"/>
      <c r="PQ184" s="30"/>
      <c r="PR184" s="30"/>
      <c r="PS184" s="30"/>
      <c r="PT184" s="30"/>
      <c r="PU184" s="30"/>
      <c r="PV184" s="30"/>
      <c r="PW184" s="30"/>
      <c r="PX184" s="30"/>
      <c r="PY184" s="30"/>
      <c r="PZ184" s="30"/>
      <c r="QA184" s="30"/>
      <c r="QB184" s="30"/>
      <c r="QC184" s="30"/>
      <c r="QD184" s="30"/>
      <c r="QE184" s="30"/>
      <c r="QF184" s="30"/>
      <c r="QG184" s="30"/>
      <c r="QH184" s="30"/>
      <c r="QI184" s="30"/>
      <c r="QJ184" s="30"/>
      <c r="QK184" s="30"/>
      <c r="QL184" s="30"/>
      <c r="QM184" s="30"/>
      <c r="QN184" s="30"/>
      <c r="QO184" s="30"/>
      <c r="QP184" s="30"/>
      <c r="QQ184" s="30"/>
      <c r="QR184" s="30"/>
      <c r="QS184" s="30"/>
      <c r="QT184" s="30"/>
      <c r="QU184" s="30"/>
      <c r="QV184" s="30"/>
      <c r="QW184" s="30"/>
      <c r="QX184" s="30"/>
      <c r="QY184" s="30"/>
      <c r="QZ184" s="30"/>
      <c r="RA184" s="30"/>
      <c r="RB184" s="30"/>
      <c r="RC184" s="30"/>
      <c r="RD184" s="30"/>
      <c r="RE184" s="30"/>
      <c r="RF184" s="30"/>
      <c r="RG184" s="30"/>
      <c r="RH184" s="30"/>
      <c r="RI184" s="30"/>
      <c r="RJ184" s="30"/>
      <c r="RK184" s="30"/>
      <c r="RL184" s="30"/>
      <c r="RM184" s="30"/>
      <c r="RN184" s="30"/>
      <c r="RO184" s="30"/>
      <c r="RP184" s="30"/>
      <c r="RQ184" s="30"/>
      <c r="RR184" s="30"/>
      <c r="RS184" s="30"/>
      <c r="RT184" s="30"/>
      <c r="RU184" s="30"/>
      <c r="RV184" s="30"/>
      <c r="RW184" s="30"/>
      <c r="RX184" s="30"/>
      <c r="RY184" s="30"/>
      <c r="RZ184" s="30"/>
      <c r="SA184" s="30"/>
      <c r="SB184" s="30"/>
      <c r="SC184" s="30"/>
      <c r="SD184" s="30"/>
      <c r="SE184" s="30"/>
      <c r="SF184" s="30"/>
      <c r="SG184" s="30"/>
      <c r="SH184" s="30"/>
      <c r="SI184" s="30"/>
      <c r="SJ184" s="30"/>
      <c r="SK184" s="30"/>
      <c r="SL184" s="30"/>
      <c r="SM184" s="30"/>
      <c r="SN184" s="30"/>
      <c r="SO184" s="30"/>
      <c r="SP184" s="30"/>
      <c r="SQ184" s="30"/>
      <c r="SR184" s="30"/>
      <c r="SS184" s="30"/>
      <c r="ST184" s="30"/>
      <c r="SU184" s="30"/>
      <c r="SV184" s="30"/>
      <c r="SW184" s="30"/>
      <c r="SX184" s="30"/>
      <c r="SY184" s="30"/>
      <c r="SZ184" s="30"/>
      <c r="TA184" s="30"/>
      <c r="TB184" s="30"/>
      <c r="TC184" s="30"/>
      <c r="TD184" s="30"/>
      <c r="TE184" s="30"/>
      <c r="TF184" s="30"/>
      <c r="TG184" s="30"/>
    </row>
    <row r="185" spans="1:527" s="22" customFormat="1" ht="78.75" x14ac:dyDescent="0.25">
      <c r="A185" s="59" t="s">
        <v>186</v>
      </c>
      <c r="B185" s="93" t="str">
        <f>'дод 8'!A127</f>
        <v>3180</v>
      </c>
      <c r="C185" s="93" t="str">
        <f>'дод 8'!B127</f>
        <v>1060</v>
      </c>
      <c r="D185" s="60" t="str">
        <f>'дод 8'!C127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85" s="99">
        <f t="shared" si="68"/>
        <v>2213520</v>
      </c>
      <c r="F185" s="99">
        <v>2213520</v>
      </c>
      <c r="G185" s="99"/>
      <c r="H185" s="99"/>
      <c r="I185" s="99"/>
      <c r="J185" s="99">
        <f t="shared" si="70"/>
        <v>0</v>
      </c>
      <c r="K185" s="99"/>
      <c r="L185" s="99"/>
      <c r="M185" s="99"/>
      <c r="N185" s="99"/>
      <c r="O185" s="99"/>
      <c r="P185" s="99">
        <f t="shared" si="69"/>
        <v>2213520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</row>
    <row r="186" spans="1:527" s="22" customFormat="1" ht="31.5" customHeight="1" x14ac:dyDescent="0.25">
      <c r="A186" s="59" t="s">
        <v>308</v>
      </c>
      <c r="B186" s="93" t="str">
        <f>'дод 8'!A128</f>
        <v>3191</v>
      </c>
      <c r="C186" s="93" t="str">
        <f>'дод 8'!B128</f>
        <v>1030</v>
      </c>
      <c r="D186" s="60" t="str">
        <f>'дод 8'!C128</f>
        <v>Інші видатки на соціальний захист ветеранів війни та праці</v>
      </c>
      <c r="E186" s="99">
        <f t="shared" si="68"/>
        <v>2042960</v>
      </c>
      <c r="F186" s="99">
        <f>2089960-47000</f>
        <v>2042960</v>
      </c>
      <c r="G186" s="99"/>
      <c r="H186" s="99"/>
      <c r="I186" s="99"/>
      <c r="J186" s="99">
        <f t="shared" si="70"/>
        <v>0</v>
      </c>
      <c r="K186" s="99"/>
      <c r="L186" s="99"/>
      <c r="M186" s="99"/>
      <c r="N186" s="99"/>
      <c r="O186" s="99"/>
      <c r="P186" s="99">
        <f t="shared" si="69"/>
        <v>2042960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  <c r="TF186" s="23"/>
      <c r="TG186" s="23"/>
    </row>
    <row r="187" spans="1:527" s="22" customFormat="1" ht="47.25" x14ac:dyDescent="0.25">
      <c r="A187" s="59" t="s">
        <v>309</v>
      </c>
      <c r="B187" s="93" t="str">
        <f>'дод 8'!A129</f>
        <v>3192</v>
      </c>
      <c r="C187" s="93" t="str">
        <f>'дод 8'!B129</f>
        <v>1030</v>
      </c>
      <c r="D187" s="60" t="s">
        <v>502</v>
      </c>
      <c r="E187" s="99">
        <f t="shared" si="68"/>
        <v>2250688</v>
      </c>
      <c r="F187" s="99">
        <v>2250688</v>
      </c>
      <c r="G187" s="99"/>
      <c r="H187" s="99"/>
      <c r="I187" s="99"/>
      <c r="J187" s="99">
        <f t="shared" si="70"/>
        <v>0</v>
      </c>
      <c r="K187" s="99"/>
      <c r="L187" s="99"/>
      <c r="M187" s="99"/>
      <c r="N187" s="99"/>
      <c r="O187" s="99"/>
      <c r="P187" s="99">
        <f t="shared" si="69"/>
        <v>2250688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</row>
    <row r="188" spans="1:527" s="22" customFormat="1" ht="34.5" customHeight="1" x14ac:dyDescent="0.25">
      <c r="A188" s="59" t="s">
        <v>187</v>
      </c>
      <c r="B188" s="93" t="str">
        <f>'дод 8'!A130</f>
        <v>3200</v>
      </c>
      <c r="C188" s="93" t="str">
        <f>'дод 8'!B130</f>
        <v>1090</v>
      </c>
      <c r="D188" s="60" t="str">
        <f>'дод 8'!C130</f>
        <v>Забезпечення обробки інформації з нарахування та виплати допомог і компенсацій</v>
      </c>
      <c r="E188" s="99">
        <f t="shared" si="68"/>
        <v>92000</v>
      </c>
      <c r="F188" s="99">
        <v>92000</v>
      </c>
      <c r="G188" s="99"/>
      <c r="H188" s="99"/>
      <c r="I188" s="99"/>
      <c r="J188" s="99">
        <f t="shared" si="70"/>
        <v>0</v>
      </c>
      <c r="K188" s="99"/>
      <c r="L188" s="99"/>
      <c r="M188" s="99"/>
      <c r="N188" s="99"/>
      <c r="O188" s="99"/>
      <c r="P188" s="99">
        <f t="shared" si="69"/>
        <v>92000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</row>
    <row r="189" spans="1:527" s="22" customFormat="1" ht="19.5" customHeight="1" x14ac:dyDescent="0.25">
      <c r="A189" s="103" t="s">
        <v>310</v>
      </c>
      <c r="B189" s="42" t="str">
        <f>'дод 8'!A131</f>
        <v>3210</v>
      </c>
      <c r="C189" s="42" t="str">
        <f>'дод 8'!B131</f>
        <v>1050</v>
      </c>
      <c r="D189" s="36" t="str">
        <f>'дод 8'!C131</f>
        <v>Організація та проведення громадських робіт</v>
      </c>
      <c r="E189" s="99">
        <f t="shared" si="68"/>
        <v>50000</v>
      </c>
      <c r="F189" s="99">
        <v>50000</v>
      </c>
      <c r="G189" s="99">
        <v>40900</v>
      </c>
      <c r="H189" s="99"/>
      <c r="I189" s="99"/>
      <c r="J189" s="99">
        <f t="shared" si="70"/>
        <v>0</v>
      </c>
      <c r="K189" s="99"/>
      <c r="L189" s="99"/>
      <c r="M189" s="99"/>
      <c r="N189" s="99"/>
      <c r="O189" s="99"/>
      <c r="P189" s="99">
        <f t="shared" si="69"/>
        <v>50000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2" customFormat="1" ht="261" customHeight="1" x14ac:dyDescent="0.25">
      <c r="A190" s="103" t="s">
        <v>441</v>
      </c>
      <c r="B190" s="42">
        <v>3221</v>
      </c>
      <c r="C190" s="103" t="s">
        <v>53</v>
      </c>
      <c r="D190" s="36" t="s">
        <v>585</v>
      </c>
      <c r="E190" s="99">
        <f t="shared" si="68"/>
        <v>0</v>
      </c>
      <c r="F190" s="116"/>
      <c r="G190" s="99"/>
      <c r="H190" s="99"/>
      <c r="I190" s="99"/>
      <c r="J190" s="99">
        <f t="shared" si="70"/>
        <v>975480.06</v>
      </c>
      <c r="K190" s="99">
        <v>975480.06</v>
      </c>
      <c r="L190" s="99"/>
      <c r="M190" s="99"/>
      <c r="N190" s="99"/>
      <c r="O190" s="99">
        <v>975480.06</v>
      </c>
      <c r="P190" s="99">
        <f t="shared" si="69"/>
        <v>975480.06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</row>
    <row r="191" spans="1:527" s="24" customFormat="1" ht="306.75" customHeight="1" x14ac:dyDescent="0.25">
      <c r="A191" s="105"/>
      <c r="B191" s="88"/>
      <c r="C191" s="105"/>
      <c r="D191" s="87" t="s">
        <v>583</v>
      </c>
      <c r="E191" s="99">
        <f t="shared" si="68"/>
        <v>0</v>
      </c>
      <c r="F191" s="141"/>
      <c r="G191" s="101"/>
      <c r="H191" s="101"/>
      <c r="I191" s="101"/>
      <c r="J191" s="99">
        <f t="shared" si="70"/>
        <v>975480.06</v>
      </c>
      <c r="K191" s="101">
        <v>975480.06</v>
      </c>
      <c r="L191" s="101"/>
      <c r="M191" s="101"/>
      <c r="N191" s="101"/>
      <c r="O191" s="101">
        <v>975480.06</v>
      </c>
      <c r="P191" s="101">
        <f t="shared" si="69"/>
        <v>975480.06</v>
      </c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  <c r="IX191" s="30"/>
      <c r="IY191" s="30"/>
      <c r="IZ191" s="30"/>
      <c r="JA191" s="30"/>
      <c r="JB191" s="30"/>
      <c r="JC191" s="30"/>
      <c r="JD191" s="30"/>
      <c r="JE191" s="30"/>
      <c r="JF191" s="30"/>
      <c r="JG191" s="30"/>
      <c r="JH191" s="30"/>
      <c r="JI191" s="30"/>
      <c r="JJ191" s="30"/>
      <c r="JK191" s="30"/>
      <c r="JL191" s="30"/>
      <c r="JM191" s="30"/>
      <c r="JN191" s="30"/>
      <c r="JO191" s="30"/>
      <c r="JP191" s="30"/>
      <c r="JQ191" s="30"/>
      <c r="JR191" s="30"/>
      <c r="JS191" s="30"/>
      <c r="JT191" s="30"/>
      <c r="JU191" s="30"/>
      <c r="JV191" s="30"/>
      <c r="JW191" s="30"/>
      <c r="JX191" s="30"/>
      <c r="JY191" s="30"/>
      <c r="JZ191" s="30"/>
      <c r="KA191" s="30"/>
      <c r="KB191" s="30"/>
      <c r="KC191" s="30"/>
      <c r="KD191" s="30"/>
      <c r="KE191" s="30"/>
      <c r="KF191" s="30"/>
      <c r="KG191" s="30"/>
      <c r="KH191" s="30"/>
      <c r="KI191" s="30"/>
      <c r="KJ191" s="30"/>
      <c r="KK191" s="30"/>
      <c r="KL191" s="30"/>
      <c r="KM191" s="30"/>
      <c r="KN191" s="30"/>
      <c r="KO191" s="30"/>
      <c r="KP191" s="30"/>
      <c r="KQ191" s="30"/>
      <c r="KR191" s="30"/>
      <c r="KS191" s="30"/>
      <c r="KT191" s="30"/>
      <c r="KU191" s="30"/>
      <c r="KV191" s="30"/>
      <c r="KW191" s="30"/>
      <c r="KX191" s="30"/>
      <c r="KY191" s="30"/>
      <c r="KZ191" s="30"/>
      <c r="LA191" s="30"/>
      <c r="LB191" s="30"/>
      <c r="LC191" s="30"/>
      <c r="LD191" s="30"/>
      <c r="LE191" s="30"/>
      <c r="LF191" s="30"/>
      <c r="LG191" s="30"/>
      <c r="LH191" s="30"/>
      <c r="LI191" s="30"/>
      <c r="LJ191" s="30"/>
      <c r="LK191" s="30"/>
      <c r="LL191" s="30"/>
      <c r="LM191" s="30"/>
      <c r="LN191" s="30"/>
      <c r="LO191" s="30"/>
      <c r="LP191" s="30"/>
      <c r="LQ191" s="30"/>
      <c r="LR191" s="30"/>
      <c r="LS191" s="30"/>
      <c r="LT191" s="30"/>
      <c r="LU191" s="30"/>
      <c r="LV191" s="30"/>
      <c r="LW191" s="30"/>
      <c r="LX191" s="30"/>
      <c r="LY191" s="30"/>
      <c r="LZ191" s="30"/>
      <c r="MA191" s="30"/>
      <c r="MB191" s="30"/>
      <c r="MC191" s="30"/>
      <c r="MD191" s="30"/>
      <c r="ME191" s="30"/>
      <c r="MF191" s="30"/>
      <c r="MG191" s="30"/>
      <c r="MH191" s="30"/>
      <c r="MI191" s="30"/>
      <c r="MJ191" s="30"/>
      <c r="MK191" s="30"/>
      <c r="ML191" s="30"/>
      <c r="MM191" s="30"/>
      <c r="MN191" s="30"/>
      <c r="MO191" s="30"/>
      <c r="MP191" s="30"/>
      <c r="MQ191" s="30"/>
      <c r="MR191" s="30"/>
      <c r="MS191" s="30"/>
      <c r="MT191" s="30"/>
      <c r="MU191" s="30"/>
      <c r="MV191" s="30"/>
      <c r="MW191" s="30"/>
      <c r="MX191" s="30"/>
      <c r="MY191" s="30"/>
      <c r="MZ191" s="30"/>
      <c r="NA191" s="30"/>
      <c r="NB191" s="30"/>
      <c r="NC191" s="30"/>
      <c r="ND191" s="30"/>
      <c r="NE191" s="30"/>
      <c r="NF191" s="30"/>
      <c r="NG191" s="30"/>
      <c r="NH191" s="30"/>
      <c r="NI191" s="30"/>
      <c r="NJ191" s="30"/>
      <c r="NK191" s="30"/>
      <c r="NL191" s="30"/>
      <c r="NM191" s="30"/>
      <c r="NN191" s="30"/>
      <c r="NO191" s="30"/>
      <c r="NP191" s="30"/>
      <c r="NQ191" s="30"/>
      <c r="NR191" s="30"/>
      <c r="NS191" s="30"/>
      <c r="NT191" s="30"/>
      <c r="NU191" s="30"/>
      <c r="NV191" s="30"/>
      <c r="NW191" s="30"/>
      <c r="NX191" s="30"/>
      <c r="NY191" s="30"/>
      <c r="NZ191" s="30"/>
      <c r="OA191" s="30"/>
      <c r="OB191" s="30"/>
      <c r="OC191" s="30"/>
      <c r="OD191" s="30"/>
      <c r="OE191" s="30"/>
      <c r="OF191" s="30"/>
      <c r="OG191" s="30"/>
      <c r="OH191" s="30"/>
      <c r="OI191" s="30"/>
      <c r="OJ191" s="30"/>
      <c r="OK191" s="30"/>
      <c r="OL191" s="30"/>
      <c r="OM191" s="30"/>
      <c r="ON191" s="30"/>
      <c r="OO191" s="30"/>
      <c r="OP191" s="30"/>
      <c r="OQ191" s="30"/>
      <c r="OR191" s="30"/>
      <c r="OS191" s="30"/>
      <c r="OT191" s="30"/>
      <c r="OU191" s="30"/>
      <c r="OV191" s="30"/>
      <c r="OW191" s="30"/>
      <c r="OX191" s="30"/>
      <c r="OY191" s="30"/>
      <c r="OZ191" s="30"/>
      <c r="PA191" s="30"/>
      <c r="PB191" s="30"/>
      <c r="PC191" s="30"/>
      <c r="PD191" s="30"/>
      <c r="PE191" s="30"/>
      <c r="PF191" s="30"/>
      <c r="PG191" s="30"/>
      <c r="PH191" s="30"/>
      <c r="PI191" s="30"/>
      <c r="PJ191" s="30"/>
      <c r="PK191" s="30"/>
      <c r="PL191" s="30"/>
      <c r="PM191" s="30"/>
      <c r="PN191" s="30"/>
      <c r="PO191" s="30"/>
      <c r="PP191" s="30"/>
      <c r="PQ191" s="30"/>
      <c r="PR191" s="30"/>
      <c r="PS191" s="30"/>
      <c r="PT191" s="30"/>
      <c r="PU191" s="30"/>
      <c r="PV191" s="30"/>
      <c r="PW191" s="30"/>
      <c r="PX191" s="30"/>
      <c r="PY191" s="30"/>
      <c r="PZ191" s="30"/>
      <c r="QA191" s="30"/>
      <c r="QB191" s="30"/>
      <c r="QC191" s="30"/>
      <c r="QD191" s="30"/>
      <c r="QE191" s="30"/>
      <c r="QF191" s="30"/>
      <c r="QG191" s="30"/>
      <c r="QH191" s="30"/>
      <c r="QI191" s="30"/>
      <c r="QJ191" s="30"/>
      <c r="QK191" s="30"/>
      <c r="QL191" s="30"/>
      <c r="QM191" s="30"/>
      <c r="QN191" s="30"/>
      <c r="QO191" s="30"/>
      <c r="QP191" s="30"/>
      <c r="QQ191" s="30"/>
      <c r="QR191" s="30"/>
      <c r="QS191" s="30"/>
      <c r="QT191" s="30"/>
      <c r="QU191" s="30"/>
      <c r="QV191" s="30"/>
      <c r="QW191" s="30"/>
      <c r="QX191" s="30"/>
      <c r="QY191" s="30"/>
      <c r="QZ191" s="30"/>
      <c r="RA191" s="30"/>
      <c r="RB191" s="30"/>
      <c r="RC191" s="30"/>
      <c r="RD191" s="30"/>
      <c r="RE191" s="30"/>
      <c r="RF191" s="30"/>
      <c r="RG191" s="30"/>
      <c r="RH191" s="30"/>
      <c r="RI191" s="30"/>
      <c r="RJ191" s="30"/>
      <c r="RK191" s="30"/>
      <c r="RL191" s="30"/>
      <c r="RM191" s="30"/>
      <c r="RN191" s="30"/>
      <c r="RO191" s="30"/>
      <c r="RP191" s="30"/>
      <c r="RQ191" s="30"/>
      <c r="RR191" s="30"/>
      <c r="RS191" s="30"/>
      <c r="RT191" s="30"/>
      <c r="RU191" s="30"/>
      <c r="RV191" s="30"/>
      <c r="RW191" s="30"/>
      <c r="RX191" s="30"/>
      <c r="RY191" s="30"/>
      <c r="RZ191" s="30"/>
      <c r="SA191" s="30"/>
      <c r="SB191" s="30"/>
      <c r="SC191" s="30"/>
      <c r="SD191" s="30"/>
      <c r="SE191" s="30"/>
      <c r="SF191" s="30"/>
      <c r="SG191" s="30"/>
      <c r="SH191" s="30"/>
      <c r="SI191" s="30"/>
      <c r="SJ191" s="30"/>
      <c r="SK191" s="30"/>
      <c r="SL191" s="30"/>
      <c r="SM191" s="30"/>
      <c r="SN191" s="30"/>
      <c r="SO191" s="30"/>
      <c r="SP191" s="30"/>
      <c r="SQ191" s="30"/>
      <c r="SR191" s="30"/>
      <c r="SS191" s="30"/>
      <c r="ST191" s="30"/>
      <c r="SU191" s="30"/>
      <c r="SV191" s="30"/>
      <c r="SW191" s="30"/>
      <c r="SX191" s="30"/>
      <c r="SY191" s="30"/>
      <c r="SZ191" s="30"/>
      <c r="TA191" s="30"/>
      <c r="TB191" s="30"/>
      <c r="TC191" s="30"/>
      <c r="TD191" s="30"/>
      <c r="TE191" s="30"/>
      <c r="TF191" s="30"/>
      <c r="TG191" s="30"/>
    </row>
    <row r="192" spans="1:527" s="22" customFormat="1" ht="324.75" customHeight="1" x14ac:dyDescent="0.25">
      <c r="A192" s="103" t="s">
        <v>564</v>
      </c>
      <c r="B192" s="42">
        <v>3222</v>
      </c>
      <c r="C192" s="103" t="s">
        <v>53</v>
      </c>
      <c r="D192" s="36" t="s">
        <v>608</v>
      </c>
      <c r="E192" s="99">
        <f t="shared" ref="E192:E193" si="71">F192+I192</f>
        <v>0</v>
      </c>
      <c r="F192" s="142"/>
      <c r="G192" s="99"/>
      <c r="H192" s="99"/>
      <c r="I192" s="99"/>
      <c r="J192" s="99">
        <f t="shared" ref="J192:J193" si="72">L192+O192</f>
        <v>1176130.99</v>
      </c>
      <c r="K192" s="99">
        <v>1176130.99</v>
      </c>
      <c r="L192" s="99"/>
      <c r="M192" s="99"/>
      <c r="N192" s="99"/>
      <c r="O192" s="99">
        <v>1176130.99</v>
      </c>
      <c r="P192" s="99">
        <f t="shared" si="69"/>
        <v>1176130.99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</row>
    <row r="193" spans="1:527" s="24" customFormat="1" ht="332.25" customHeight="1" x14ac:dyDescent="0.25">
      <c r="A193" s="105"/>
      <c r="B193" s="88"/>
      <c r="C193" s="105"/>
      <c r="D193" s="87" t="s">
        <v>609</v>
      </c>
      <c r="E193" s="101">
        <f t="shared" si="71"/>
        <v>0</v>
      </c>
      <c r="F193" s="141"/>
      <c r="G193" s="101"/>
      <c r="H193" s="101"/>
      <c r="I193" s="101"/>
      <c r="J193" s="101">
        <f t="shared" si="72"/>
        <v>1176130.99</v>
      </c>
      <c r="K193" s="101">
        <v>1176130.99</v>
      </c>
      <c r="L193" s="101"/>
      <c r="M193" s="101"/>
      <c r="N193" s="101"/>
      <c r="O193" s="101">
        <v>1176130.99</v>
      </c>
      <c r="P193" s="101">
        <f t="shared" si="69"/>
        <v>1176130.99</v>
      </c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0"/>
      <c r="JD193" s="30"/>
      <c r="JE193" s="30"/>
      <c r="JF193" s="30"/>
      <c r="JG193" s="30"/>
      <c r="JH193" s="30"/>
      <c r="JI193" s="30"/>
      <c r="JJ193" s="30"/>
      <c r="JK193" s="30"/>
      <c r="JL193" s="30"/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30"/>
      <c r="KG193" s="30"/>
      <c r="KH193" s="30"/>
      <c r="KI193" s="30"/>
      <c r="KJ193" s="30"/>
      <c r="KK193" s="30"/>
      <c r="KL193" s="30"/>
      <c r="KM193" s="30"/>
      <c r="KN193" s="30"/>
      <c r="KO193" s="30"/>
      <c r="KP193" s="30"/>
      <c r="KQ193" s="30"/>
      <c r="KR193" s="30"/>
      <c r="KS193" s="30"/>
      <c r="KT193" s="30"/>
      <c r="KU193" s="30"/>
      <c r="KV193" s="30"/>
      <c r="KW193" s="30"/>
      <c r="KX193" s="30"/>
      <c r="KY193" s="30"/>
      <c r="KZ193" s="30"/>
      <c r="LA193" s="30"/>
      <c r="LB193" s="30"/>
      <c r="LC193" s="30"/>
      <c r="LD193" s="30"/>
      <c r="LE193" s="30"/>
      <c r="LF193" s="30"/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  <c r="LU193" s="30"/>
      <c r="LV193" s="30"/>
      <c r="LW193" s="30"/>
      <c r="LX193" s="30"/>
      <c r="LY193" s="30"/>
      <c r="LZ193" s="30"/>
      <c r="MA193" s="30"/>
      <c r="MB193" s="30"/>
      <c r="MC193" s="30"/>
      <c r="MD193" s="30"/>
      <c r="ME193" s="30"/>
      <c r="MF193" s="30"/>
      <c r="MG193" s="30"/>
      <c r="MH193" s="30"/>
      <c r="MI193" s="30"/>
      <c r="MJ193" s="30"/>
      <c r="MK193" s="30"/>
      <c r="ML193" s="30"/>
      <c r="MM193" s="30"/>
      <c r="MN193" s="30"/>
      <c r="MO193" s="30"/>
      <c r="MP193" s="30"/>
      <c r="MQ193" s="30"/>
      <c r="MR193" s="30"/>
      <c r="MS193" s="30"/>
      <c r="MT193" s="30"/>
      <c r="MU193" s="30"/>
      <c r="MV193" s="30"/>
      <c r="MW193" s="30"/>
      <c r="MX193" s="30"/>
      <c r="MY193" s="30"/>
      <c r="MZ193" s="30"/>
      <c r="NA193" s="30"/>
      <c r="NB193" s="30"/>
      <c r="NC193" s="30"/>
      <c r="ND193" s="30"/>
      <c r="NE193" s="30"/>
      <c r="NF193" s="30"/>
      <c r="NG193" s="30"/>
      <c r="NH193" s="30"/>
      <c r="NI193" s="30"/>
      <c r="NJ193" s="30"/>
      <c r="NK193" s="30"/>
      <c r="NL193" s="30"/>
      <c r="NM193" s="30"/>
      <c r="NN193" s="30"/>
      <c r="NO193" s="30"/>
      <c r="NP193" s="30"/>
      <c r="NQ193" s="30"/>
      <c r="NR193" s="30"/>
      <c r="NS193" s="30"/>
      <c r="NT193" s="30"/>
      <c r="NU193" s="30"/>
      <c r="NV193" s="30"/>
      <c r="NW193" s="30"/>
      <c r="NX193" s="30"/>
      <c r="NY193" s="30"/>
      <c r="NZ193" s="30"/>
      <c r="OA193" s="30"/>
      <c r="OB193" s="30"/>
      <c r="OC193" s="30"/>
      <c r="OD193" s="30"/>
      <c r="OE193" s="30"/>
      <c r="OF193" s="30"/>
      <c r="OG193" s="30"/>
      <c r="OH193" s="30"/>
      <c r="OI193" s="30"/>
      <c r="OJ193" s="30"/>
      <c r="OK193" s="30"/>
      <c r="OL193" s="30"/>
      <c r="OM193" s="30"/>
      <c r="ON193" s="30"/>
      <c r="OO193" s="30"/>
      <c r="OP193" s="30"/>
      <c r="OQ193" s="30"/>
      <c r="OR193" s="30"/>
      <c r="OS193" s="30"/>
      <c r="OT193" s="30"/>
      <c r="OU193" s="30"/>
      <c r="OV193" s="30"/>
      <c r="OW193" s="30"/>
      <c r="OX193" s="30"/>
      <c r="OY193" s="30"/>
      <c r="OZ193" s="30"/>
      <c r="PA193" s="30"/>
      <c r="PB193" s="30"/>
      <c r="PC193" s="30"/>
      <c r="PD193" s="30"/>
      <c r="PE193" s="30"/>
      <c r="PF193" s="30"/>
      <c r="PG193" s="30"/>
      <c r="PH193" s="30"/>
      <c r="PI193" s="30"/>
      <c r="PJ193" s="30"/>
      <c r="PK193" s="30"/>
      <c r="PL193" s="30"/>
      <c r="PM193" s="30"/>
      <c r="PN193" s="30"/>
      <c r="PO193" s="30"/>
      <c r="PP193" s="30"/>
      <c r="PQ193" s="30"/>
      <c r="PR193" s="30"/>
      <c r="PS193" s="30"/>
      <c r="PT193" s="30"/>
      <c r="PU193" s="30"/>
      <c r="PV193" s="30"/>
      <c r="PW193" s="30"/>
      <c r="PX193" s="30"/>
      <c r="PY193" s="30"/>
      <c r="PZ193" s="30"/>
      <c r="QA193" s="30"/>
      <c r="QB193" s="30"/>
      <c r="QC193" s="30"/>
      <c r="QD193" s="30"/>
      <c r="QE193" s="30"/>
      <c r="QF193" s="30"/>
      <c r="QG193" s="30"/>
      <c r="QH193" s="30"/>
      <c r="QI193" s="30"/>
      <c r="QJ193" s="30"/>
      <c r="QK193" s="30"/>
      <c r="QL193" s="30"/>
      <c r="QM193" s="30"/>
      <c r="QN193" s="30"/>
      <c r="QO193" s="30"/>
      <c r="QP193" s="30"/>
      <c r="QQ193" s="30"/>
      <c r="QR193" s="30"/>
      <c r="QS193" s="30"/>
      <c r="QT193" s="30"/>
      <c r="QU193" s="30"/>
      <c r="QV193" s="30"/>
      <c r="QW193" s="30"/>
      <c r="QX193" s="30"/>
      <c r="QY193" s="30"/>
      <c r="QZ193" s="30"/>
      <c r="RA193" s="30"/>
      <c r="RB193" s="30"/>
      <c r="RC193" s="30"/>
      <c r="RD193" s="30"/>
      <c r="RE193" s="30"/>
      <c r="RF193" s="30"/>
      <c r="RG193" s="30"/>
      <c r="RH193" s="30"/>
      <c r="RI193" s="30"/>
      <c r="RJ193" s="30"/>
      <c r="RK193" s="30"/>
      <c r="RL193" s="30"/>
      <c r="RM193" s="30"/>
      <c r="RN193" s="30"/>
      <c r="RO193" s="30"/>
      <c r="RP193" s="30"/>
      <c r="RQ193" s="30"/>
      <c r="RR193" s="30"/>
      <c r="RS193" s="30"/>
      <c r="RT193" s="30"/>
      <c r="RU193" s="30"/>
      <c r="RV193" s="30"/>
      <c r="RW193" s="30"/>
      <c r="RX193" s="30"/>
      <c r="RY193" s="30"/>
      <c r="RZ193" s="30"/>
      <c r="SA193" s="30"/>
      <c r="SB193" s="30"/>
      <c r="SC193" s="30"/>
      <c r="SD193" s="30"/>
      <c r="SE193" s="30"/>
      <c r="SF193" s="30"/>
      <c r="SG193" s="30"/>
      <c r="SH193" s="30"/>
      <c r="SI193" s="30"/>
      <c r="SJ193" s="30"/>
      <c r="SK193" s="30"/>
      <c r="SL193" s="30"/>
      <c r="SM193" s="30"/>
      <c r="SN193" s="30"/>
      <c r="SO193" s="30"/>
      <c r="SP193" s="30"/>
      <c r="SQ193" s="30"/>
      <c r="SR193" s="30"/>
      <c r="SS193" s="30"/>
      <c r="ST193" s="30"/>
      <c r="SU193" s="30"/>
      <c r="SV193" s="30"/>
      <c r="SW193" s="30"/>
      <c r="SX193" s="30"/>
      <c r="SY193" s="30"/>
      <c r="SZ193" s="30"/>
      <c r="TA193" s="30"/>
      <c r="TB193" s="30"/>
      <c r="TC193" s="30"/>
      <c r="TD193" s="30"/>
      <c r="TE193" s="30"/>
      <c r="TF193" s="30"/>
      <c r="TG193" s="30"/>
    </row>
    <row r="194" spans="1:527" s="22" customFormat="1" ht="220.5" hidden="1" x14ac:dyDescent="0.25">
      <c r="A194" s="103" t="s">
        <v>440</v>
      </c>
      <c r="B194" s="42">
        <v>3223</v>
      </c>
      <c r="C194" s="103" t="s">
        <v>53</v>
      </c>
      <c r="D194" s="36" t="str">
        <f>'дод 8'!C136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94" s="99">
        <f t="shared" si="68"/>
        <v>0</v>
      </c>
      <c r="F194" s="99"/>
      <c r="G194" s="99"/>
      <c r="H194" s="99"/>
      <c r="I194" s="99"/>
      <c r="J194" s="99">
        <f t="shared" si="70"/>
        <v>0</v>
      </c>
      <c r="K194" s="99"/>
      <c r="L194" s="99"/>
      <c r="M194" s="99"/>
      <c r="N194" s="99"/>
      <c r="O194" s="99"/>
      <c r="P194" s="99">
        <f t="shared" si="69"/>
        <v>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</row>
    <row r="195" spans="1:527" s="24" customFormat="1" ht="267.75" hidden="1" x14ac:dyDescent="0.25">
      <c r="A195" s="105"/>
      <c r="B195" s="88"/>
      <c r="C195" s="105"/>
      <c r="D195" s="87" t="str">
        <f>'дод 8'!C137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95" s="101">
        <f t="shared" si="68"/>
        <v>0</v>
      </c>
      <c r="F195" s="101"/>
      <c r="G195" s="101"/>
      <c r="H195" s="101"/>
      <c r="I195" s="101"/>
      <c r="J195" s="101">
        <f t="shared" si="70"/>
        <v>0</v>
      </c>
      <c r="K195" s="101"/>
      <c r="L195" s="101"/>
      <c r="M195" s="101"/>
      <c r="N195" s="101"/>
      <c r="O195" s="101"/>
      <c r="P195" s="101">
        <f t="shared" si="69"/>
        <v>0</v>
      </c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0"/>
      <c r="JD195" s="30"/>
      <c r="JE195" s="30"/>
      <c r="JF195" s="30"/>
      <c r="JG195" s="30"/>
      <c r="JH195" s="30"/>
      <c r="JI195" s="30"/>
      <c r="JJ195" s="30"/>
      <c r="JK195" s="30"/>
      <c r="JL195" s="30"/>
      <c r="JM195" s="30"/>
      <c r="JN195" s="30"/>
      <c r="JO195" s="30"/>
      <c r="JP195" s="30"/>
      <c r="JQ195" s="30"/>
      <c r="JR195" s="30"/>
      <c r="JS195" s="30"/>
      <c r="JT195" s="30"/>
      <c r="JU195" s="30"/>
      <c r="JV195" s="30"/>
      <c r="JW195" s="30"/>
      <c r="JX195" s="30"/>
      <c r="JY195" s="30"/>
      <c r="JZ195" s="30"/>
      <c r="KA195" s="30"/>
      <c r="KB195" s="30"/>
      <c r="KC195" s="30"/>
      <c r="KD195" s="30"/>
      <c r="KE195" s="30"/>
      <c r="KF195" s="30"/>
      <c r="KG195" s="30"/>
      <c r="KH195" s="30"/>
      <c r="KI195" s="30"/>
      <c r="KJ195" s="30"/>
      <c r="KK195" s="30"/>
      <c r="KL195" s="30"/>
      <c r="KM195" s="30"/>
      <c r="KN195" s="30"/>
      <c r="KO195" s="30"/>
      <c r="KP195" s="30"/>
      <c r="KQ195" s="30"/>
      <c r="KR195" s="30"/>
      <c r="KS195" s="30"/>
      <c r="KT195" s="30"/>
      <c r="KU195" s="30"/>
      <c r="KV195" s="30"/>
      <c r="KW195" s="30"/>
      <c r="KX195" s="30"/>
      <c r="KY195" s="30"/>
      <c r="KZ195" s="30"/>
      <c r="LA195" s="30"/>
      <c r="LB195" s="30"/>
      <c r="LC195" s="30"/>
      <c r="LD195" s="30"/>
      <c r="LE195" s="30"/>
      <c r="LF195" s="30"/>
      <c r="LG195" s="30"/>
      <c r="LH195" s="30"/>
      <c r="LI195" s="30"/>
      <c r="LJ195" s="30"/>
      <c r="LK195" s="30"/>
      <c r="LL195" s="30"/>
      <c r="LM195" s="30"/>
      <c r="LN195" s="30"/>
      <c r="LO195" s="30"/>
      <c r="LP195" s="30"/>
      <c r="LQ195" s="30"/>
      <c r="LR195" s="30"/>
      <c r="LS195" s="30"/>
      <c r="LT195" s="30"/>
      <c r="LU195" s="30"/>
      <c r="LV195" s="30"/>
      <c r="LW195" s="30"/>
      <c r="LX195" s="30"/>
      <c r="LY195" s="30"/>
      <c r="LZ195" s="30"/>
      <c r="MA195" s="30"/>
      <c r="MB195" s="30"/>
      <c r="MC195" s="30"/>
      <c r="MD195" s="30"/>
      <c r="ME195" s="30"/>
      <c r="MF195" s="30"/>
      <c r="MG195" s="30"/>
      <c r="MH195" s="30"/>
      <c r="MI195" s="30"/>
      <c r="MJ195" s="30"/>
      <c r="MK195" s="30"/>
      <c r="ML195" s="30"/>
      <c r="MM195" s="30"/>
      <c r="MN195" s="30"/>
      <c r="MO195" s="30"/>
      <c r="MP195" s="30"/>
      <c r="MQ195" s="30"/>
      <c r="MR195" s="30"/>
      <c r="MS195" s="30"/>
      <c r="MT195" s="30"/>
      <c r="MU195" s="30"/>
      <c r="MV195" s="30"/>
      <c r="MW195" s="30"/>
      <c r="MX195" s="30"/>
      <c r="MY195" s="30"/>
      <c r="MZ195" s="30"/>
      <c r="NA195" s="30"/>
      <c r="NB195" s="30"/>
      <c r="NC195" s="30"/>
      <c r="ND195" s="30"/>
      <c r="NE195" s="30"/>
      <c r="NF195" s="30"/>
      <c r="NG195" s="30"/>
      <c r="NH195" s="30"/>
      <c r="NI195" s="30"/>
      <c r="NJ195" s="30"/>
      <c r="NK195" s="30"/>
      <c r="NL195" s="30"/>
      <c r="NM195" s="30"/>
      <c r="NN195" s="30"/>
      <c r="NO195" s="30"/>
      <c r="NP195" s="30"/>
      <c r="NQ195" s="30"/>
      <c r="NR195" s="30"/>
      <c r="NS195" s="30"/>
      <c r="NT195" s="30"/>
      <c r="NU195" s="30"/>
      <c r="NV195" s="30"/>
      <c r="NW195" s="30"/>
      <c r="NX195" s="30"/>
      <c r="NY195" s="30"/>
      <c r="NZ195" s="30"/>
      <c r="OA195" s="30"/>
      <c r="OB195" s="30"/>
      <c r="OC195" s="30"/>
      <c r="OD195" s="30"/>
      <c r="OE195" s="30"/>
      <c r="OF195" s="30"/>
      <c r="OG195" s="30"/>
      <c r="OH195" s="30"/>
      <c r="OI195" s="30"/>
      <c r="OJ195" s="30"/>
      <c r="OK195" s="30"/>
      <c r="OL195" s="30"/>
      <c r="OM195" s="30"/>
      <c r="ON195" s="30"/>
      <c r="OO195" s="30"/>
      <c r="OP195" s="30"/>
      <c r="OQ195" s="30"/>
      <c r="OR195" s="30"/>
      <c r="OS195" s="30"/>
      <c r="OT195" s="30"/>
      <c r="OU195" s="30"/>
      <c r="OV195" s="30"/>
      <c r="OW195" s="30"/>
      <c r="OX195" s="30"/>
      <c r="OY195" s="30"/>
      <c r="OZ195" s="30"/>
      <c r="PA195" s="30"/>
      <c r="PB195" s="30"/>
      <c r="PC195" s="30"/>
      <c r="PD195" s="30"/>
      <c r="PE195" s="30"/>
      <c r="PF195" s="30"/>
      <c r="PG195" s="30"/>
      <c r="PH195" s="30"/>
      <c r="PI195" s="30"/>
      <c r="PJ195" s="30"/>
      <c r="PK195" s="30"/>
      <c r="PL195" s="30"/>
      <c r="PM195" s="30"/>
      <c r="PN195" s="30"/>
      <c r="PO195" s="30"/>
      <c r="PP195" s="30"/>
      <c r="PQ195" s="30"/>
      <c r="PR195" s="30"/>
      <c r="PS195" s="30"/>
      <c r="PT195" s="30"/>
      <c r="PU195" s="30"/>
      <c r="PV195" s="30"/>
      <c r="PW195" s="30"/>
      <c r="PX195" s="30"/>
      <c r="PY195" s="30"/>
      <c r="PZ195" s="30"/>
      <c r="QA195" s="30"/>
      <c r="QB195" s="30"/>
      <c r="QC195" s="30"/>
      <c r="QD195" s="30"/>
      <c r="QE195" s="30"/>
      <c r="QF195" s="30"/>
      <c r="QG195" s="30"/>
      <c r="QH195" s="30"/>
      <c r="QI195" s="30"/>
      <c r="QJ195" s="30"/>
      <c r="QK195" s="30"/>
      <c r="QL195" s="30"/>
      <c r="QM195" s="30"/>
      <c r="QN195" s="30"/>
      <c r="QO195" s="30"/>
      <c r="QP195" s="30"/>
      <c r="QQ195" s="30"/>
      <c r="QR195" s="30"/>
      <c r="QS195" s="30"/>
      <c r="QT195" s="30"/>
      <c r="QU195" s="30"/>
      <c r="QV195" s="30"/>
      <c r="QW195" s="30"/>
      <c r="QX195" s="30"/>
      <c r="QY195" s="30"/>
      <c r="QZ195" s="30"/>
      <c r="RA195" s="30"/>
      <c r="RB195" s="30"/>
      <c r="RC195" s="30"/>
      <c r="RD195" s="30"/>
      <c r="RE195" s="30"/>
      <c r="RF195" s="30"/>
      <c r="RG195" s="30"/>
      <c r="RH195" s="30"/>
      <c r="RI195" s="30"/>
      <c r="RJ195" s="30"/>
      <c r="RK195" s="30"/>
      <c r="RL195" s="30"/>
      <c r="RM195" s="30"/>
      <c r="RN195" s="30"/>
      <c r="RO195" s="30"/>
      <c r="RP195" s="30"/>
      <c r="RQ195" s="30"/>
      <c r="RR195" s="30"/>
      <c r="RS195" s="30"/>
      <c r="RT195" s="30"/>
      <c r="RU195" s="30"/>
      <c r="RV195" s="30"/>
      <c r="RW195" s="30"/>
      <c r="RX195" s="30"/>
      <c r="RY195" s="30"/>
      <c r="RZ195" s="30"/>
      <c r="SA195" s="30"/>
      <c r="SB195" s="30"/>
      <c r="SC195" s="30"/>
      <c r="SD195" s="30"/>
      <c r="SE195" s="30"/>
      <c r="SF195" s="30"/>
      <c r="SG195" s="30"/>
      <c r="SH195" s="30"/>
      <c r="SI195" s="30"/>
      <c r="SJ195" s="30"/>
      <c r="SK195" s="30"/>
      <c r="SL195" s="30"/>
      <c r="SM195" s="30"/>
      <c r="SN195" s="30"/>
      <c r="SO195" s="30"/>
      <c r="SP195" s="30"/>
      <c r="SQ195" s="30"/>
      <c r="SR195" s="30"/>
      <c r="SS195" s="30"/>
      <c r="ST195" s="30"/>
      <c r="SU195" s="30"/>
      <c r="SV195" s="30"/>
      <c r="SW195" s="30"/>
      <c r="SX195" s="30"/>
      <c r="SY195" s="30"/>
      <c r="SZ195" s="30"/>
      <c r="TA195" s="30"/>
      <c r="TB195" s="30"/>
      <c r="TC195" s="30"/>
      <c r="TD195" s="30"/>
      <c r="TE195" s="30"/>
      <c r="TF195" s="30"/>
      <c r="TG195" s="30"/>
    </row>
    <row r="196" spans="1:527" s="22" customFormat="1" ht="31.5" customHeight="1" x14ac:dyDescent="0.25">
      <c r="A196" s="59" t="s">
        <v>307</v>
      </c>
      <c r="B196" s="93" t="str">
        <f>'дод 8'!A138</f>
        <v>3241</v>
      </c>
      <c r="C196" s="93" t="str">
        <f>'дод 8'!B138</f>
        <v>1090</v>
      </c>
      <c r="D196" s="60" t="str">
        <f>'дод 8'!C138</f>
        <v>Забезпечення діяльності інших закладів у сфері соціального захисту і соціального забезпечення</v>
      </c>
      <c r="E196" s="99">
        <f t="shared" si="68"/>
        <v>6928322.5599999996</v>
      </c>
      <c r="F196" s="99">
        <f>6615708.56+38000+199000+75614</f>
        <v>6928322.5599999996</v>
      </c>
      <c r="G196" s="99">
        <v>4074650</v>
      </c>
      <c r="H196" s="99">
        <f>333300+75614</f>
        <v>408914</v>
      </c>
      <c r="I196" s="99"/>
      <c r="J196" s="99">
        <f t="shared" ref="J196:J200" si="73">L196+O196</f>
        <v>161000</v>
      </c>
      <c r="K196" s="99">
        <f>360000-199000</f>
        <v>161000</v>
      </c>
      <c r="L196" s="99"/>
      <c r="M196" s="99"/>
      <c r="N196" s="99"/>
      <c r="O196" s="99">
        <f>360000-199000</f>
        <v>161000</v>
      </c>
      <c r="P196" s="99">
        <f t="shared" si="69"/>
        <v>7089322.5599999996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</row>
    <row r="197" spans="1:527" s="22" customFormat="1" ht="33" customHeight="1" x14ac:dyDescent="0.25">
      <c r="A197" s="59" t="s">
        <v>355</v>
      </c>
      <c r="B197" s="93" t="str">
        <f>'дод 8'!A139</f>
        <v>3242</v>
      </c>
      <c r="C197" s="93" t="str">
        <f>'дод 8'!B139</f>
        <v>1090</v>
      </c>
      <c r="D197" s="60" t="s">
        <v>516</v>
      </c>
      <c r="E197" s="99">
        <f t="shared" si="68"/>
        <v>39059302.549999997</v>
      </c>
      <c r="F197" s="99">
        <f>34325670+76000+12000+250000+1652252.55+881000+791200+57000+20770+189500+106000+5000+5000+10000+25000+47000+1000+45000+69500+38800+125610-12000+90000+148000+100000</f>
        <v>39059302.549999997</v>
      </c>
      <c r="G197" s="99"/>
      <c r="H197" s="99"/>
      <c r="I197" s="99"/>
      <c r="J197" s="99">
        <f t="shared" si="73"/>
        <v>57000</v>
      </c>
      <c r="K197" s="99">
        <f>45000+12000</f>
        <v>57000</v>
      </c>
      <c r="L197" s="99"/>
      <c r="M197" s="99"/>
      <c r="N197" s="99"/>
      <c r="O197" s="99">
        <f>45000+12000</f>
        <v>57000</v>
      </c>
      <c r="P197" s="99">
        <f t="shared" si="69"/>
        <v>39116302.549999997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</row>
    <row r="198" spans="1:527" s="24" customFormat="1" ht="15" customHeight="1" x14ac:dyDescent="0.25">
      <c r="A198" s="84"/>
      <c r="B198" s="111"/>
      <c r="C198" s="111"/>
      <c r="D198" s="85" t="s">
        <v>393</v>
      </c>
      <c r="E198" s="101">
        <f t="shared" si="68"/>
        <v>348000</v>
      </c>
      <c r="F198" s="101">
        <f>336000+12000</f>
        <v>348000</v>
      </c>
      <c r="G198" s="101"/>
      <c r="H198" s="101"/>
      <c r="I198" s="101"/>
      <c r="J198" s="101">
        <f t="shared" si="73"/>
        <v>0</v>
      </c>
      <c r="K198" s="101"/>
      <c r="L198" s="101"/>
      <c r="M198" s="101"/>
      <c r="N198" s="101"/>
      <c r="O198" s="101"/>
      <c r="P198" s="101">
        <f t="shared" si="69"/>
        <v>348000</v>
      </c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  <c r="SQ198" s="30"/>
      <c r="SR198" s="30"/>
      <c r="SS198" s="30"/>
      <c r="ST198" s="30"/>
      <c r="SU198" s="30"/>
      <c r="SV198" s="30"/>
      <c r="SW198" s="30"/>
      <c r="SX198" s="30"/>
      <c r="SY198" s="30"/>
      <c r="SZ198" s="30"/>
      <c r="TA198" s="30"/>
      <c r="TB198" s="30"/>
      <c r="TC198" s="30"/>
      <c r="TD198" s="30"/>
      <c r="TE198" s="30"/>
      <c r="TF198" s="30"/>
      <c r="TG198" s="30"/>
    </row>
    <row r="199" spans="1:527" s="22" customFormat="1" ht="18.75" x14ac:dyDescent="0.25">
      <c r="A199" s="59" t="s">
        <v>417</v>
      </c>
      <c r="B199" s="93">
        <v>7323</v>
      </c>
      <c r="C199" s="59" t="s">
        <v>111</v>
      </c>
      <c r="D199" s="134" t="s">
        <v>550</v>
      </c>
      <c r="E199" s="99">
        <f t="shared" si="68"/>
        <v>0</v>
      </c>
      <c r="F199" s="99"/>
      <c r="G199" s="99"/>
      <c r="H199" s="99"/>
      <c r="I199" s="99"/>
      <c r="J199" s="99">
        <f t="shared" si="73"/>
        <v>473213</v>
      </c>
      <c r="K199" s="99">
        <f>400000+73213</f>
        <v>473213</v>
      </c>
      <c r="L199" s="99"/>
      <c r="M199" s="99"/>
      <c r="N199" s="99"/>
      <c r="O199" s="99">
        <f>400000+73213</f>
        <v>473213</v>
      </c>
      <c r="P199" s="99">
        <f t="shared" si="69"/>
        <v>473213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</row>
    <row r="200" spans="1:527" s="22" customFormat="1" ht="22.5" customHeight="1" x14ac:dyDescent="0.25">
      <c r="A200" s="59" t="s">
        <v>265</v>
      </c>
      <c r="B200" s="93" t="str">
        <f>'дод 8'!A253</f>
        <v>9770</v>
      </c>
      <c r="C200" s="93" t="str">
        <f>'дод 8'!B253</f>
        <v>0180</v>
      </c>
      <c r="D200" s="60" t="str">
        <f>'дод 8'!C253</f>
        <v>Інші субвенції з місцевого бюджету</v>
      </c>
      <c r="E200" s="99">
        <f t="shared" si="68"/>
        <v>3645344</v>
      </c>
      <c r="F200" s="99">
        <f>2500000+1145344</f>
        <v>3645344</v>
      </c>
      <c r="G200" s="99"/>
      <c r="H200" s="99"/>
      <c r="I200" s="99"/>
      <c r="J200" s="99">
        <f t="shared" si="73"/>
        <v>0</v>
      </c>
      <c r="K200" s="99"/>
      <c r="L200" s="99"/>
      <c r="M200" s="99"/>
      <c r="N200" s="99"/>
      <c r="O200" s="99"/>
      <c r="P200" s="99">
        <f t="shared" si="69"/>
        <v>3645344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</row>
    <row r="201" spans="1:527" s="27" customFormat="1" ht="31.5" x14ac:dyDescent="0.25">
      <c r="A201" s="106" t="s">
        <v>188</v>
      </c>
      <c r="B201" s="39"/>
      <c r="C201" s="39"/>
      <c r="D201" s="107" t="s">
        <v>363</v>
      </c>
      <c r="E201" s="95">
        <f>E202</f>
        <v>5890161</v>
      </c>
      <c r="F201" s="95">
        <f t="shared" ref="F201:J201" si="74">F202</f>
        <v>5890161</v>
      </c>
      <c r="G201" s="95">
        <f t="shared" si="74"/>
        <v>4491300</v>
      </c>
      <c r="H201" s="95">
        <f t="shared" si="74"/>
        <v>55881</v>
      </c>
      <c r="I201" s="95">
        <f t="shared" si="74"/>
        <v>0</v>
      </c>
      <c r="J201" s="95">
        <f t="shared" si="74"/>
        <v>33200</v>
      </c>
      <c r="K201" s="95">
        <f t="shared" ref="K201" si="75">K202</f>
        <v>33200</v>
      </c>
      <c r="L201" s="95">
        <f t="shared" ref="L201" si="76">L202</f>
        <v>0</v>
      </c>
      <c r="M201" s="95">
        <f t="shared" ref="M201" si="77">M202</f>
        <v>0</v>
      </c>
      <c r="N201" s="95">
        <f t="shared" ref="N201" si="78">N202</f>
        <v>0</v>
      </c>
      <c r="O201" s="95">
        <f t="shared" ref="O201:P201" si="79">O202</f>
        <v>33200</v>
      </c>
      <c r="P201" s="95">
        <f t="shared" si="79"/>
        <v>5923361</v>
      </c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  <c r="FK201" s="32"/>
      <c r="FL201" s="32"/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2"/>
      <c r="GE201" s="32"/>
      <c r="GF201" s="32"/>
      <c r="GG201" s="32"/>
      <c r="GH201" s="32"/>
      <c r="GI201" s="32"/>
      <c r="GJ201" s="32"/>
      <c r="GK201" s="32"/>
      <c r="GL201" s="32"/>
      <c r="GM201" s="32"/>
      <c r="GN201" s="32"/>
      <c r="GO201" s="32"/>
      <c r="GP201" s="32"/>
      <c r="GQ201" s="32"/>
      <c r="GR201" s="32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32"/>
      <c r="HO201" s="32"/>
      <c r="HP201" s="32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  <c r="IC201" s="32"/>
      <c r="ID201" s="32"/>
      <c r="IE201" s="32"/>
      <c r="IF201" s="32"/>
      <c r="IG201" s="32"/>
      <c r="IH201" s="32"/>
      <c r="II201" s="32"/>
      <c r="IJ201" s="32"/>
      <c r="IK201" s="32"/>
      <c r="IL201" s="32"/>
      <c r="IM201" s="32"/>
      <c r="IN201" s="32"/>
      <c r="IO201" s="32"/>
      <c r="IP201" s="32"/>
      <c r="IQ201" s="32"/>
      <c r="IR201" s="32"/>
      <c r="IS201" s="32"/>
      <c r="IT201" s="32"/>
      <c r="IU201" s="32"/>
      <c r="IV201" s="32"/>
      <c r="IW201" s="32"/>
      <c r="IX201" s="32"/>
      <c r="IY201" s="32"/>
      <c r="IZ201" s="32"/>
      <c r="JA201" s="32"/>
      <c r="JB201" s="32"/>
      <c r="JC201" s="32"/>
      <c r="JD201" s="32"/>
      <c r="JE201" s="32"/>
      <c r="JF201" s="32"/>
      <c r="JG201" s="32"/>
      <c r="JH201" s="32"/>
      <c r="JI201" s="32"/>
      <c r="JJ201" s="32"/>
      <c r="JK201" s="32"/>
      <c r="JL201" s="32"/>
      <c r="JM201" s="32"/>
      <c r="JN201" s="32"/>
      <c r="JO201" s="32"/>
      <c r="JP201" s="32"/>
      <c r="JQ201" s="32"/>
      <c r="JR201" s="32"/>
      <c r="JS201" s="32"/>
      <c r="JT201" s="32"/>
      <c r="JU201" s="32"/>
      <c r="JV201" s="32"/>
      <c r="JW201" s="32"/>
      <c r="JX201" s="32"/>
      <c r="JY201" s="32"/>
      <c r="JZ201" s="32"/>
      <c r="KA201" s="32"/>
      <c r="KB201" s="32"/>
      <c r="KC201" s="32"/>
      <c r="KD201" s="32"/>
      <c r="KE201" s="32"/>
      <c r="KF201" s="32"/>
      <c r="KG201" s="32"/>
      <c r="KH201" s="32"/>
      <c r="KI201" s="32"/>
      <c r="KJ201" s="32"/>
      <c r="KK201" s="32"/>
      <c r="KL201" s="32"/>
      <c r="KM201" s="32"/>
      <c r="KN201" s="32"/>
      <c r="KO201" s="32"/>
      <c r="KP201" s="32"/>
      <c r="KQ201" s="32"/>
      <c r="KR201" s="32"/>
      <c r="KS201" s="32"/>
      <c r="KT201" s="32"/>
      <c r="KU201" s="32"/>
      <c r="KV201" s="32"/>
      <c r="KW201" s="32"/>
      <c r="KX201" s="32"/>
      <c r="KY201" s="32"/>
      <c r="KZ201" s="32"/>
      <c r="LA201" s="32"/>
      <c r="LB201" s="32"/>
      <c r="LC201" s="32"/>
      <c r="LD201" s="32"/>
      <c r="LE201" s="32"/>
      <c r="LF201" s="32"/>
      <c r="LG201" s="32"/>
      <c r="LH201" s="32"/>
      <c r="LI201" s="32"/>
      <c r="LJ201" s="32"/>
      <c r="LK201" s="32"/>
      <c r="LL201" s="32"/>
      <c r="LM201" s="32"/>
      <c r="LN201" s="32"/>
      <c r="LO201" s="32"/>
      <c r="LP201" s="32"/>
      <c r="LQ201" s="32"/>
      <c r="LR201" s="32"/>
      <c r="LS201" s="32"/>
      <c r="LT201" s="32"/>
      <c r="LU201" s="32"/>
      <c r="LV201" s="32"/>
      <c r="LW201" s="32"/>
      <c r="LX201" s="32"/>
      <c r="LY201" s="32"/>
      <c r="LZ201" s="32"/>
      <c r="MA201" s="32"/>
      <c r="MB201" s="32"/>
      <c r="MC201" s="32"/>
      <c r="MD201" s="32"/>
      <c r="ME201" s="32"/>
      <c r="MF201" s="32"/>
      <c r="MG201" s="32"/>
      <c r="MH201" s="32"/>
      <c r="MI201" s="32"/>
      <c r="MJ201" s="32"/>
      <c r="MK201" s="32"/>
      <c r="ML201" s="32"/>
      <c r="MM201" s="32"/>
      <c r="MN201" s="32"/>
      <c r="MO201" s="32"/>
      <c r="MP201" s="32"/>
      <c r="MQ201" s="32"/>
      <c r="MR201" s="32"/>
      <c r="MS201" s="32"/>
      <c r="MT201" s="32"/>
      <c r="MU201" s="32"/>
      <c r="MV201" s="32"/>
      <c r="MW201" s="32"/>
      <c r="MX201" s="32"/>
      <c r="MY201" s="32"/>
      <c r="MZ201" s="32"/>
      <c r="NA201" s="32"/>
      <c r="NB201" s="32"/>
      <c r="NC201" s="32"/>
      <c r="ND201" s="32"/>
      <c r="NE201" s="32"/>
      <c r="NF201" s="32"/>
      <c r="NG201" s="32"/>
      <c r="NH201" s="32"/>
      <c r="NI201" s="32"/>
      <c r="NJ201" s="32"/>
      <c r="NK201" s="32"/>
      <c r="NL201" s="32"/>
      <c r="NM201" s="32"/>
      <c r="NN201" s="32"/>
      <c r="NO201" s="32"/>
      <c r="NP201" s="32"/>
      <c r="NQ201" s="32"/>
      <c r="NR201" s="32"/>
      <c r="NS201" s="32"/>
      <c r="NT201" s="32"/>
      <c r="NU201" s="32"/>
      <c r="NV201" s="32"/>
      <c r="NW201" s="32"/>
      <c r="NX201" s="32"/>
      <c r="NY201" s="32"/>
      <c r="NZ201" s="32"/>
      <c r="OA201" s="32"/>
      <c r="OB201" s="32"/>
      <c r="OC201" s="32"/>
      <c r="OD201" s="32"/>
      <c r="OE201" s="32"/>
      <c r="OF201" s="32"/>
      <c r="OG201" s="32"/>
      <c r="OH201" s="32"/>
      <c r="OI201" s="32"/>
      <c r="OJ201" s="32"/>
      <c r="OK201" s="32"/>
      <c r="OL201" s="32"/>
      <c r="OM201" s="32"/>
      <c r="ON201" s="32"/>
      <c r="OO201" s="32"/>
      <c r="OP201" s="32"/>
      <c r="OQ201" s="32"/>
      <c r="OR201" s="32"/>
      <c r="OS201" s="32"/>
      <c r="OT201" s="32"/>
      <c r="OU201" s="32"/>
      <c r="OV201" s="32"/>
      <c r="OW201" s="32"/>
      <c r="OX201" s="32"/>
      <c r="OY201" s="32"/>
      <c r="OZ201" s="32"/>
      <c r="PA201" s="32"/>
      <c r="PB201" s="32"/>
      <c r="PC201" s="32"/>
      <c r="PD201" s="32"/>
      <c r="PE201" s="32"/>
      <c r="PF201" s="32"/>
      <c r="PG201" s="32"/>
      <c r="PH201" s="32"/>
      <c r="PI201" s="32"/>
      <c r="PJ201" s="32"/>
      <c r="PK201" s="32"/>
      <c r="PL201" s="32"/>
      <c r="PM201" s="32"/>
      <c r="PN201" s="32"/>
      <c r="PO201" s="32"/>
      <c r="PP201" s="32"/>
      <c r="PQ201" s="32"/>
      <c r="PR201" s="32"/>
      <c r="PS201" s="32"/>
      <c r="PT201" s="32"/>
      <c r="PU201" s="32"/>
      <c r="PV201" s="32"/>
      <c r="PW201" s="32"/>
      <c r="PX201" s="32"/>
      <c r="PY201" s="32"/>
      <c r="PZ201" s="32"/>
      <c r="QA201" s="32"/>
      <c r="QB201" s="32"/>
      <c r="QC201" s="32"/>
      <c r="QD201" s="32"/>
      <c r="QE201" s="32"/>
      <c r="QF201" s="32"/>
      <c r="QG201" s="32"/>
      <c r="QH201" s="32"/>
      <c r="QI201" s="32"/>
      <c r="QJ201" s="32"/>
      <c r="QK201" s="32"/>
      <c r="QL201" s="32"/>
      <c r="QM201" s="32"/>
      <c r="QN201" s="32"/>
      <c r="QO201" s="32"/>
      <c r="QP201" s="32"/>
      <c r="QQ201" s="32"/>
      <c r="QR201" s="32"/>
      <c r="QS201" s="32"/>
      <c r="QT201" s="32"/>
      <c r="QU201" s="32"/>
      <c r="QV201" s="32"/>
      <c r="QW201" s="32"/>
      <c r="QX201" s="32"/>
      <c r="QY201" s="32"/>
      <c r="QZ201" s="32"/>
      <c r="RA201" s="32"/>
      <c r="RB201" s="32"/>
      <c r="RC201" s="32"/>
      <c r="RD201" s="32"/>
      <c r="RE201" s="32"/>
      <c r="RF201" s="32"/>
      <c r="RG201" s="32"/>
      <c r="RH201" s="32"/>
      <c r="RI201" s="32"/>
      <c r="RJ201" s="32"/>
      <c r="RK201" s="32"/>
      <c r="RL201" s="32"/>
      <c r="RM201" s="32"/>
      <c r="RN201" s="32"/>
      <c r="RO201" s="32"/>
      <c r="RP201" s="32"/>
      <c r="RQ201" s="32"/>
      <c r="RR201" s="32"/>
      <c r="RS201" s="32"/>
      <c r="RT201" s="32"/>
      <c r="RU201" s="32"/>
      <c r="RV201" s="32"/>
      <c r="RW201" s="32"/>
      <c r="RX201" s="32"/>
      <c r="RY201" s="32"/>
      <c r="RZ201" s="32"/>
      <c r="SA201" s="32"/>
      <c r="SB201" s="32"/>
      <c r="SC201" s="32"/>
      <c r="SD201" s="32"/>
      <c r="SE201" s="32"/>
      <c r="SF201" s="32"/>
      <c r="SG201" s="32"/>
      <c r="SH201" s="32"/>
      <c r="SI201" s="32"/>
      <c r="SJ201" s="32"/>
      <c r="SK201" s="32"/>
      <c r="SL201" s="32"/>
      <c r="SM201" s="32"/>
      <c r="SN201" s="32"/>
      <c r="SO201" s="32"/>
      <c r="SP201" s="32"/>
      <c r="SQ201" s="32"/>
      <c r="SR201" s="32"/>
      <c r="SS201" s="32"/>
      <c r="ST201" s="32"/>
      <c r="SU201" s="32"/>
      <c r="SV201" s="32"/>
      <c r="SW201" s="32"/>
      <c r="SX201" s="32"/>
      <c r="SY201" s="32"/>
      <c r="SZ201" s="32"/>
      <c r="TA201" s="32"/>
      <c r="TB201" s="32"/>
      <c r="TC201" s="32"/>
      <c r="TD201" s="32"/>
      <c r="TE201" s="32"/>
      <c r="TF201" s="32"/>
      <c r="TG201" s="32"/>
    </row>
    <row r="202" spans="1:527" s="34" customFormat="1" ht="31.5" x14ac:dyDescent="0.25">
      <c r="A202" s="108" t="s">
        <v>189</v>
      </c>
      <c r="B202" s="74"/>
      <c r="C202" s="74"/>
      <c r="D202" s="77" t="s">
        <v>363</v>
      </c>
      <c r="E202" s="98">
        <f>E204+E205+E206+E207</f>
        <v>5890161</v>
      </c>
      <c r="F202" s="98">
        <f t="shared" ref="F202:P202" si="80">F204+F205+F206+F207</f>
        <v>5890161</v>
      </c>
      <c r="G202" s="98">
        <f t="shared" si="80"/>
        <v>4491300</v>
      </c>
      <c r="H202" s="98">
        <f t="shared" si="80"/>
        <v>55881</v>
      </c>
      <c r="I202" s="98">
        <f t="shared" si="80"/>
        <v>0</v>
      </c>
      <c r="J202" s="98">
        <f t="shared" si="80"/>
        <v>33200</v>
      </c>
      <c r="K202" s="98">
        <f>K204+K205+K206+K207</f>
        <v>33200</v>
      </c>
      <c r="L202" s="98">
        <f t="shared" si="80"/>
        <v>0</v>
      </c>
      <c r="M202" s="98">
        <f t="shared" si="80"/>
        <v>0</v>
      </c>
      <c r="N202" s="98">
        <f t="shared" si="80"/>
        <v>0</v>
      </c>
      <c r="O202" s="98">
        <f t="shared" si="80"/>
        <v>33200</v>
      </c>
      <c r="P202" s="98">
        <f t="shared" si="80"/>
        <v>5923361</v>
      </c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  <c r="IB202" s="33"/>
      <c r="IC202" s="33"/>
      <c r="ID202" s="33"/>
      <c r="IE202" s="33"/>
      <c r="IF202" s="33"/>
      <c r="IG202" s="33"/>
      <c r="IH202" s="33"/>
      <c r="II202" s="33"/>
      <c r="IJ202" s="33"/>
      <c r="IK202" s="33"/>
      <c r="IL202" s="33"/>
      <c r="IM202" s="33"/>
      <c r="IN202" s="33"/>
      <c r="IO202" s="33"/>
      <c r="IP202" s="33"/>
      <c r="IQ202" s="33"/>
      <c r="IR202" s="33"/>
      <c r="IS202" s="33"/>
      <c r="IT202" s="33"/>
      <c r="IU202" s="33"/>
      <c r="IV202" s="33"/>
      <c r="IW202" s="33"/>
      <c r="IX202" s="33"/>
      <c r="IY202" s="33"/>
      <c r="IZ202" s="33"/>
      <c r="JA202" s="33"/>
      <c r="JB202" s="33"/>
      <c r="JC202" s="33"/>
      <c r="JD202" s="33"/>
      <c r="JE202" s="33"/>
      <c r="JF202" s="33"/>
      <c r="JG202" s="33"/>
      <c r="JH202" s="33"/>
      <c r="JI202" s="33"/>
      <c r="JJ202" s="33"/>
      <c r="JK202" s="33"/>
      <c r="JL202" s="33"/>
      <c r="JM202" s="33"/>
      <c r="JN202" s="33"/>
      <c r="JO202" s="33"/>
      <c r="JP202" s="33"/>
      <c r="JQ202" s="33"/>
      <c r="JR202" s="33"/>
      <c r="JS202" s="33"/>
      <c r="JT202" s="33"/>
      <c r="JU202" s="33"/>
      <c r="JV202" s="33"/>
      <c r="JW202" s="33"/>
      <c r="JX202" s="33"/>
      <c r="JY202" s="33"/>
      <c r="JZ202" s="33"/>
      <c r="KA202" s="33"/>
      <c r="KB202" s="33"/>
      <c r="KC202" s="33"/>
      <c r="KD202" s="33"/>
      <c r="KE202" s="33"/>
      <c r="KF202" s="33"/>
      <c r="KG202" s="33"/>
      <c r="KH202" s="33"/>
      <c r="KI202" s="33"/>
      <c r="KJ202" s="33"/>
      <c r="KK202" s="33"/>
      <c r="KL202" s="33"/>
      <c r="KM202" s="33"/>
      <c r="KN202" s="33"/>
      <c r="KO202" s="33"/>
      <c r="KP202" s="33"/>
      <c r="KQ202" s="33"/>
      <c r="KR202" s="33"/>
      <c r="KS202" s="33"/>
      <c r="KT202" s="33"/>
      <c r="KU202" s="33"/>
      <c r="KV202" s="33"/>
      <c r="KW202" s="33"/>
      <c r="KX202" s="33"/>
      <c r="KY202" s="33"/>
      <c r="KZ202" s="33"/>
      <c r="LA202" s="33"/>
      <c r="LB202" s="33"/>
      <c r="LC202" s="33"/>
      <c r="LD202" s="33"/>
      <c r="LE202" s="33"/>
      <c r="LF202" s="33"/>
      <c r="LG202" s="33"/>
      <c r="LH202" s="33"/>
      <c r="LI202" s="33"/>
      <c r="LJ202" s="33"/>
      <c r="LK202" s="33"/>
      <c r="LL202" s="33"/>
      <c r="LM202" s="33"/>
      <c r="LN202" s="33"/>
      <c r="LO202" s="33"/>
      <c r="LP202" s="33"/>
      <c r="LQ202" s="33"/>
      <c r="LR202" s="33"/>
      <c r="LS202" s="33"/>
      <c r="LT202" s="33"/>
      <c r="LU202" s="33"/>
      <c r="LV202" s="33"/>
      <c r="LW202" s="33"/>
      <c r="LX202" s="33"/>
      <c r="LY202" s="33"/>
      <c r="LZ202" s="33"/>
      <c r="MA202" s="33"/>
      <c r="MB202" s="33"/>
      <c r="MC202" s="33"/>
      <c r="MD202" s="33"/>
      <c r="ME202" s="33"/>
      <c r="MF202" s="33"/>
      <c r="MG202" s="33"/>
      <c r="MH202" s="33"/>
      <c r="MI202" s="33"/>
      <c r="MJ202" s="33"/>
      <c r="MK202" s="33"/>
      <c r="ML202" s="33"/>
      <c r="MM202" s="33"/>
      <c r="MN202" s="33"/>
      <c r="MO202" s="33"/>
      <c r="MP202" s="33"/>
      <c r="MQ202" s="33"/>
      <c r="MR202" s="33"/>
      <c r="MS202" s="33"/>
      <c r="MT202" s="33"/>
      <c r="MU202" s="33"/>
      <c r="MV202" s="33"/>
      <c r="MW202" s="33"/>
      <c r="MX202" s="33"/>
      <c r="MY202" s="33"/>
      <c r="MZ202" s="33"/>
      <c r="NA202" s="33"/>
      <c r="NB202" s="33"/>
      <c r="NC202" s="33"/>
      <c r="ND202" s="33"/>
      <c r="NE202" s="33"/>
      <c r="NF202" s="33"/>
      <c r="NG202" s="33"/>
      <c r="NH202" s="33"/>
      <c r="NI202" s="33"/>
      <c r="NJ202" s="33"/>
      <c r="NK202" s="33"/>
      <c r="NL202" s="33"/>
      <c r="NM202" s="33"/>
      <c r="NN202" s="33"/>
      <c r="NO202" s="33"/>
      <c r="NP202" s="33"/>
      <c r="NQ202" s="33"/>
      <c r="NR202" s="33"/>
      <c r="NS202" s="33"/>
      <c r="NT202" s="33"/>
      <c r="NU202" s="33"/>
      <c r="NV202" s="33"/>
      <c r="NW202" s="33"/>
      <c r="NX202" s="33"/>
      <c r="NY202" s="33"/>
      <c r="NZ202" s="33"/>
      <c r="OA202" s="33"/>
      <c r="OB202" s="33"/>
      <c r="OC202" s="33"/>
      <c r="OD202" s="33"/>
      <c r="OE202" s="33"/>
      <c r="OF202" s="33"/>
      <c r="OG202" s="33"/>
      <c r="OH202" s="33"/>
      <c r="OI202" s="33"/>
      <c r="OJ202" s="33"/>
      <c r="OK202" s="33"/>
      <c r="OL202" s="33"/>
      <c r="OM202" s="33"/>
      <c r="ON202" s="33"/>
      <c r="OO202" s="33"/>
      <c r="OP202" s="33"/>
      <c r="OQ202" s="33"/>
      <c r="OR202" s="33"/>
      <c r="OS202" s="33"/>
      <c r="OT202" s="33"/>
      <c r="OU202" s="33"/>
      <c r="OV202" s="33"/>
      <c r="OW202" s="33"/>
      <c r="OX202" s="33"/>
      <c r="OY202" s="33"/>
      <c r="OZ202" s="33"/>
      <c r="PA202" s="33"/>
      <c r="PB202" s="33"/>
      <c r="PC202" s="33"/>
      <c r="PD202" s="33"/>
      <c r="PE202" s="33"/>
      <c r="PF202" s="33"/>
      <c r="PG202" s="33"/>
      <c r="PH202" s="33"/>
      <c r="PI202" s="33"/>
      <c r="PJ202" s="33"/>
      <c r="PK202" s="33"/>
      <c r="PL202" s="33"/>
      <c r="PM202" s="33"/>
      <c r="PN202" s="33"/>
      <c r="PO202" s="33"/>
      <c r="PP202" s="33"/>
      <c r="PQ202" s="33"/>
      <c r="PR202" s="33"/>
      <c r="PS202" s="33"/>
      <c r="PT202" s="33"/>
      <c r="PU202" s="33"/>
      <c r="PV202" s="33"/>
      <c r="PW202" s="33"/>
      <c r="PX202" s="33"/>
      <c r="PY202" s="33"/>
      <c r="PZ202" s="33"/>
      <c r="QA202" s="33"/>
      <c r="QB202" s="33"/>
      <c r="QC202" s="33"/>
      <c r="QD202" s="33"/>
      <c r="QE202" s="33"/>
      <c r="QF202" s="33"/>
      <c r="QG202" s="33"/>
      <c r="QH202" s="33"/>
      <c r="QI202" s="33"/>
      <c r="QJ202" s="33"/>
      <c r="QK202" s="33"/>
      <c r="QL202" s="33"/>
      <c r="QM202" s="33"/>
      <c r="QN202" s="33"/>
      <c r="QO202" s="33"/>
      <c r="QP202" s="33"/>
      <c r="QQ202" s="33"/>
      <c r="QR202" s="33"/>
      <c r="QS202" s="33"/>
      <c r="QT202" s="33"/>
      <c r="QU202" s="33"/>
      <c r="QV202" s="33"/>
      <c r="QW202" s="33"/>
      <c r="QX202" s="33"/>
      <c r="QY202" s="33"/>
      <c r="QZ202" s="33"/>
      <c r="RA202" s="33"/>
      <c r="RB202" s="33"/>
      <c r="RC202" s="33"/>
      <c r="RD202" s="33"/>
      <c r="RE202" s="33"/>
      <c r="RF202" s="33"/>
      <c r="RG202" s="33"/>
      <c r="RH202" s="33"/>
      <c r="RI202" s="33"/>
      <c r="RJ202" s="33"/>
      <c r="RK202" s="33"/>
      <c r="RL202" s="33"/>
      <c r="RM202" s="33"/>
      <c r="RN202" s="33"/>
      <c r="RO202" s="33"/>
      <c r="RP202" s="33"/>
      <c r="RQ202" s="33"/>
      <c r="RR202" s="33"/>
      <c r="RS202" s="33"/>
      <c r="RT202" s="33"/>
      <c r="RU202" s="33"/>
      <c r="RV202" s="33"/>
      <c r="RW202" s="33"/>
      <c r="RX202" s="33"/>
      <c r="RY202" s="33"/>
      <c r="RZ202" s="33"/>
      <c r="SA202" s="33"/>
      <c r="SB202" s="33"/>
      <c r="SC202" s="33"/>
      <c r="SD202" s="33"/>
      <c r="SE202" s="33"/>
      <c r="SF202" s="33"/>
      <c r="SG202" s="33"/>
      <c r="SH202" s="33"/>
      <c r="SI202" s="33"/>
      <c r="SJ202" s="33"/>
      <c r="SK202" s="33"/>
      <c r="SL202" s="33"/>
      <c r="SM202" s="33"/>
      <c r="SN202" s="33"/>
      <c r="SO202" s="33"/>
      <c r="SP202" s="33"/>
      <c r="SQ202" s="33"/>
      <c r="SR202" s="33"/>
      <c r="SS202" s="33"/>
      <c r="ST202" s="33"/>
      <c r="SU202" s="33"/>
      <c r="SV202" s="33"/>
      <c r="SW202" s="33"/>
      <c r="SX202" s="33"/>
      <c r="SY202" s="33"/>
      <c r="SZ202" s="33"/>
      <c r="TA202" s="33"/>
      <c r="TB202" s="33"/>
      <c r="TC202" s="33"/>
      <c r="TD202" s="33"/>
      <c r="TE202" s="33"/>
      <c r="TF202" s="33"/>
      <c r="TG202" s="33"/>
    </row>
    <row r="203" spans="1:527" s="34" customFormat="1" ht="120" hidden="1" customHeight="1" x14ac:dyDescent="0.25">
      <c r="A203" s="108"/>
      <c r="B203" s="74"/>
      <c r="C203" s="74"/>
      <c r="D203" s="77" t="s">
        <v>445</v>
      </c>
      <c r="E203" s="98">
        <f>E208</f>
        <v>0</v>
      </c>
      <c r="F203" s="98">
        <f t="shared" ref="F203:P203" si="81">F208</f>
        <v>0</v>
      </c>
      <c r="G203" s="98">
        <f t="shared" si="81"/>
        <v>0</v>
      </c>
      <c r="H203" s="98">
        <f t="shared" si="81"/>
        <v>0</v>
      </c>
      <c r="I203" s="98">
        <f t="shared" si="81"/>
        <v>0</v>
      </c>
      <c r="J203" s="98">
        <f t="shared" si="81"/>
        <v>0</v>
      </c>
      <c r="K203" s="98">
        <f t="shared" si="81"/>
        <v>0</v>
      </c>
      <c r="L203" s="98">
        <f t="shared" si="81"/>
        <v>0</v>
      </c>
      <c r="M203" s="98">
        <f t="shared" si="81"/>
        <v>0</v>
      </c>
      <c r="N203" s="98">
        <f t="shared" si="81"/>
        <v>0</v>
      </c>
      <c r="O203" s="98">
        <f t="shared" si="81"/>
        <v>0</v>
      </c>
      <c r="P203" s="98">
        <f t="shared" si="81"/>
        <v>0</v>
      </c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  <c r="IU203" s="33"/>
      <c r="IV203" s="33"/>
      <c r="IW203" s="33"/>
      <c r="IX203" s="33"/>
      <c r="IY203" s="33"/>
      <c r="IZ203" s="33"/>
      <c r="JA203" s="33"/>
      <c r="JB203" s="33"/>
      <c r="JC203" s="33"/>
      <c r="JD203" s="33"/>
      <c r="JE203" s="33"/>
      <c r="JF203" s="33"/>
      <c r="JG203" s="33"/>
      <c r="JH203" s="33"/>
      <c r="JI203" s="33"/>
      <c r="JJ203" s="33"/>
      <c r="JK203" s="33"/>
      <c r="JL203" s="33"/>
      <c r="JM203" s="33"/>
      <c r="JN203" s="33"/>
      <c r="JO203" s="33"/>
      <c r="JP203" s="33"/>
      <c r="JQ203" s="33"/>
      <c r="JR203" s="33"/>
      <c r="JS203" s="33"/>
      <c r="JT203" s="33"/>
      <c r="JU203" s="33"/>
      <c r="JV203" s="33"/>
      <c r="JW203" s="33"/>
      <c r="JX203" s="33"/>
      <c r="JY203" s="33"/>
      <c r="JZ203" s="33"/>
      <c r="KA203" s="33"/>
      <c r="KB203" s="33"/>
      <c r="KC203" s="33"/>
      <c r="KD203" s="33"/>
      <c r="KE203" s="33"/>
      <c r="KF203" s="33"/>
      <c r="KG203" s="33"/>
      <c r="KH203" s="33"/>
      <c r="KI203" s="33"/>
      <c r="KJ203" s="33"/>
      <c r="KK203" s="33"/>
      <c r="KL203" s="33"/>
      <c r="KM203" s="33"/>
      <c r="KN203" s="33"/>
      <c r="KO203" s="33"/>
      <c r="KP203" s="33"/>
      <c r="KQ203" s="33"/>
      <c r="KR203" s="33"/>
      <c r="KS203" s="33"/>
      <c r="KT203" s="33"/>
      <c r="KU203" s="33"/>
      <c r="KV203" s="33"/>
      <c r="KW203" s="33"/>
      <c r="KX203" s="33"/>
      <c r="KY203" s="33"/>
      <c r="KZ203" s="33"/>
      <c r="LA203" s="33"/>
      <c r="LB203" s="33"/>
      <c r="LC203" s="33"/>
      <c r="LD203" s="33"/>
      <c r="LE203" s="33"/>
      <c r="LF203" s="33"/>
      <c r="LG203" s="33"/>
      <c r="LH203" s="33"/>
      <c r="LI203" s="33"/>
      <c r="LJ203" s="33"/>
      <c r="LK203" s="33"/>
      <c r="LL203" s="33"/>
      <c r="LM203" s="33"/>
      <c r="LN203" s="33"/>
      <c r="LO203" s="33"/>
      <c r="LP203" s="33"/>
      <c r="LQ203" s="33"/>
      <c r="LR203" s="33"/>
      <c r="LS203" s="33"/>
      <c r="LT203" s="33"/>
      <c r="LU203" s="33"/>
      <c r="LV203" s="33"/>
      <c r="LW203" s="33"/>
      <c r="LX203" s="33"/>
      <c r="LY203" s="33"/>
      <c r="LZ203" s="33"/>
      <c r="MA203" s="33"/>
      <c r="MB203" s="33"/>
      <c r="MC203" s="33"/>
      <c r="MD203" s="33"/>
      <c r="ME203" s="33"/>
      <c r="MF203" s="33"/>
      <c r="MG203" s="33"/>
      <c r="MH203" s="33"/>
      <c r="MI203" s="33"/>
      <c r="MJ203" s="33"/>
      <c r="MK203" s="33"/>
      <c r="ML203" s="33"/>
      <c r="MM203" s="33"/>
      <c r="MN203" s="33"/>
      <c r="MO203" s="33"/>
      <c r="MP203" s="33"/>
      <c r="MQ203" s="33"/>
      <c r="MR203" s="33"/>
      <c r="MS203" s="33"/>
      <c r="MT203" s="33"/>
      <c r="MU203" s="33"/>
      <c r="MV203" s="33"/>
      <c r="MW203" s="33"/>
      <c r="MX203" s="33"/>
      <c r="MY203" s="33"/>
      <c r="MZ203" s="33"/>
      <c r="NA203" s="33"/>
      <c r="NB203" s="33"/>
      <c r="NC203" s="33"/>
      <c r="ND203" s="33"/>
      <c r="NE203" s="33"/>
      <c r="NF203" s="33"/>
      <c r="NG203" s="33"/>
      <c r="NH203" s="33"/>
      <c r="NI203" s="33"/>
      <c r="NJ203" s="33"/>
      <c r="NK203" s="33"/>
      <c r="NL203" s="33"/>
      <c r="NM203" s="33"/>
      <c r="NN203" s="33"/>
      <c r="NO203" s="33"/>
      <c r="NP203" s="33"/>
      <c r="NQ203" s="33"/>
      <c r="NR203" s="33"/>
      <c r="NS203" s="33"/>
      <c r="NT203" s="33"/>
      <c r="NU203" s="33"/>
      <c r="NV203" s="33"/>
      <c r="NW203" s="33"/>
      <c r="NX203" s="33"/>
      <c r="NY203" s="33"/>
      <c r="NZ203" s="33"/>
      <c r="OA203" s="33"/>
      <c r="OB203" s="33"/>
      <c r="OC203" s="33"/>
      <c r="OD203" s="33"/>
      <c r="OE203" s="33"/>
      <c r="OF203" s="33"/>
      <c r="OG203" s="33"/>
      <c r="OH203" s="33"/>
      <c r="OI203" s="33"/>
      <c r="OJ203" s="33"/>
      <c r="OK203" s="33"/>
      <c r="OL203" s="33"/>
      <c r="OM203" s="33"/>
      <c r="ON203" s="33"/>
      <c r="OO203" s="33"/>
      <c r="OP203" s="33"/>
      <c r="OQ203" s="33"/>
      <c r="OR203" s="33"/>
      <c r="OS203" s="33"/>
      <c r="OT203" s="33"/>
      <c r="OU203" s="33"/>
      <c r="OV203" s="33"/>
      <c r="OW203" s="33"/>
      <c r="OX203" s="33"/>
      <c r="OY203" s="33"/>
      <c r="OZ203" s="33"/>
      <c r="PA203" s="33"/>
      <c r="PB203" s="33"/>
      <c r="PC203" s="33"/>
      <c r="PD203" s="33"/>
      <c r="PE203" s="33"/>
      <c r="PF203" s="33"/>
      <c r="PG203" s="33"/>
      <c r="PH203" s="33"/>
      <c r="PI203" s="33"/>
      <c r="PJ203" s="33"/>
      <c r="PK203" s="33"/>
      <c r="PL203" s="33"/>
      <c r="PM203" s="33"/>
      <c r="PN203" s="33"/>
      <c r="PO203" s="33"/>
      <c r="PP203" s="33"/>
      <c r="PQ203" s="33"/>
      <c r="PR203" s="33"/>
      <c r="PS203" s="33"/>
      <c r="PT203" s="33"/>
      <c r="PU203" s="33"/>
      <c r="PV203" s="33"/>
      <c r="PW203" s="33"/>
      <c r="PX203" s="33"/>
      <c r="PY203" s="33"/>
      <c r="PZ203" s="33"/>
      <c r="QA203" s="33"/>
      <c r="QB203" s="33"/>
      <c r="QC203" s="33"/>
      <c r="QD203" s="33"/>
      <c r="QE203" s="33"/>
      <c r="QF203" s="33"/>
      <c r="QG203" s="33"/>
      <c r="QH203" s="33"/>
      <c r="QI203" s="33"/>
      <c r="QJ203" s="33"/>
      <c r="QK203" s="33"/>
      <c r="QL203" s="33"/>
      <c r="QM203" s="33"/>
      <c r="QN203" s="33"/>
      <c r="QO203" s="33"/>
      <c r="QP203" s="33"/>
      <c r="QQ203" s="33"/>
      <c r="QR203" s="33"/>
      <c r="QS203" s="33"/>
      <c r="QT203" s="33"/>
      <c r="QU203" s="33"/>
      <c r="QV203" s="33"/>
      <c r="QW203" s="33"/>
      <c r="QX203" s="33"/>
      <c r="QY203" s="33"/>
      <c r="QZ203" s="33"/>
      <c r="RA203" s="33"/>
      <c r="RB203" s="33"/>
      <c r="RC203" s="33"/>
      <c r="RD203" s="33"/>
      <c r="RE203" s="33"/>
      <c r="RF203" s="33"/>
      <c r="RG203" s="33"/>
      <c r="RH203" s="33"/>
      <c r="RI203" s="33"/>
      <c r="RJ203" s="33"/>
      <c r="RK203" s="33"/>
      <c r="RL203" s="33"/>
      <c r="RM203" s="33"/>
      <c r="RN203" s="33"/>
      <c r="RO203" s="33"/>
      <c r="RP203" s="33"/>
      <c r="RQ203" s="33"/>
      <c r="RR203" s="33"/>
      <c r="RS203" s="33"/>
      <c r="RT203" s="33"/>
      <c r="RU203" s="33"/>
      <c r="RV203" s="33"/>
      <c r="RW203" s="33"/>
      <c r="RX203" s="33"/>
      <c r="RY203" s="33"/>
      <c r="RZ203" s="33"/>
      <c r="SA203" s="33"/>
      <c r="SB203" s="33"/>
      <c r="SC203" s="33"/>
      <c r="SD203" s="33"/>
      <c r="SE203" s="33"/>
      <c r="SF203" s="33"/>
      <c r="SG203" s="33"/>
      <c r="SH203" s="33"/>
      <c r="SI203" s="33"/>
      <c r="SJ203" s="33"/>
      <c r="SK203" s="33"/>
      <c r="SL203" s="33"/>
      <c r="SM203" s="33"/>
      <c r="SN203" s="33"/>
      <c r="SO203" s="33"/>
      <c r="SP203" s="33"/>
      <c r="SQ203" s="33"/>
      <c r="SR203" s="33"/>
      <c r="SS203" s="33"/>
      <c r="ST203" s="33"/>
      <c r="SU203" s="33"/>
      <c r="SV203" s="33"/>
      <c r="SW203" s="33"/>
      <c r="SX203" s="33"/>
      <c r="SY203" s="33"/>
      <c r="SZ203" s="33"/>
      <c r="TA203" s="33"/>
      <c r="TB203" s="33"/>
      <c r="TC203" s="33"/>
      <c r="TD203" s="33"/>
      <c r="TE203" s="33"/>
      <c r="TF203" s="33"/>
      <c r="TG203" s="33"/>
    </row>
    <row r="204" spans="1:527" s="22" customFormat="1" ht="47.25" x14ac:dyDescent="0.25">
      <c r="A204" s="59" t="s">
        <v>190</v>
      </c>
      <c r="B204" s="93" t="str">
        <f>'дод 8'!A19</f>
        <v>0160</v>
      </c>
      <c r="C204" s="93" t="str">
        <f>'дод 8'!B19</f>
        <v>0111</v>
      </c>
      <c r="D204" s="36" t="s">
        <v>494</v>
      </c>
      <c r="E204" s="99">
        <f>F204+I204</f>
        <v>5705981</v>
      </c>
      <c r="F204" s="99">
        <f>5689700+12000+4281</f>
        <v>5705981</v>
      </c>
      <c r="G204" s="99">
        <v>4491300</v>
      </c>
      <c r="H204" s="99">
        <f>51600+4281</f>
        <v>55881</v>
      </c>
      <c r="I204" s="99"/>
      <c r="J204" s="99">
        <f>L204+O204</f>
        <v>0</v>
      </c>
      <c r="K204" s="99">
        <f>12000-12000</f>
        <v>0</v>
      </c>
      <c r="L204" s="99"/>
      <c r="M204" s="99"/>
      <c r="N204" s="99"/>
      <c r="O204" s="99">
        <f>12000-12000</f>
        <v>0</v>
      </c>
      <c r="P204" s="99">
        <f>E204+J204</f>
        <v>5705981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</row>
    <row r="205" spans="1:527" s="22" customFormat="1" ht="63" x14ac:dyDescent="0.25">
      <c r="A205" s="59" t="s">
        <v>334</v>
      </c>
      <c r="B205" s="93">
        <v>3111</v>
      </c>
      <c r="C205" s="93">
        <v>1040</v>
      </c>
      <c r="D205" s="36" t="str">
        <f>'дод 8'!C117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05" s="99">
        <f>F205+I205</f>
        <v>91140</v>
      </c>
      <c r="F205" s="99">
        <f>50000+21140+20000</f>
        <v>91140</v>
      </c>
      <c r="G205" s="99"/>
      <c r="H205" s="99"/>
      <c r="I205" s="99"/>
      <c r="J205" s="99">
        <f t="shared" ref="J205:J208" si="82">L205+O205</f>
        <v>0</v>
      </c>
      <c r="K205" s="99">
        <f>21140-21140</f>
        <v>0</v>
      </c>
      <c r="L205" s="99"/>
      <c r="M205" s="99"/>
      <c r="N205" s="99"/>
      <c r="O205" s="99">
        <f>21140-21140</f>
        <v>0</v>
      </c>
      <c r="P205" s="99">
        <f>E205+J205</f>
        <v>91140</v>
      </c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  <c r="TF205" s="23"/>
      <c r="TG205" s="23"/>
    </row>
    <row r="206" spans="1:527" s="22" customFormat="1" ht="31.5" customHeight="1" x14ac:dyDescent="0.25">
      <c r="A206" s="59" t="s">
        <v>191</v>
      </c>
      <c r="B206" s="93" t="str">
        <f>'дод 8'!A118</f>
        <v>3112</v>
      </c>
      <c r="C206" s="93" t="str">
        <f>'дод 8'!B118</f>
        <v>1040</v>
      </c>
      <c r="D206" s="60" t="str">
        <f>'дод 8'!C118</f>
        <v>Заходи державної політики з питань дітей та їх соціального захисту</v>
      </c>
      <c r="E206" s="99">
        <f>F206+I206</f>
        <v>93040</v>
      </c>
      <c r="F206" s="99">
        <f>96240-3200</f>
        <v>93040</v>
      </c>
      <c r="G206" s="99"/>
      <c r="H206" s="99"/>
      <c r="I206" s="99"/>
      <c r="J206" s="99">
        <f t="shared" si="82"/>
        <v>0</v>
      </c>
      <c r="K206" s="99"/>
      <c r="L206" s="99"/>
      <c r="M206" s="99"/>
      <c r="N206" s="99"/>
      <c r="O206" s="99"/>
      <c r="P206" s="99">
        <f>E206+J206</f>
        <v>93040</v>
      </c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</row>
    <row r="207" spans="1:527" s="22" customFormat="1" ht="94.5" x14ac:dyDescent="0.25">
      <c r="A207" s="59" t="s">
        <v>437</v>
      </c>
      <c r="B207" s="93">
        <v>6083</v>
      </c>
      <c r="C207" s="59" t="s">
        <v>68</v>
      </c>
      <c r="D207" s="11" t="s">
        <v>438</v>
      </c>
      <c r="E207" s="99">
        <f>F207+I207</f>
        <v>0</v>
      </c>
      <c r="F207" s="99"/>
      <c r="G207" s="99"/>
      <c r="H207" s="99"/>
      <c r="I207" s="99"/>
      <c r="J207" s="99">
        <f t="shared" si="82"/>
        <v>33200</v>
      </c>
      <c r="K207" s="99">
        <f>30000+3200</f>
        <v>33200</v>
      </c>
      <c r="L207" s="99"/>
      <c r="M207" s="99"/>
      <c r="N207" s="99"/>
      <c r="O207" s="99">
        <f>30000+3200</f>
        <v>33200</v>
      </c>
      <c r="P207" s="99">
        <f>E207+J207</f>
        <v>33200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</row>
    <row r="208" spans="1:527" s="24" customFormat="1" ht="126" hidden="1" x14ac:dyDescent="0.25">
      <c r="A208" s="84"/>
      <c r="B208" s="111"/>
      <c r="C208" s="84"/>
      <c r="D208" s="90" t="s">
        <v>445</v>
      </c>
      <c r="E208" s="99">
        <f>F208+I208</f>
        <v>0</v>
      </c>
      <c r="F208" s="101"/>
      <c r="G208" s="101"/>
      <c r="H208" s="101"/>
      <c r="I208" s="101"/>
      <c r="J208" s="99">
        <f t="shared" si="82"/>
        <v>0</v>
      </c>
      <c r="K208" s="101"/>
      <c r="L208" s="101"/>
      <c r="M208" s="101"/>
      <c r="N208" s="101"/>
      <c r="O208" s="101"/>
      <c r="P208" s="99">
        <f>E208+J208</f>
        <v>0</v>
      </c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  <c r="IG208" s="30"/>
      <c r="IH208" s="30"/>
      <c r="II208" s="30"/>
      <c r="IJ208" s="30"/>
      <c r="IK208" s="30"/>
      <c r="IL208" s="30"/>
      <c r="IM208" s="30"/>
      <c r="IN208" s="30"/>
      <c r="IO208" s="30"/>
      <c r="IP208" s="30"/>
      <c r="IQ208" s="30"/>
      <c r="IR208" s="30"/>
      <c r="IS208" s="30"/>
      <c r="IT208" s="30"/>
      <c r="IU208" s="30"/>
      <c r="IV208" s="30"/>
      <c r="IW208" s="30"/>
      <c r="IX208" s="30"/>
      <c r="IY208" s="30"/>
      <c r="IZ208" s="30"/>
      <c r="JA208" s="30"/>
      <c r="JB208" s="30"/>
      <c r="JC208" s="30"/>
      <c r="JD208" s="30"/>
      <c r="JE208" s="30"/>
      <c r="JF208" s="30"/>
      <c r="JG208" s="30"/>
      <c r="JH208" s="30"/>
      <c r="JI208" s="30"/>
      <c r="JJ208" s="30"/>
      <c r="JK208" s="30"/>
      <c r="JL208" s="30"/>
      <c r="JM208" s="30"/>
      <c r="JN208" s="30"/>
      <c r="JO208" s="30"/>
      <c r="JP208" s="30"/>
      <c r="JQ208" s="30"/>
      <c r="JR208" s="30"/>
      <c r="JS208" s="30"/>
      <c r="JT208" s="30"/>
      <c r="JU208" s="30"/>
      <c r="JV208" s="30"/>
      <c r="JW208" s="30"/>
      <c r="JX208" s="30"/>
      <c r="JY208" s="30"/>
      <c r="JZ208" s="30"/>
      <c r="KA208" s="30"/>
      <c r="KB208" s="30"/>
      <c r="KC208" s="30"/>
      <c r="KD208" s="30"/>
      <c r="KE208" s="30"/>
      <c r="KF208" s="30"/>
      <c r="KG208" s="30"/>
      <c r="KH208" s="30"/>
      <c r="KI208" s="30"/>
      <c r="KJ208" s="30"/>
      <c r="KK208" s="30"/>
      <c r="KL208" s="30"/>
      <c r="KM208" s="30"/>
      <c r="KN208" s="30"/>
      <c r="KO208" s="30"/>
      <c r="KP208" s="30"/>
      <c r="KQ208" s="30"/>
      <c r="KR208" s="30"/>
      <c r="KS208" s="30"/>
      <c r="KT208" s="30"/>
      <c r="KU208" s="30"/>
      <c r="KV208" s="30"/>
      <c r="KW208" s="30"/>
      <c r="KX208" s="30"/>
      <c r="KY208" s="30"/>
      <c r="KZ208" s="30"/>
      <c r="LA208" s="30"/>
      <c r="LB208" s="30"/>
      <c r="LC208" s="30"/>
      <c r="LD208" s="30"/>
      <c r="LE208" s="30"/>
      <c r="LF208" s="30"/>
      <c r="LG208" s="30"/>
      <c r="LH208" s="30"/>
      <c r="LI208" s="30"/>
      <c r="LJ208" s="30"/>
      <c r="LK208" s="30"/>
      <c r="LL208" s="30"/>
      <c r="LM208" s="30"/>
      <c r="LN208" s="30"/>
      <c r="LO208" s="30"/>
      <c r="LP208" s="30"/>
      <c r="LQ208" s="30"/>
      <c r="LR208" s="30"/>
      <c r="LS208" s="30"/>
      <c r="LT208" s="30"/>
      <c r="LU208" s="30"/>
      <c r="LV208" s="30"/>
      <c r="LW208" s="30"/>
      <c r="LX208" s="30"/>
      <c r="LY208" s="30"/>
      <c r="LZ208" s="30"/>
      <c r="MA208" s="30"/>
      <c r="MB208" s="30"/>
      <c r="MC208" s="30"/>
      <c r="MD208" s="30"/>
      <c r="ME208" s="30"/>
      <c r="MF208" s="30"/>
      <c r="MG208" s="30"/>
      <c r="MH208" s="30"/>
      <c r="MI208" s="30"/>
      <c r="MJ208" s="30"/>
      <c r="MK208" s="30"/>
      <c r="ML208" s="30"/>
      <c r="MM208" s="30"/>
      <c r="MN208" s="30"/>
      <c r="MO208" s="30"/>
      <c r="MP208" s="30"/>
      <c r="MQ208" s="30"/>
      <c r="MR208" s="30"/>
      <c r="MS208" s="30"/>
      <c r="MT208" s="30"/>
      <c r="MU208" s="30"/>
      <c r="MV208" s="30"/>
      <c r="MW208" s="30"/>
      <c r="MX208" s="30"/>
      <c r="MY208" s="30"/>
      <c r="MZ208" s="30"/>
      <c r="NA208" s="30"/>
      <c r="NB208" s="30"/>
      <c r="NC208" s="30"/>
      <c r="ND208" s="30"/>
      <c r="NE208" s="30"/>
      <c r="NF208" s="30"/>
      <c r="NG208" s="30"/>
      <c r="NH208" s="30"/>
      <c r="NI208" s="30"/>
      <c r="NJ208" s="30"/>
      <c r="NK208" s="30"/>
      <c r="NL208" s="30"/>
      <c r="NM208" s="30"/>
      <c r="NN208" s="30"/>
      <c r="NO208" s="30"/>
      <c r="NP208" s="30"/>
      <c r="NQ208" s="30"/>
      <c r="NR208" s="30"/>
      <c r="NS208" s="30"/>
      <c r="NT208" s="30"/>
      <c r="NU208" s="30"/>
      <c r="NV208" s="30"/>
      <c r="NW208" s="30"/>
      <c r="NX208" s="30"/>
      <c r="NY208" s="30"/>
      <c r="NZ208" s="30"/>
      <c r="OA208" s="30"/>
      <c r="OB208" s="30"/>
      <c r="OC208" s="30"/>
      <c r="OD208" s="30"/>
      <c r="OE208" s="30"/>
      <c r="OF208" s="30"/>
      <c r="OG208" s="30"/>
      <c r="OH208" s="30"/>
      <c r="OI208" s="30"/>
      <c r="OJ208" s="30"/>
      <c r="OK208" s="30"/>
      <c r="OL208" s="30"/>
      <c r="OM208" s="30"/>
      <c r="ON208" s="30"/>
      <c r="OO208" s="30"/>
      <c r="OP208" s="30"/>
      <c r="OQ208" s="30"/>
      <c r="OR208" s="30"/>
      <c r="OS208" s="30"/>
      <c r="OT208" s="30"/>
      <c r="OU208" s="30"/>
      <c r="OV208" s="30"/>
      <c r="OW208" s="30"/>
      <c r="OX208" s="30"/>
      <c r="OY208" s="30"/>
      <c r="OZ208" s="30"/>
      <c r="PA208" s="30"/>
      <c r="PB208" s="30"/>
      <c r="PC208" s="30"/>
      <c r="PD208" s="30"/>
      <c r="PE208" s="30"/>
      <c r="PF208" s="30"/>
      <c r="PG208" s="30"/>
      <c r="PH208" s="30"/>
      <c r="PI208" s="30"/>
      <c r="PJ208" s="30"/>
      <c r="PK208" s="30"/>
      <c r="PL208" s="30"/>
      <c r="PM208" s="30"/>
      <c r="PN208" s="30"/>
      <c r="PO208" s="30"/>
      <c r="PP208" s="30"/>
      <c r="PQ208" s="30"/>
      <c r="PR208" s="30"/>
      <c r="PS208" s="30"/>
      <c r="PT208" s="30"/>
      <c r="PU208" s="30"/>
      <c r="PV208" s="30"/>
      <c r="PW208" s="30"/>
      <c r="PX208" s="30"/>
      <c r="PY208" s="30"/>
      <c r="PZ208" s="30"/>
      <c r="QA208" s="30"/>
      <c r="QB208" s="30"/>
      <c r="QC208" s="30"/>
      <c r="QD208" s="30"/>
      <c r="QE208" s="30"/>
      <c r="QF208" s="30"/>
      <c r="QG208" s="30"/>
      <c r="QH208" s="30"/>
      <c r="QI208" s="30"/>
      <c r="QJ208" s="30"/>
      <c r="QK208" s="30"/>
      <c r="QL208" s="30"/>
      <c r="QM208" s="30"/>
      <c r="QN208" s="30"/>
      <c r="QO208" s="30"/>
      <c r="QP208" s="30"/>
      <c r="QQ208" s="30"/>
      <c r="QR208" s="30"/>
      <c r="QS208" s="30"/>
      <c r="QT208" s="30"/>
      <c r="QU208" s="30"/>
      <c r="QV208" s="30"/>
      <c r="QW208" s="30"/>
      <c r="QX208" s="30"/>
      <c r="QY208" s="30"/>
      <c r="QZ208" s="30"/>
      <c r="RA208" s="30"/>
      <c r="RB208" s="30"/>
      <c r="RC208" s="30"/>
      <c r="RD208" s="30"/>
      <c r="RE208" s="30"/>
      <c r="RF208" s="30"/>
      <c r="RG208" s="30"/>
      <c r="RH208" s="30"/>
      <c r="RI208" s="30"/>
      <c r="RJ208" s="30"/>
      <c r="RK208" s="30"/>
      <c r="RL208" s="30"/>
      <c r="RM208" s="30"/>
      <c r="RN208" s="30"/>
      <c r="RO208" s="30"/>
      <c r="RP208" s="30"/>
      <c r="RQ208" s="30"/>
      <c r="RR208" s="30"/>
      <c r="RS208" s="30"/>
      <c r="RT208" s="30"/>
      <c r="RU208" s="30"/>
      <c r="RV208" s="30"/>
      <c r="RW208" s="30"/>
      <c r="RX208" s="30"/>
      <c r="RY208" s="30"/>
      <c r="RZ208" s="30"/>
      <c r="SA208" s="30"/>
      <c r="SB208" s="30"/>
      <c r="SC208" s="30"/>
      <c r="SD208" s="30"/>
      <c r="SE208" s="30"/>
      <c r="SF208" s="30"/>
      <c r="SG208" s="30"/>
      <c r="SH208" s="30"/>
      <c r="SI208" s="30"/>
      <c r="SJ208" s="30"/>
      <c r="SK208" s="30"/>
      <c r="SL208" s="30"/>
      <c r="SM208" s="30"/>
      <c r="SN208" s="30"/>
      <c r="SO208" s="30"/>
      <c r="SP208" s="30"/>
      <c r="SQ208" s="30"/>
      <c r="SR208" s="30"/>
      <c r="SS208" s="30"/>
      <c r="ST208" s="30"/>
      <c r="SU208" s="30"/>
      <c r="SV208" s="30"/>
      <c r="SW208" s="30"/>
      <c r="SX208" s="30"/>
      <c r="SY208" s="30"/>
      <c r="SZ208" s="30"/>
      <c r="TA208" s="30"/>
      <c r="TB208" s="30"/>
      <c r="TC208" s="30"/>
      <c r="TD208" s="30"/>
      <c r="TE208" s="30"/>
      <c r="TF208" s="30"/>
      <c r="TG208" s="30"/>
    </row>
    <row r="209" spans="1:527" s="27" customFormat="1" ht="22.5" customHeight="1" x14ac:dyDescent="0.25">
      <c r="A209" s="110" t="s">
        <v>26</v>
      </c>
      <c r="B209" s="112"/>
      <c r="C209" s="112"/>
      <c r="D209" s="107" t="s">
        <v>335</v>
      </c>
      <c r="E209" s="95">
        <f>E210</f>
        <v>82060557</v>
      </c>
      <c r="F209" s="95">
        <f t="shared" ref="F209:J209" si="83">F210</f>
        <v>82060557</v>
      </c>
      <c r="G209" s="95">
        <f t="shared" si="83"/>
        <v>62366800</v>
      </c>
      <c r="H209" s="95">
        <f t="shared" si="83"/>
        <v>2305157</v>
      </c>
      <c r="I209" s="95">
        <f t="shared" si="83"/>
        <v>0</v>
      </c>
      <c r="J209" s="95">
        <f t="shared" si="83"/>
        <v>5080600</v>
      </c>
      <c r="K209" s="95">
        <f t="shared" ref="K209" si="84">K210</f>
        <v>2320500</v>
      </c>
      <c r="L209" s="95">
        <f t="shared" ref="L209" si="85">L210</f>
        <v>2756970</v>
      </c>
      <c r="M209" s="95">
        <f t="shared" ref="M209" si="86">M210</f>
        <v>2239004</v>
      </c>
      <c r="N209" s="95">
        <f t="shared" ref="N209" si="87">N210</f>
        <v>3300</v>
      </c>
      <c r="O209" s="95">
        <f t="shared" ref="O209:P209" si="88">O210</f>
        <v>2323630</v>
      </c>
      <c r="P209" s="95">
        <f t="shared" si="88"/>
        <v>87141157</v>
      </c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2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2"/>
      <c r="FK209" s="32"/>
      <c r="FL209" s="32"/>
      <c r="FM209" s="32"/>
      <c r="FN209" s="32"/>
      <c r="FO209" s="32"/>
      <c r="FP209" s="32"/>
      <c r="FQ209" s="32"/>
      <c r="FR209" s="32"/>
      <c r="FS209" s="32"/>
      <c r="FT209" s="32"/>
      <c r="FU209" s="32"/>
      <c r="FV209" s="32"/>
      <c r="FW209" s="32"/>
      <c r="FX209" s="32"/>
      <c r="FY209" s="32"/>
      <c r="FZ209" s="32"/>
      <c r="GA209" s="32"/>
      <c r="GB209" s="32"/>
      <c r="GC209" s="32"/>
      <c r="GD209" s="32"/>
      <c r="GE209" s="32"/>
      <c r="GF209" s="32"/>
      <c r="GG209" s="32"/>
      <c r="GH209" s="32"/>
      <c r="GI209" s="32"/>
      <c r="GJ209" s="32"/>
      <c r="GK209" s="32"/>
      <c r="GL209" s="32"/>
      <c r="GM209" s="32"/>
      <c r="GN209" s="32"/>
      <c r="GO209" s="32"/>
      <c r="GP209" s="32"/>
      <c r="GQ209" s="32"/>
      <c r="GR209" s="32"/>
      <c r="GS209" s="32"/>
      <c r="GT209" s="32"/>
      <c r="GU209" s="32"/>
      <c r="GV209" s="32"/>
      <c r="GW209" s="32"/>
      <c r="GX209" s="32"/>
      <c r="GY209" s="32"/>
      <c r="GZ209" s="32"/>
      <c r="HA209" s="32"/>
      <c r="HB209" s="32"/>
      <c r="HC209" s="32"/>
      <c r="HD209" s="32"/>
      <c r="HE209" s="32"/>
      <c r="HF209" s="32"/>
      <c r="HG209" s="32"/>
      <c r="HH209" s="32"/>
      <c r="HI209" s="32"/>
      <c r="HJ209" s="32"/>
      <c r="HK209" s="32"/>
      <c r="HL209" s="32"/>
      <c r="HM209" s="32"/>
      <c r="HN209" s="32"/>
      <c r="HO209" s="32"/>
      <c r="HP209" s="32"/>
      <c r="HQ209" s="32"/>
      <c r="HR209" s="32"/>
      <c r="HS209" s="32"/>
      <c r="HT209" s="32"/>
      <c r="HU209" s="32"/>
      <c r="HV209" s="32"/>
      <c r="HW209" s="32"/>
      <c r="HX209" s="32"/>
      <c r="HY209" s="32"/>
      <c r="HZ209" s="32"/>
      <c r="IA209" s="32"/>
      <c r="IB209" s="32"/>
      <c r="IC209" s="32"/>
      <c r="ID209" s="32"/>
      <c r="IE209" s="32"/>
      <c r="IF209" s="32"/>
      <c r="IG209" s="32"/>
      <c r="IH209" s="32"/>
      <c r="II209" s="32"/>
      <c r="IJ209" s="32"/>
      <c r="IK209" s="32"/>
      <c r="IL209" s="32"/>
      <c r="IM209" s="32"/>
      <c r="IN209" s="32"/>
      <c r="IO209" s="32"/>
      <c r="IP209" s="32"/>
      <c r="IQ209" s="32"/>
      <c r="IR209" s="32"/>
      <c r="IS209" s="32"/>
      <c r="IT209" s="32"/>
      <c r="IU209" s="32"/>
      <c r="IV209" s="32"/>
      <c r="IW209" s="32"/>
      <c r="IX209" s="32"/>
      <c r="IY209" s="32"/>
      <c r="IZ209" s="32"/>
      <c r="JA209" s="32"/>
      <c r="JB209" s="32"/>
      <c r="JC209" s="32"/>
      <c r="JD209" s="32"/>
      <c r="JE209" s="32"/>
      <c r="JF209" s="32"/>
      <c r="JG209" s="32"/>
      <c r="JH209" s="32"/>
      <c r="JI209" s="32"/>
      <c r="JJ209" s="32"/>
      <c r="JK209" s="32"/>
      <c r="JL209" s="32"/>
      <c r="JM209" s="32"/>
      <c r="JN209" s="32"/>
      <c r="JO209" s="32"/>
      <c r="JP209" s="32"/>
      <c r="JQ209" s="32"/>
      <c r="JR209" s="32"/>
      <c r="JS209" s="32"/>
      <c r="JT209" s="32"/>
      <c r="JU209" s="32"/>
      <c r="JV209" s="32"/>
      <c r="JW209" s="32"/>
      <c r="JX209" s="32"/>
      <c r="JY209" s="32"/>
      <c r="JZ209" s="32"/>
      <c r="KA209" s="32"/>
      <c r="KB209" s="32"/>
      <c r="KC209" s="32"/>
      <c r="KD209" s="32"/>
      <c r="KE209" s="32"/>
      <c r="KF209" s="32"/>
      <c r="KG209" s="32"/>
      <c r="KH209" s="32"/>
      <c r="KI209" s="32"/>
      <c r="KJ209" s="32"/>
      <c r="KK209" s="32"/>
      <c r="KL209" s="32"/>
      <c r="KM209" s="32"/>
      <c r="KN209" s="32"/>
      <c r="KO209" s="32"/>
      <c r="KP209" s="32"/>
      <c r="KQ209" s="32"/>
      <c r="KR209" s="32"/>
      <c r="KS209" s="32"/>
      <c r="KT209" s="32"/>
      <c r="KU209" s="32"/>
      <c r="KV209" s="32"/>
      <c r="KW209" s="32"/>
      <c r="KX209" s="32"/>
      <c r="KY209" s="32"/>
      <c r="KZ209" s="32"/>
      <c r="LA209" s="32"/>
      <c r="LB209" s="32"/>
      <c r="LC209" s="32"/>
      <c r="LD209" s="32"/>
      <c r="LE209" s="32"/>
      <c r="LF209" s="32"/>
      <c r="LG209" s="32"/>
      <c r="LH209" s="32"/>
      <c r="LI209" s="32"/>
      <c r="LJ209" s="32"/>
      <c r="LK209" s="32"/>
      <c r="LL209" s="32"/>
      <c r="LM209" s="32"/>
      <c r="LN209" s="32"/>
      <c r="LO209" s="32"/>
      <c r="LP209" s="32"/>
      <c r="LQ209" s="32"/>
      <c r="LR209" s="32"/>
      <c r="LS209" s="32"/>
      <c r="LT209" s="32"/>
      <c r="LU209" s="32"/>
      <c r="LV209" s="32"/>
      <c r="LW209" s="32"/>
      <c r="LX209" s="32"/>
      <c r="LY209" s="32"/>
      <c r="LZ209" s="32"/>
      <c r="MA209" s="32"/>
      <c r="MB209" s="32"/>
      <c r="MC209" s="32"/>
      <c r="MD209" s="32"/>
      <c r="ME209" s="32"/>
      <c r="MF209" s="32"/>
      <c r="MG209" s="32"/>
      <c r="MH209" s="32"/>
      <c r="MI209" s="32"/>
      <c r="MJ209" s="32"/>
      <c r="MK209" s="32"/>
      <c r="ML209" s="32"/>
      <c r="MM209" s="32"/>
      <c r="MN209" s="32"/>
      <c r="MO209" s="32"/>
      <c r="MP209" s="32"/>
      <c r="MQ209" s="32"/>
      <c r="MR209" s="32"/>
      <c r="MS209" s="32"/>
      <c r="MT209" s="32"/>
      <c r="MU209" s="32"/>
      <c r="MV209" s="32"/>
      <c r="MW209" s="32"/>
      <c r="MX209" s="32"/>
      <c r="MY209" s="32"/>
      <c r="MZ209" s="32"/>
      <c r="NA209" s="32"/>
      <c r="NB209" s="32"/>
      <c r="NC209" s="32"/>
      <c r="ND209" s="32"/>
      <c r="NE209" s="32"/>
      <c r="NF209" s="32"/>
      <c r="NG209" s="32"/>
      <c r="NH209" s="32"/>
      <c r="NI209" s="32"/>
      <c r="NJ209" s="32"/>
      <c r="NK209" s="32"/>
      <c r="NL209" s="32"/>
      <c r="NM209" s="32"/>
      <c r="NN209" s="32"/>
      <c r="NO209" s="32"/>
      <c r="NP209" s="32"/>
      <c r="NQ209" s="32"/>
      <c r="NR209" s="32"/>
      <c r="NS209" s="32"/>
      <c r="NT209" s="32"/>
      <c r="NU209" s="32"/>
      <c r="NV209" s="32"/>
      <c r="NW209" s="32"/>
      <c r="NX209" s="32"/>
      <c r="NY209" s="32"/>
      <c r="NZ209" s="32"/>
      <c r="OA209" s="32"/>
      <c r="OB209" s="32"/>
      <c r="OC209" s="32"/>
      <c r="OD209" s="32"/>
      <c r="OE209" s="32"/>
      <c r="OF209" s="32"/>
      <c r="OG209" s="32"/>
      <c r="OH209" s="32"/>
      <c r="OI209" s="32"/>
      <c r="OJ209" s="32"/>
      <c r="OK209" s="32"/>
      <c r="OL209" s="32"/>
      <c r="OM209" s="32"/>
      <c r="ON209" s="32"/>
      <c r="OO209" s="32"/>
      <c r="OP209" s="32"/>
      <c r="OQ209" s="32"/>
      <c r="OR209" s="32"/>
      <c r="OS209" s="32"/>
      <c r="OT209" s="32"/>
      <c r="OU209" s="32"/>
      <c r="OV209" s="32"/>
      <c r="OW209" s="32"/>
      <c r="OX209" s="32"/>
      <c r="OY209" s="32"/>
      <c r="OZ209" s="32"/>
      <c r="PA209" s="32"/>
      <c r="PB209" s="32"/>
      <c r="PC209" s="32"/>
      <c r="PD209" s="32"/>
      <c r="PE209" s="32"/>
      <c r="PF209" s="32"/>
      <c r="PG209" s="32"/>
      <c r="PH209" s="32"/>
      <c r="PI209" s="32"/>
      <c r="PJ209" s="32"/>
      <c r="PK209" s="32"/>
      <c r="PL209" s="32"/>
      <c r="PM209" s="32"/>
      <c r="PN209" s="32"/>
      <c r="PO209" s="32"/>
      <c r="PP209" s="32"/>
      <c r="PQ209" s="32"/>
      <c r="PR209" s="32"/>
      <c r="PS209" s="32"/>
      <c r="PT209" s="32"/>
      <c r="PU209" s="32"/>
      <c r="PV209" s="32"/>
      <c r="PW209" s="32"/>
      <c r="PX209" s="32"/>
      <c r="PY209" s="32"/>
      <c r="PZ209" s="32"/>
      <c r="QA209" s="32"/>
      <c r="QB209" s="32"/>
      <c r="QC209" s="32"/>
      <c r="QD209" s="32"/>
      <c r="QE209" s="32"/>
      <c r="QF209" s="32"/>
      <c r="QG209" s="32"/>
      <c r="QH209" s="32"/>
      <c r="QI209" s="32"/>
      <c r="QJ209" s="32"/>
      <c r="QK209" s="32"/>
      <c r="QL209" s="32"/>
      <c r="QM209" s="32"/>
      <c r="QN209" s="32"/>
      <c r="QO209" s="32"/>
      <c r="QP209" s="32"/>
      <c r="QQ209" s="32"/>
      <c r="QR209" s="32"/>
      <c r="QS209" s="32"/>
      <c r="QT209" s="32"/>
      <c r="QU209" s="32"/>
      <c r="QV209" s="32"/>
      <c r="QW209" s="32"/>
      <c r="QX209" s="32"/>
      <c r="QY209" s="32"/>
      <c r="QZ209" s="32"/>
      <c r="RA209" s="32"/>
      <c r="RB209" s="32"/>
      <c r="RC209" s="32"/>
      <c r="RD209" s="32"/>
      <c r="RE209" s="32"/>
      <c r="RF209" s="32"/>
      <c r="RG209" s="32"/>
      <c r="RH209" s="32"/>
      <c r="RI209" s="32"/>
      <c r="RJ209" s="32"/>
      <c r="RK209" s="32"/>
      <c r="RL209" s="32"/>
      <c r="RM209" s="32"/>
      <c r="RN209" s="32"/>
      <c r="RO209" s="32"/>
      <c r="RP209" s="32"/>
      <c r="RQ209" s="32"/>
      <c r="RR209" s="32"/>
      <c r="RS209" s="32"/>
      <c r="RT209" s="32"/>
      <c r="RU209" s="32"/>
      <c r="RV209" s="32"/>
      <c r="RW209" s="32"/>
      <c r="RX209" s="32"/>
      <c r="RY209" s="32"/>
      <c r="RZ209" s="32"/>
      <c r="SA209" s="32"/>
      <c r="SB209" s="32"/>
      <c r="SC209" s="32"/>
      <c r="SD209" s="32"/>
      <c r="SE209" s="32"/>
      <c r="SF209" s="32"/>
      <c r="SG209" s="32"/>
      <c r="SH209" s="32"/>
      <c r="SI209" s="32"/>
      <c r="SJ209" s="32"/>
      <c r="SK209" s="32"/>
      <c r="SL209" s="32"/>
      <c r="SM209" s="32"/>
      <c r="SN209" s="32"/>
      <c r="SO209" s="32"/>
      <c r="SP209" s="32"/>
      <c r="SQ209" s="32"/>
      <c r="SR209" s="32"/>
      <c r="SS209" s="32"/>
      <c r="ST209" s="32"/>
      <c r="SU209" s="32"/>
      <c r="SV209" s="32"/>
      <c r="SW209" s="32"/>
      <c r="SX209" s="32"/>
      <c r="SY209" s="32"/>
      <c r="SZ209" s="32"/>
      <c r="TA209" s="32"/>
      <c r="TB209" s="32"/>
      <c r="TC209" s="32"/>
      <c r="TD209" s="32"/>
      <c r="TE209" s="32"/>
      <c r="TF209" s="32"/>
      <c r="TG209" s="32"/>
    </row>
    <row r="210" spans="1:527" s="34" customFormat="1" ht="21.75" customHeight="1" x14ac:dyDescent="0.25">
      <c r="A210" s="96" t="s">
        <v>192</v>
      </c>
      <c r="B210" s="109"/>
      <c r="C210" s="109"/>
      <c r="D210" s="77" t="s">
        <v>335</v>
      </c>
      <c r="E210" s="98">
        <f>E211+E212+E213+E215+E216++E218+E214+E217+E219</f>
        <v>82060557</v>
      </c>
      <c r="F210" s="98">
        <f t="shared" ref="F210:P210" si="89">F211+F212+F213+F215+F216++F218+F214+F217+F219</f>
        <v>82060557</v>
      </c>
      <c r="G210" s="98">
        <f t="shared" si="89"/>
        <v>62366800</v>
      </c>
      <c r="H210" s="98">
        <f t="shared" si="89"/>
        <v>2305157</v>
      </c>
      <c r="I210" s="98">
        <f t="shared" si="89"/>
        <v>0</v>
      </c>
      <c r="J210" s="98">
        <f t="shared" si="89"/>
        <v>5080600</v>
      </c>
      <c r="K210" s="98">
        <f t="shared" si="89"/>
        <v>2320500</v>
      </c>
      <c r="L210" s="98">
        <f t="shared" si="89"/>
        <v>2756970</v>
      </c>
      <c r="M210" s="98">
        <f t="shared" si="89"/>
        <v>2239004</v>
      </c>
      <c r="N210" s="98">
        <f t="shared" si="89"/>
        <v>3300</v>
      </c>
      <c r="O210" s="98">
        <f t="shared" si="89"/>
        <v>2323630</v>
      </c>
      <c r="P210" s="98">
        <f t="shared" si="89"/>
        <v>87141157</v>
      </c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  <c r="IT210" s="33"/>
      <c r="IU210" s="33"/>
      <c r="IV210" s="33"/>
      <c r="IW210" s="33"/>
      <c r="IX210" s="33"/>
      <c r="IY210" s="33"/>
      <c r="IZ210" s="33"/>
      <c r="JA210" s="33"/>
      <c r="JB210" s="33"/>
      <c r="JC210" s="33"/>
      <c r="JD210" s="33"/>
      <c r="JE210" s="33"/>
      <c r="JF210" s="33"/>
      <c r="JG210" s="33"/>
      <c r="JH210" s="33"/>
      <c r="JI210" s="33"/>
      <c r="JJ210" s="33"/>
      <c r="JK210" s="33"/>
      <c r="JL210" s="33"/>
      <c r="JM210" s="33"/>
      <c r="JN210" s="33"/>
      <c r="JO210" s="33"/>
      <c r="JP210" s="33"/>
      <c r="JQ210" s="33"/>
      <c r="JR210" s="33"/>
      <c r="JS210" s="33"/>
      <c r="JT210" s="33"/>
      <c r="JU210" s="33"/>
      <c r="JV210" s="33"/>
      <c r="JW210" s="33"/>
      <c r="JX210" s="33"/>
      <c r="JY210" s="33"/>
      <c r="JZ210" s="33"/>
      <c r="KA210" s="33"/>
      <c r="KB210" s="33"/>
      <c r="KC210" s="33"/>
      <c r="KD210" s="33"/>
      <c r="KE210" s="33"/>
      <c r="KF210" s="33"/>
      <c r="KG210" s="33"/>
      <c r="KH210" s="33"/>
      <c r="KI210" s="33"/>
      <c r="KJ210" s="33"/>
      <c r="KK210" s="33"/>
      <c r="KL210" s="33"/>
      <c r="KM210" s="33"/>
      <c r="KN210" s="33"/>
      <c r="KO210" s="33"/>
      <c r="KP210" s="33"/>
      <c r="KQ210" s="33"/>
      <c r="KR210" s="33"/>
      <c r="KS210" s="33"/>
      <c r="KT210" s="33"/>
      <c r="KU210" s="33"/>
      <c r="KV210" s="33"/>
      <c r="KW210" s="33"/>
      <c r="KX210" s="33"/>
      <c r="KY210" s="33"/>
      <c r="KZ210" s="33"/>
      <c r="LA210" s="33"/>
      <c r="LB210" s="33"/>
      <c r="LC210" s="33"/>
      <c r="LD210" s="33"/>
      <c r="LE210" s="33"/>
      <c r="LF210" s="33"/>
      <c r="LG210" s="33"/>
      <c r="LH210" s="33"/>
      <c r="LI210" s="33"/>
      <c r="LJ210" s="33"/>
      <c r="LK210" s="33"/>
      <c r="LL210" s="33"/>
      <c r="LM210" s="33"/>
      <c r="LN210" s="33"/>
      <c r="LO210" s="33"/>
      <c r="LP210" s="33"/>
      <c r="LQ210" s="33"/>
      <c r="LR210" s="33"/>
      <c r="LS210" s="33"/>
      <c r="LT210" s="33"/>
      <c r="LU210" s="33"/>
      <c r="LV210" s="33"/>
      <c r="LW210" s="33"/>
      <c r="LX210" s="33"/>
      <c r="LY210" s="33"/>
      <c r="LZ210" s="33"/>
      <c r="MA210" s="33"/>
      <c r="MB210" s="33"/>
      <c r="MC210" s="33"/>
      <c r="MD210" s="33"/>
      <c r="ME210" s="33"/>
      <c r="MF210" s="33"/>
      <c r="MG210" s="33"/>
      <c r="MH210" s="33"/>
      <c r="MI210" s="33"/>
      <c r="MJ210" s="33"/>
      <c r="MK210" s="33"/>
      <c r="ML210" s="33"/>
      <c r="MM210" s="33"/>
      <c r="MN210" s="33"/>
      <c r="MO210" s="33"/>
      <c r="MP210" s="33"/>
      <c r="MQ210" s="33"/>
      <c r="MR210" s="33"/>
      <c r="MS210" s="33"/>
      <c r="MT210" s="33"/>
      <c r="MU210" s="33"/>
      <c r="MV210" s="33"/>
      <c r="MW210" s="33"/>
      <c r="MX210" s="33"/>
      <c r="MY210" s="33"/>
      <c r="MZ210" s="33"/>
      <c r="NA210" s="33"/>
      <c r="NB210" s="33"/>
      <c r="NC210" s="33"/>
      <c r="ND210" s="33"/>
      <c r="NE210" s="33"/>
      <c r="NF210" s="33"/>
      <c r="NG210" s="33"/>
      <c r="NH210" s="33"/>
      <c r="NI210" s="33"/>
      <c r="NJ210" s="33"/>
      <c r="NK210" s="33"/>
      <c r="NL210" s="33"/>
      <c r="NM210" s="33"/>
      <c r="NN210" s="33"/>
      <c r="NO210" s="33"/>
      <c r="NP210" s="33"/>
      <c r="NQ210" s="33"/>
      <c r="NR210" s="33"/>
      <c r="NS210" s="33"/>
      <c r="NT210" s="33"/>
      <c r="NU210" s="33"/>
      <c r="NV210" s="33"/>
      <c r="NW210" s="33"/>
      <c r="NX210" s="33"/>
      <c r="NY210" s="33"/>
      <c r="NZ210" s="33"/>
      <c r="OA210" s="33"/>
      <c r="OB210" s="33"/>
      <c r="OC210" s="33"/>
      <c r="OD210" s="33"/>
      <c r="OE210" s="33"/>
      <c r="OF210" s="33"/>
      <c r="OG210" s="33"/>
      <c r="OH210" s="33"/>
      <c r="OI210" s="33"/>
      <c r="OJ210" s="33"/>
      <c r="OK210" s="33"/>
      <c r="OL210" s="33"/>
      <c r="OM210" s="33"/>
      <c r="ON210" s="33"/>
      <c r="OO210" s="33"/>
      <c r="OP210" s="33"/>
      <c r="OQ210" s="33"/>
      <c r="OR210" s="33"/>
      <c r="OS210" s="33"/>
      <c r="OT210" s="33"/>
      <c r="OU210" s="33"/>
      <c r="OV210" s="33"/>
      <c r="OW210" s="33"/>
      <c r="OX210" s="33"/>
      <c r="OY210" s="33"/>
      <c r="OZ210" s="33"/>
      <c r="PA210" s="33"/>
      <c r="PB210" s="33"/>
      <c r="PC210" s="33"/>
      <c r="PD210" s="33"/>
      <c r="PE210" s="33"/>
      <c r="PF210" s="33"/>
      <c r="PG210" s="33"/>
      <c r="PH210" s="33"/>
      <c r="PI210" s="33"/>
      <c r="PJ210" s="33"/>
      <c r="PK210" s="33"/>
      <c r="PL210" s="33"/>
      <c r="PM210" s="33"/>
      <c r="PN210" s="33"/>
      <c r="PO210" s="33"/>
      <c r="PP210" s="33"/>
      <c r="PQ210" s="33"/>
      <c r="PR210" s="33"/>
      <c r="PS210" s="33"/>
      <c r="PT210" s="33"/>
      <c r="PU210" s="33"/>
      <c r="PV210" s="33"/>
      <c r="PW210" s="33"/>
      <c r="PX210" s="33"/>
      <c r="PY210" s="33"/>
      <c r="PZ210" s="33"/>
      <c r="QA210" s="33"/>
      <c r="QB210" s="33"/>
      <c r="QC210" s="33"/>
      <c r="QD210" s="33"/>
      <c r="QE210" s="33"/>
      <c r="QF210" s="33"/>
      <c r="QG210" s="33"/>
      <c r="QH210" s="33"/>
      <c r="QI210" s="33"/>
      <c r="QJ210" s="33"/>
      <c r="QK210" s="33"/>
      <c r="QL210" s="33"/>
      <c r="QM210" s="33"/>
      <c r="QN210" s="33"/>
      <c r="QO210" s="33"/>
      <c r="QP210" s="33"/>
      <c r="QQ210" s="33"/>
      <c r="QR210" s="33"/>
      <c r="QS210" s="33"/>
      <c r="QT210" s="33"/>
      <c r="QU210" s="33"/>
      <c r="QV210" s="33"/>
      <c r="QW210" s="33"/>
      <c r="QX210" s="33"/>
      <c r="QY210" s="33"/>
      <c r="QZ210" s="33"/>
      <c r="RA210" s="33"/>
      <c r="RB210" s="33"/>
      <c r="RC210" s="33"/>
      <c r="RD210" s="33"/>
      <c r="RE210" s="33"/>
      <c r="RF210" s="33"/>
      <c r="RG210" s="33"/>
      <c r="RH210" s="33"/>
      <c r="RI210" s="33"/>
      <c r="RJ210" s="33"/>
      <c r="RK210" s="33"/>
      <c r="RL210" s="33"/>
      <c r="RM210" s="33"/>
      <c r="RN210" s="33"/>
      <c r="RO210" s="33"/>
      <c r="RP210" s="33"/>
      <c r="RQ210" s="33"/>
      <c r="RR210" s="33"/>
      <c r="RS210" s="33"/>
      <c r="RT210" s="33"/>
      <c r="RU210" s="33"/>
      <c r="RV210" s="33"/>
      <c r="RW210" s="33"/>
      <c r="RX210" s="33"/>
      <c r="RY210" s="33"/>
      <c r="RZ210" s="33"/>
      <c r="SA210" s="33"/>
      <c r="SB210" s="33"/>
      <c r="SC210" s="33"/>
      <c r="SD210" s="33"/>
      <c r="SE210" s="33"/>
      <c r="SF210" s="33"/>
      <c r="SG210" s="33"/>
      <c r="SH210" s="33"/>
      <c r="SI210" s="33"/>
      <c r="SJ210" s="33"/>
      <c r="SK210" s="33"/>
      <c r="SL210" s="33"/>
      <c r="SM210" s="33"/>
      <c r="SN210" s="33"/>
      <c r="SO210" s="33"/>
      <c r="SP210" s="33"/>
      <c r="SQ210" s="33"/>
      <c r="SR210" s="33"/>
      <c r="SS210" s="33"/>
      <c r="ST210" s="33"/>
      <c r="SU210" s="33"/>
      <c r="SV210" s="33"/>
      <c r="SW210" s="33"/>
      <c r="SX210" s="33"/>
      <c r="SY210" s="33"/>
      <c r="SZ210" s="33"/>
      <c r="TA210" s="33"/>
      <c r="TB210" s="33"/>
      <c r="TC210" s="33"/>
      <c r="TD210" s="33"/>
      <c r="TE210" s="33"/>
      <c r="TF210" s="33"/>
      <c r="TG210" s="33"/>
    </row>
    <row r="211" spans="1:527" s="22" customFormat="1" ht="47.25" x14ac:dyDescent="0.25">
      <c r="A211" s="59" t="s">
        <v>139</v>
      </c>
      <c r="B211" s="93" t="str">
        <f>'дод 8'!A19</f>
        <v>0160</v>
      </c>
      <c r="C211" s="93" t="str">
        <f>'дод 8'!B19</f>
        <v>0111</v>
      </c>
      <c r="D211" s="36" t="s">
        <v>494</v>
      </c>
      <c r="E211" s="99">
        <f t="shared" ref="E211:E219" si="90">F211+I211</f>
        <v>2167035</v>
      </c>
      <c r="F211" s="99">
        <f>2163700+3335</f>
        <v>2167035</v>
      </c>
      <c r="G211" s="99">
        <v>1695500</v>
      </c>
      <c r="H211" s="99">
        <f>18000+3335</f>
        <v>21335</v>
      </c>
      <c r="I211" s="99"/>
      <c r="J211" s="99">
        <f>L211+O211</f>
        <v>0</v>
      </c>
      <c r="K211" s="99"/>
      <c r="L211" s="99"/>
      <c r="M211" s="99"/>
      <c r="N211" s="99"/>
      <c r="O211" s="99"/>
      <c r="P211" s="99">
        <f t="shared" ref="P211:P219" si="91">E211+J211</f>
        <v>2167035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</row>
    <row r="212" spans="1:527" s="22" customFormat="1" ht="19.5" customHeight="1" x14ac:dyDescent="0.25">
      <c r="A212" s="59" t="s">
        <v>509</v>
      </c>
      <c r="B212" s="93">
        <v>1080</v>
      </c>
      <c r="C212" s="59" t="s">
        <v>57</v>
      </c>
      <c r="D212" s="60" t="s">
        <v>510</v>
      </c>
      <c r="E212" s="99">
        <f t="shared" si="90"/>
        <v>50948015</v>
      </c>
      <c r="F212" s="99">
        <f>50652500+65000+20000+30000+15000+165515</f>
        <v>50948015</v>
      </c>
      <c r="G212" s="99">
        <v>40594000</v>
      </c>
      <c r="H212" s="99">
        <f>612300+165515</f>
        <v>777815</v>
      </c>
      <c r="I212" s="99"/>
      <c r="J212" s="99">
        <f t="shared" ref="J212:J219" si="92">L212+O212</f>
        <v>2729100</v>
      </c>
      <c r="K212" s="99"/>
      <c r="L212" s="99">
        <v>2725970</v>
      </c>
      <c r="M212" s="99">
        <v>2226904</v>
      </c>
      <c r="N212" s="99"/>
      <c r="O212" s="99">
        <v>3130</v>
      </c>
      <c r="P212" s="99">
        <f t="shared" si="91"/>
        <v>53677115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</row>
    <row r="213" spans="1:527" s="22" customFormat="1" ht="21" customHeight="1" x14ac:dyDescent="0.25">
      <c r="A213" s="59" t="s">
        <v>193</v>
      </c>
      <c r="B213" s="93" t="str">
        <f>'дод 8'!A142</f>
        <v>4030</v>
      </c>
      <c r="C213" s="93" t="str">
        <f>'дод 8'!B142</f>
        <v>0824</v>
      </c>
      <c r="D213" s="60" t="str">
        <f>'дод 8'!C142</f>
        <v>Забезпечення діяльності бібліотек</v>
      </c>
      <c r="E213" s="99">
        <f t="shared" si="90"/>
        <v>23086664</v>
      </c>
      <c r="F213" s="99">
        <f>22627900+77000+112000+10000+2500+194764+62500</f>
        <v>23086664</v>
      </c>
      <c r="G213" s="99">
        <v>16852700</v>
      </c>
      <c r="H213" s="99">
        <f>1133500+194764</f>
        <v>1328264</v>
      </c>
      <c r="I213" s="99"/>
      <c r="J213" s="99">
        <f t="shared" si="92"/>
        <v>252500</v>
      </c>
      <c r="K213" s="99">
        <f>195000+20000+5000+7500</f>
        <v>227500</v>
      </c>
      <c r="L213" s="99">
        <v>25000</v>
      </c>
      <c r="M213" s="99">
        <v>12100</v>
      </c>
      <c r="N213" s="99"/>
      <c r="O213" s="99">
        <f>195000+20000+5000+7500</f>
        <v>227500</v>
      </c>
      <c r="P213" s="99">
        <f t="shared" si="91"/>
        <v>23339164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</row>
    <row r="214" spans="1:527" s="22" customFormat="1" ht="48.75" customHeight="1" x14ac:dyDescent="0.25">
      <c r="A214" s="59">
        <v>1014060</v>
      </c>
      <c r="B214" s="93" t="str">
        <f>'дод 8'!A143</f>
        <v>4060</v>
      </c>
      <c r="C214" s="93" t="str">
        <f>'дод 8'!B143</f>
        <v>0828</v>
      </c>
      <c r="D214" s="60" t="str">
        <f>'дод 8'!C143</f>
        <v>Забезпечення діяльності палаців i будинків культури, клубів, центрів дозвілля та iнших клубних закладів</v>
      </c>
      <c r="E214" s="99">
        <f t="shared" si="90"/>
        <v>2270616</v>
      </c>
      <c r="F214" s="99">
        <f>2160300+15160+20000+25000+40000+10156</f>
        <v>2270616</v>
      </c>
      <c r="G214" s="99">
        <v>1531600</v>
      </c>
      <c r="H214" s="99">
        <f>115700+15160+10156</f>
        <v>141016</v>
      </c>
      <c r="I214" s="99"/>
      <c r="J214" s="99">
        <f t="shared" si="92"/>
        <v>6000</v>
      </c>
      <c r="K214" s="99">
        <f>40000-40000</f>
        <v>0</v>
      </c>
      <c r="L214" s="99">
        <v>6000</v>
      </c>
      <c r="M214" s="99"/>
      <c r="N214" s="99">
        <v>3300</v>
      </c>
      <c r="O214" s="99">
        <f>40000-40000</f>
        <v>0</v>
      </c>
      <c r="P214" s="99">
        <f t="shared" si="91"/>
        <v>2276616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</row>
    <row r="215" spans="1:527" s="24" customFormat="1" ht="33.75" customHeight="1" x14ac:dyDescent="0.25">
      <c r="A215" s="59">
        <v>1014081</v>
      </c>
      <c r="B215" s="93" t="str">
        <f>'дод 8'!A144</f>
        <v>4081</v>
      </c>
      <c r="C215" s="93" t="str">
        <f>'дод 8'!B144</f>
        <v>0829</v>
      </c>
      <c r="D215" s="60" t="str">
        <f>'дод 8'!C144</f>
        <v>Забезпечення діяльності інших закладів в галузі культури і мистецтва</v>
      </c>
      <c r="E215" s="99">
        <f t="shared" si="90"/>
        <v>2208227</v>
      </c>
      <c r="F215" s="99">
        <f>2206400+1827</f>
        <v>2208227</v>
      </c>
      <c r="G215" s="99">
        <v>1693000</v>
      </c>
      <c r="H215" s="99">
        <f>34900+1827</f>
        <v>36727</v>
      </c>
      <c r="I215" s="99"/>
      <c r="J215" s="99">
        <f t="shared" si="92"/>
        <v>23000</v>
      </c>
      <c r="K215" s="99">
        <v>23000</v>
      </c>
      <c r="L215" s="99"/>
      <c r="M215" s="99"/>
      <c r="N215" s="99"/>
      <c r="O215" s="99">
        <v>23000</v>
      </c>
      <c r="P215" s="99">
        <f t="shared" si="91"/>
        <v>2231227</v>
      </c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  <c r="ID215" s="30"/>
      <c r="IE215" s="30"/>
      <c r="IF215" s="30"/>
      <c r="IG215" s="30"/>
      <c r="IH215" s="30"/>
      <c r="II215" s="30"/>
      <c r="IJ215" s="30"/>
      <c r="IK215" s="30"/>
      <c r="IL215" s="30"/>
      <c r="IM215" s="30"/>
      <c r="IN215" s="30"/>
      <c r="IO215" s="30"/>
      <c r="IP215" s="30"/>
      <c r="IQ215" s="30"/>
      <c r="IR215" s="30"/>
      <c r="IS215" s="30"/>
      <c r="IT215" s="30"/>
      <c r="IU215" s="30"/>
      <c r="IV215" s="30"/>
      <c r="IW215" s="30"/>
      <c r="IX215" s="30"/>
      <c r="IY215" s="30"/>
      <c r="IZ215" s="30"/>
      <c r="JA215" s="30"/>
      <c r="JB215" s="30"/>
      <c r="JC215" s="30"/>
      <c r="JD215" s="30"/>
      <c r="JE215" s="30"/>
      <c r="JF215" s="30"/>
      <c r="JG215" s="30"/>
      <c r="JH215" s="30"/>
      <c r="JI215" s="30"/>
      <c r="JJ215" s="30"/>
      <c r="JK215" s="30"/>
      <c r="JL215" s="30"/>
      <c r="JM215" s="30"/>
      <c r="JN215" s="30"/>
      <c r="JO215" s="30"/>
      <c r="JP215" s="30"/>
      <c r="JQ215" s="30"/>
      <c r="JR215" s="30"/>
      <c r="JS215" s="30"/>
      <c r="JT215" s="30"/>
      <c r="JU215" s="30"/>
      <c r="JV215" s="30"/>
      <c r="JW215" s="30"/>
      <c r="JX215" s="30"/>
      <c r="JY215" s="30"/>
      <c r="JZ215" s="30"/>
      <c r="KA215" s="30"/>
      <c r="KB215" s="30"/>
      <c r="KC215" s="30"/>
      <c r="KD215" s="30"/>
      <c r="KE215" s="30"/>
      <c r="KF215" s="30"/>
      <c r="KG215" s="30"/>
      <c r="KH215" s="30"/>
      <c r="KI215" s="30"/>
      <c r="KJ215" s="30"/>
      <c r="KK215" s="30"/>
      <c r="KL215" s="30"/>
      <c r="KM215" s="30"/>
      <c r="KN215" s="30"/>
      <c r="KO215" s="30"/>
      <c r="KP215" s="30"/>
      <c r="KQ215" s="30"/>
      <c r="KR215" s="30"/>
      <c r="KS215" s="30"/>
      <c r="KT215" s="30"/>
      <c r="KU215" s="30"/>
      <c r="KV215" s="30"/>
      <c r="KW215" s="30"/>
      <c r="KX215" s="30"/>
      <c r="KY215" s="30"/>
      <c r="KZ215" s="30"/>
      <c r="LA215" s="30"/>
      <c r="LB215" s="30"/>
      <c r="LC215" s="30"/>
      <c r="LD215" s="30"/>
      <c r="LE215" s="30"/>
      <c r="LF215" s="30"/>
      <c r="LG215" s="30"/>
      <c r="LH215" s="30"/>
      <c r="LI215" s="30"/>
      <c r="LJ215" s="30"/>
      <c r="LK215" s="30"/>
      <c r="LL215" s="30"/>
      <c r="LM215" s="30"/>
      <c r="LN215" s="30"/>
      <c r="LO215" s="30"/>
      <c r="LP215" s="30"/>
      <c r="LQ215" s="30"/>
      <c r="LR215" s="30"/>
      <c r="LS215" s="30"/>
      <c r="LT215" s="30"/>
      <c r="LU215" s="30"/>
      <c r="LV215" s="30"/>
      <c r="LW215" s="30"/>
      <c r="LX215" s="30"/>
      <c r="LY215" s="30"/>
      <c r="LZ215" s="30"/>
      <c r="MA215" s="30"/>
      <c r="MB215" s="30"/>
      <c r="MC215" s="30"/>
      <c r="MD215" s="30"/>
      <c r="ME215" s="30"/>
      <c r="MF215" s="30"/>
      <c r="MG215" s="30"/>
      <c r="MH215" s="30"/>
      <c r="MI215" s="30"/>
      <c r="MJ215" s="30"/>
      <c r="MK215" s="30"/>
      <c r="ML215" s="30"/>
      <c r="MM215" s="30"/>
      <c r="MN215" s="30"/>
      <c r="MO215" s="30"/>
      <c r="MP215" s="30"/>
      <c r="MQ215" s="30"/>
      <c r="MR215" s="30"/>
      <c r="MS215" s="30"/>
      <c r="MT215" s="30"/>
      <c r="MU215" s="30"/>
      <c r="MV215" s="30"/>
      <c r="MW215" s="30"/>
      <c r="MX215" s="30"/>
      <c r="MY215" s="30"/>
      <c r="MZ215" s="30"/>
      <c r="NA215" s="30"/>
      <c r="NB215" s="30"/>
      <c r="NC215" s="30"/>
      <c r="ND215" s="30"/>
      <c r="NE215" s="30"/>
      <c r="NF215" s="30"/>
      <c r="NG215" s="30"/>
      <c r="NH215" s="30"/>
      <c r="NI215" s="30"/>
      <c r="NJ215" s="30"/>
      <c r="NK215" s="30"/>
      <c r="NL215" s="30"/>
      <c r="NM215" s="30"/>
      <c r="NN215" s="30"/>
      <c r="NO215" s="30"/>
      <c r="NP215" s="30"/>
      <c r="NQ215" s="30"/>
      <c r="NR215" s="30"/>
      <c r="NS215" s="30"/>
      <c r="NT215" s="30"/>
      <c r="NU215" s="30"/>
      <c r="NV215" s="30"/>
      <c r="NW215" s="30"/>
      <c r="NX215" s="30"/>
      <c r="NY215" s="30"/>
      <c r="NZ215" s="30"/>
      <c r="OA215" s="30"/>
      <c r="OB215" s="30"/>
      <c r="OC215" s="30"/>
      <c r="OD215" s="30"/>
      <c r="OE215" s="30"/>
      <c r="OF215" s="30"/>
      <c r="OG215" s="30"/>
      <c r="OH215" s="30"/>
      <c r="OI215" s="30"/>
      <c r="OJ215" s="30"/>
      <c r="OK215" s="30"/>
      <c r="OL215" s="30"/>
      <c r="OM215" s="30"/>
      <c r="ON215" s="30"/>
      <c r="OO215" s="30"/>
      <c r="OP215" s="30"/>
      <c r="OQ215" s="30"/>
      <c r="OR215" s="30"/>
      <c r="OS215" s="30"/>
      <c r="OT215" s="30"/>
      <c r="OU215" s="30"/>
      <c r="OV215" s="30"/>
      <c r="OW215" s="30"/>
      <c r="OX215" s="30"/>
      <c r="OY215" s="30"/>
      <c r="OZ215" s="30"/>
      <c r="PA215" s="30"/>
      <c r="PB215" s="30"/>
      <c r="PC215" s="30"/>
      <c r="PD215" s="30"/>
      <c r="PE215" s="30"/>
      <c r="PF215" s="30"/>
      <c r="PG215" s="30"/>
      <c r="PH215" s="30"/>
      <c r="PI215" s="30"/>
      <c r="PJ215" s="30"/>
      <c r="PK215" s="30"/>
      <c r="PL215" s="30"/>
      <c r="PM215" s="30"/>
      <c r="PN215" s="30"/>
      <c r="PO215" s="30"/>
      <c r="PP215" s="30"/>
      <c r="PQ215" s="30"/>
      <c r="PR215" s="30"/>
      <c r="PS215" s="30"/>
      <c r="PT215" s="30"/>
      <c r="PU215" s="30"/>
      <c r="PV215" s="30"/>
      <c r="PW215" s="30"/>
      <c r="PX215" s="30"/>
      <c r="PY215" s="30"/>
      <c r="PZ215" s="30"/>
      <c r="QA215" s="30"/>
      <c r="QB215" s="30"/>
      <c r="QC215" s="30"/>
      <c r="QD215" s="30"/>
      <c r="QE215" s="30"/>
      <c r="QF215" s="30"/>
      <c r="QG215" s="30"/>
      <c r="QH215" s="30"/>
      <c r="QI215" s="30"/>
      <c r="QJ215" s="30"/>
      <c r="QK215" s="30"/>
      <c r="QL215" s="30"/>
      <c r="QM215" s="30"/>
      <c r="QN215" s="30"/>
      <c r="QO215" s="30"/>
      <c r="QP215" s="30"/>
      <c r="QQ215" s="30"/>
      <c r="QR215" s="30"/>
      <c r="QS215" s="30"/>
      <c r="QT215" s="30"/>
      <c r="QU215" s="30"/>
      <c r="QV215" s="30"/>
      <c r="QW215" s="30"/>
      <c r="QX215" s="30"/>
      <c r="QY215" s="30"/>
      <c r="QZ215" s="30"/>
      <c r="RA215" s="30"/>
      <c r="RB215" s="30"/>
      <c r="RC215" s="30"/>
      <c r="RD215" s="30"/>
      <c r="RE215" s="30"/>
      <c r="RF215" s="30"/>
      <c r="RG215" s="30"/>
      <c r="RH215" s="30"/>
      <c r="RI215" s="30"/>
      <c r="RJ215" s="30"/>
      <c r="RK215" s="30"/>
      <c r="RL215" s="30"/>
      <c r="RM215" s="30"/>
      <c r="RN215" s="30"/>
      <c r="RO215" s="30"/>
      <c r="RP215" s="30"/>
      <c r="RQ215" s="30"/>
      <c r="RR215" s="30"/>
      <c r="RS215" s="30"/>
      <c r="RT215" s="30"/>
      <c r="RU215" s="30"/>
      <c r="RV215" s="30"/>
      <c r="RW215" s="30"/>
      <c r="RX215" s="30"/>
      <c r="RY215" s="30"/>
      <c r="RZ215" s="30"/>
      <c r="SA215" s="30"/>
      <c r="SB215" s="30"/>
      <c r="SC215" s="30"/>
      <c r="SD215" s="30"/>
      <c r="SE215" s="30"/>
      <c r="SF215" s="30"/>
      <c r="SG215" s="30"/>
      <c r="SH215" s="30"/>
      <c r="SI215" s="30"/>
      <c r="SJ215" s="30"/>
      <c r="SK215" s="30"/>
      <c r="SL215" s="30"/>
      <c r="SM215" s="30"/>
      <c r="SN215" s="30"/>
      <c r="SO215" s="30"/>
      <c r="SP215" s="30"/>
      <c r="SQ215" s="30"/>
      <c r="SR215" s="30"/>
      <c r="SS215" s="30"/>
      <c r="ST215" s="30"/>
      <c r="SU215" s="30"/>
      <c r="SV215" s="30"/>
      <c r="SW215" s="30"/>
      <c r="SX215" s="30"/>
      <c r="SY215" s="30"/>
      <c r="SZ215" s="30"/>
      <c r="TA215" s="30"/>
      <c r="TB215" s="30"/>
      <c r="TC215" s="30"/>
      <c r="TD215" s="30"/>
      <c r="TE215" s="30"/>
      <c r="TF215" s="30"/>
      <c r="TG215" s="30"/>
    </row>
    <row r="216" spans="1:527" s="24" customFormat="1" ht="25.5" customHeight="1" x14ac:dyDescent="0.25">
      <c r="A216" s="59">
        <v>1014082</v>
      </c>
      <c r="B216" s="93" t="str">
        <f>'дод 8'!A145</f>
        <v>4082</v>
      </c>
      <c r="C216" s="93" t="str">
        <f>'дод 8'!B145</f>
        <v>0829</v>
      </c>
      <c r="D216" s="60" t="str">
        <f>'дод 8'!C145</f>
        <v>Інші заходи в галузі культури і мистецтва</v>
      </c>
      <c r="E216" s="99">
        <f t="shared" si="90"/>
        <v>1380000</v>
      </c>
      <c r="F216" s="99">
        <f>1100000+100000+85000+95000</f>
        <v>1380000</v>
      </c>
      <c r="G216" s="99"/>
      <c r="H216" s="99"/>
      <c r="I216" s="99"/>
      <c r="J216" s="99">
        <f t="shared" si="92"/>
        <v>0</v>
      </c>
      <c r="K216" s="99"/>
      <c r="L216" s="99"/>
      <c r="M216" s="99"/>
      <c r="N216" s="99"/>
      <c r="O216" s="99"/>
      <c r="P216" s="99">
        <f t="shared" si="91"/>
        <v>1380000</v>
      </c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  <c r="ID216" s="30"/>
      <c r="IE216" s="30"/>
      <c r="IF216" s="30"/>
      <c r="IG216" s="30"/>
      <c r="IH216" s="30"/>
      <c r="II216" s="30"/>
      <c r="IJ216" s="30"/>
      <c r="IK216" s="30"/>
      <c r="IL216" s="30"/>
      <c r="IM216" s="30"/>
      <c r="IN216" s="30"/>
      <c r="IO216" s="30"/>
      <c r="IP216" s="30"/>
      <c r="IQ216" s="30"/>
      <c r="IR216" s="30"/>
      <c r="IS216" s="30"/>
      <c r="IT216" s="30"/>
      <c r="IU216" s="30"/>
      <c r="IV216" s="30"/>
      <c r="IW216" s="30"/>
      <c r="IX216" s="30"/>
      <c r="IY216" s="30"/>
      <c r="IZ216" s="30"/>
      <c r="JA216" s="30"/>
      <c r="JB216" s="30"/>
      <c r="JC216" s="30"/>
      <c r="JD216" s="30"/>
      <c r="JE216" s="30"/>
      <c r="JF216" s="30"/>
      <c r="JG216" s="30"/>
      <c r="JH216" s="30"/>
      <c r="JI216" s="30"/>
      <c r="JJ216" s="30"/>
      <c r="JK216" s="30"/>
      <c r="JL216" s="30"/>
      <c r="JM216" s="30"/>
      <c r="JN216" s="30"/>
      <c r="JO216" s="30"/>
      <c r="JP216" s="30"/>
      <c r="JQ216" s="30"/>
      <c r="JR216" s="30"/>
      <c r="JS216" s="30"/>
      <c r="JT216" s="30"/>
      <c r="JU216" s="30"/>
      <c r="JV216" s="30"/>
      <c r="JW216" s="30"/>
      <c r="JX216" s="30"/>
      <c r="JY216" s="30"/>
      <c r="JZ216" s="30"/>
      <c r="KA216" s="30"/>
      <c r="KB216" s="30"/>
      <c r="KC216" s="30"/>
      <c r="KD216" s="30"/>
      <c r="KE216" s="30"/>
      <c r="KF216" s="30"/>
      <c r="KG216" s="30"/>
      <c r="KH216" s="30"/>
      <c r="KI216" s="30"/>
      <c r="KJ216" s="30"/>
      <c r="KK216" s="30"/>
      <c r="KL216" s="30"/>
      <c r="KM216" s="30"/>
      <c r="KN216" s="30"/>
      <c r="KO216" s="30"/>
      <c r="KP216" s="30"/>
      <c r="KQ216" s="30"/>
      <c r="KR216" s="30"/>
      <c r="KS216" s="30"/>
      <c r="KT216" s="30"/>
      <c r="KU216" s="30"/>
      <c r="KV216" s="30"/>
      <c r="KW216" s="30"/>
      <c r="KX216" s="30"/>
      <c r="KY216" s="30"/>
      <c r="KZ216" s="30"/>
      <c r="LA216" s="30"/>
      <c r="LB216" s="30"/>
      <c r="LC216" s="30"/>
      <c r="LD216" s="30"/>
      <c r="LE216" s="30"/>
      <c r="LF216" s="30"/>
      <c r="LG216" s="30"/>
      <c r="LH216" s="30"/>
      <c r="LI216" s="30"/>
      <c r="LJ216" s="30"/>
      <c r="LK216" s="30"/>
      <c r="LL216" s="30"/>
      <c r="LM216" s="30"/>
      <c r="LN216" s="30"/>
      <c r="LO216" s="30"/>
      <c r="LP216" s="30"/>
      <c r="LQ216" s="30"/>
      <c r="LR216" s="30"/>
      <c r="LS216" s="30"/>
      <c r="LT216" s="30"/>
      <c r="LU216" s="30"/>
      <c r="LV216" s="30"/>
      <c r="LW216" s="30"/>
      <c r="LX216" s="30"/>
      <c r="LY216" s="30"/>
      <c r="LZ216" s="30"/>
      <c r="MA216" s="30"/>
      <c r="MB216" s="30"/>
      <c r="MC216" s="30"/>
      <c r="MD216" s="30"/>
      <c r="ME216" s="30"/>
      <c r="MF216" s="30"/>
      <c r="MG216" s="30"/>
      <c r="MH216" s="30"/>
      <c r="MI216" s="30"/>
      <c r="MJ216" s="30"/>
      <c r="MK216" s="30"/>
      <c r="ML216" s="30"/>
      <c r="MM216" s="30"/>
      <c r="MN216" s="30"/>
      <c r="MO216" s="30"/>
      <c r="MP216" s="30"/>
      <c r="MQ216" s="30"/>
      <c r="MR216" s="30"/>
      <c r="MS216" s="30"/>
      <c r="MT216" s="30"/>
      <c r="MU216" s="30"/>
      <c r="MV216" s="30"/>
      <c r="MW216" s="30"/>
      <c r="MX216" s="30"/>
      <c r="MY216" s="30"/>
      <c r="MZ216" s="30"/>
      <c r="NA216" s="30"/>
      <c r="NB216" s="30"/>
      <c r="NC216" s="30"/>
      <c r="ND216" s="30"/>
      <c r="NE216" s="30"/>
      <c r="NF216" s="30"/>
      <c r="NG216" s="30"/>
      <c r="NH216" s="30"/>
      <c r="NI216" s="30"/>
      <c r="NJ216" s="30"/>
      <c r="NK216" s="30"/>
      <c r="NL216" s="30"/>
      <c r="NM216" s="30"/>
      <c r="NN216" s="30"/>
      <c r="NO216" s="30"/>
      <c r="NP216" s="30"/>
      <c r="NQ216" s="30"/>
      <c r="NR216" s="30"/>
      <c r="NS216" s="30"/>
      <c r="NT216" s="30"/>
      <c r="NU216" s="30"/>
      <c r="NV216" s="30"/>
      <c r="NW216" s="30"/>
      <c r="NX216" s="30"/>
      <c r="NY216" s="30"/>
      <c r="NZ216" s="30"/>
      <c r="OA216" s="30"/>
      <c r="OB216" s="30"/>
      <c r="OC216" s="30"/>
      <c r="OD216" s="30"/>
      <c r="OE216" s="30"/>
      <c r="OF216" s="30"/>
      <c r="OG216" s="30"/>
      <c r="OH216" s="30"/>
      <c r="OI216" s="30"/>
      <c r="OJ216" s="30"/>
      <c r="OK216" s="30"/>
      <c r="OL216" s="30"/>
      <c r="OM216" s="30"/>
      <c r="ON216" s="30"/>
      <c r="OO216" s="30"/>
      <c r="OP216" s="30"/>
      <c r="OQ216" s="30"/>
      <c r="OR216" s="30"/>
      <c r="OS216" s="30"/>
      <c r="OT216" s="30"/>
      <c r="OU216" s="30"/>
      <c r="OV216" s="30"/>
      <c r="OW216" s="30"/>
      <c r="OX216" s="30"/>
      <c r="OY216" s="30"/>
      <c r="OZ216" s="30"/>
      <c r="PA216" s="30"/>
      <c r="PB216" s="30"/>
      <c r="PC216" s="30"/>
      <c r="PD216" s="30"/>
      <c r="PE216" s="30"/>
      <c r="PF216" s="30"/>
      <c r="PG216" s="30"/>
      <c r="PH216" s="30"/>
      <c r="PI216" s="30"/>
      <c r="PJ216" s="30"/>
      <c r="PK216" s="30"/>
      <c r="PL216" s="30"/>
      <c r="PM216" s="30"/>
      <c r="PN216" s="30"/>
      <c r="PO216" s="30"/>
      <c r="PP216" s="30"/>
      <c r="PQ216" s="30"/>
      <c r="PR216" s="30"/>
      <c r="PS216" s="30"/>
      <c r="PT216" s="30"/>
      <c r="PU216" s="30"/>
      <c r="PV216" s="30"/>
      <c r="PW216" s="30"/>
      <c r="PX216" s="30"/>
      <c r="PY216" s="30"/>
      <c r="PZ216" s="30"/>
      <c r="QA216" s="30"/>
      <c r="QB216" s="30"/>
      <c r="QC216" s="30"/>
      <c r="QD216" s="30"/>
      <c r="QE216" s="30"/>
      <c r="QF216" s="30"/>
      <c r="QG216" s="30"/>
      <c r="QH216" s="30"/>
      <c r="QI216" s="30"/>
      <c r="QJ216" s="30"/>
      <c r="QK216" s="30"/>
      <c r="QL216" s="30"/>
      <c r="QM216" s="30"/>
      <c r="QN216" s="30"/>
      <c r="QO216" s="30"/>
      <c r="QP216" s="30"/>
      <c r="QQ216" s="30"/>
      <c r="QR216" s="30"/>
      <c r="QS216" s="30"/>
      <c r="QT216" s="30"/>
      <c r="QU216" s="30"/>
      <c r="QV216" s="30"/>
      <c r="QW216" s="30"/>
      <c r="QX216" s="30"/>
      <c r="QY216" s="30"/>
      <c r="QZ216" s="30"/>
      <c r="RA216" s="30"/>
      <c r="RB216" s="30"/>
      <c r="RC216" s="30"/>
      <c r="RD216" s="30"/>
      <c r="RE216" s="30"/>
      <c r="RF216" s="30"/>
      <c r="RG216" s="30"/>
      <c r="RH216" s="30"/>
      <c r="RI216" s="30"/>
      <c r="RJ216" s="30"/>
      <c r="RK216" s="30"/>
      <c r="RL216" s="30"/>
      <c r="RM216" s="30"/>
      <c r="RN216" s="30"/>
      <c r="RO216" s="30"/>
      <c r="RP216" s="30"/>
      <c r="RQ216" s="30"/>
      <c r="RR216" s="30"/>
      <c r="RS216" s="30"/>
      <c r="RT216" s="30"/>
      <c r="RU216" s="30"/>
      <c r="RV216" s="30"/>
      <c r="RW216" s="30"/>
      <c r="RX216" s="30"/>
      <c r="RY216" s="30"/>
      <c r="RZ216" s="30"/>
      <c r="SA216" s="30"/>
      <c r="SB216" s="30"/>
      <c r="SC216" s="30"/>
      <c r="SD216" s="30"/>
      <c r="SE216" s="30"/>
      <c r="SF216" s="30"/>
      <c r="SG216" s="30"/>
      <c r="SH216" s="30"/>
      <c r="SI216" s="30"/>
      <c r="SJ216" s="30"/>
      <c r="SK216" s="30"/>
      <c r="SL216" s="30"/>
      <c r="SM216" s="30"/>
      <c r="SN216" s="30"/>
      <c r="SO216" s="30"/>
      <c r="SP216" s="30"/>
      <c r="SQ216" s="30"/>
      <c r="SR216" s="30"/>
      <c r="SS216" s="30"/>
      <c r="ST216" s="30"/>
      <c r="SU216" s="30"/>
      <c r="SV216" s="30"/>
      <c r="SW216" s="30"/>
      <c r="SX216" s="30"/>
      <c r="SY216" s="30"/>
      <c r="SZ216" s="30"/>
      <c r="TA216" s="30"/>
      <c r="TB216" s="30"/>
      <c r="TC216" s="30"/>
      <c r="TD216" s="30"/>
      <c r="TE216" s="30"/>
      <c r="TF216" s="30"/>
      <c r="TG216" s="30"/>
    </row>
    <row r="217" spans="1:527" s="24" customFormat="1" ht="21.75" customHeight="1" x14ac:dyDescent="0.25">
      <c r="A217" s="59" t="s">
        <v>456</v>
      </c>
      <c r="B217" s="59" t="s">
        <v>457</v>
      </c>
      <c r="C217" s="59" t="s">
        <v>111</v>
      </c>
      <c r="D217" s="6" t="s">
        <v>551</v>
      </c>
      <c r="E217" s="99">
        <f t="shared" si="90"/>
        <v>0</v>
      </c>
      <c r="F217" s="99"/>
      <c r="G217" s="99"/>
      <c r="H217" s="99"/>
      <c r="I217" s="99"/>
      <c r="J217" s="99">
        <f t="shared" si="92"/>
        <v>570000</v>
      </c>
      <c r="K217" s="99">
        <f>950000+20000-400000</f>
        <v>570000</v>
      </c>
      <c r="L217" s="99"/>
      <c r="M217" s="99"/>
      <c r="N217" s="99"/>
      <c r="O217" s="99">
        <f>950000+20000-400000</f>
        <v>570000</v>
      </c>
      <c r="P217" s="99">
        <f t="shared" si="91"/>
        <v>570000</v>
      </c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  <c r="ID217" s="30"/>
      <c r="IE217" s="30"/>
      <c r="IF217" s="30"/>
      <c r="IG217" s="30"/>
      <c r="IH217" s="30"/>
      <c r="II217" s="30"/>
      <c r="IJ217" s="30"/>
      <c r="IK217" s="30"/>
      <c r="IL217" s="30"/>
      <c r="IM217" s="30"/>
      <c r="IN217" s="30"/>
      <c r="IO217" s="30"/>
      <c r="IP217" s="30"/>
      <c r="IQ217" s="30"/>
      <c r="IR217" s="30"/>
      <c r="IS217" s="30"/>
      <c r="IT217" s="30"/>
      <c r="IU217" s="30"/>
      <c r="IV217" s="30"/>
      <c r="IW217" s="30"/>
      <c r="IX217" s="30"/>
      <c r="IY217" s="30"/>
      <c r="IZ217" s="30"/>
      <c r="JA217" s="30"/>
      <c r="JB217" s="30"/>
      <c r="JC217" s="30"/>
      <c r="JD217" s="30"/>
      <c r="JE217" s="30"/>
      <c r="JF217" s="30"/>
      <c r="JG217" s="30"/>
      <c r="JH217" s="30"/>
      <c r="JI217" s="30"/>
      <c r="JJ217" s="30"/>
      <c r="JK217" s="30"/>
      <c r="JL217" s="30"/>
      <c r="JM217" s="30"/>
      <c r="JN217" s="30"/>
      <c r="JO217" s="30"/>
      <c r="JP217" s="30"/>
      <c r="JQ217" s="30"/>
      <c r="JR217" s="30"/>
      <c r="JS217" s="30"/>
      <c r="JT217" s="30"/>
      <c r="JU217" s="30"/>
      <c r="JV217" s="30"/>
      <c r="JW217" s="30"/>
      <c r="JX217" s="30"/>
      <c r="JY217" s="30"/>
      <c r="JZ217" s="30"/>
      <c r="KA217" s="30"/>
      <c r="KB217" s="30"/>
      <c r="KC217" s="30"/>
      <c r="KD217" s="30"/>
      <c r="KE217" s="30"/>
      <c r="KF217" s="30"/>
      <c r="KG217" s="30"/>
      <c r="KH217" s="30"/>
      <c r="KI217" s="30"/>
      <c r="KJ217" s="30"/>
      <c r="KK217" s="30"/>
      <c r="KL217" s="30"/>
      <c r="KM217" s="30"/>
      <c r="KN217" s="30"/>
      <c r="KO217" s="30"/>
      <c r="KP217" s="30"/>
      <c r="KQ217" s="30"/>
      <c r="KR217" s="30"/>
      <c r="KS217" s="30"/>
      <c r="KT217" s="30"/>
      <c r="KU217" s="30"/>
      <c r="KV217" s="30"/>
      <c r="KW217" s="30"/>
      <c r="KX217" s="30"/>
      <c r="KY217" s="30"/>
      <c r="KZ217" s="30"/>
      <c r="LA217" s="30"/>
      <c r="LB217" s="30"/>
      <c r="LC217" s="30"/>
      <c r="LD217" s="30"/>
      <c r="LE217" s="30"/>
      <c r="LF217" s="30"/>
      <c r="LG217" s="30"/>
      <c r="LH217" s="30"/>
      <c r="LI217" s="30"/>
      <c r="LJ217" s="30"/>
      <c r="LK217" s="30"/>
      <c r="LL217" s="30"/>
      <c r="LM217" s="30"/>
      <c r="LN217" s="30"/>
      <c r="LO217" s="30"/>
      <c r="LP217" s="30"/>
      <c r="LQ217" s="30"/>
      <c r="LR217" s="30"/>
      <c r="LS217" s="30"/>
      <c r="LT217" s="30"/>
      <c r="LU217" s="30"/>
      <c r="LV217" s="30"/>
      <c r="LW217" s="30"/>
      <c r="LX217" s="30"/>
      <c r="LY217" s="30"/>
      <c r="LZ217" s="30"/>
      <c r="MA217" s="30"/>
      <c r="MB217" s="30"/>
      <c r="MC217" s="30"/>
      <c r="MD217" s="30"/>
      <c r="ME217" s="30"/>
      <c r="MF217" s="30"/>
      <c r="MG217" s="30"/>
      <c r="MH217" s="30"/>
      <c r="MI217" s="30"/>
      <c r="MJ217" s="30"/>
      <c r="MK217" s="30"/>
      <c r="ML217" s="30"/>
      <c r="MM217" s="30"/>
      <c r="MN217" s="30"/>
      <c r="MO217" s="30"/>
      <c r="MP217" s="30"/>
      <c r="MQ217" s="30"/>
      <c r="MR217" s="30"/>
      <c r="MS217" s="30"/>
      <c r="MT217" s="30"/>
      <c r="MU217" s="30"/>
      <c r="MV217" s="30"/>
      <c r="MW217" s="30"/>
      <c r="MX217" s="30"/>
      <c r="MY217" s="30"/>
      <c r="MZ217" s="30"/>
      <c r="NA217" s="30"/>
      <c r="NB217" s="30"/>
      <c r="NC217" s="30"/>
      <c r="ND217" s="30"/>
      <c r="NE217" s="30"/>
      <c r="NF217" s="30"/>
      <c r="NG217" s="30"/>
      <c r="NH217" s="30"/>
      <c r="NI217" s="30"/>
      <c r="NJ217" s="30"/>
      <c r="NK217" s="30"/>
      <c r="NL217" s="30"/>
      <c r="NM217" s="30"/>
      <c r="NN217" s="30"/>
      <c r="NO217" s="30"/>
      <c r="NP217" s="30"/>
      <c r="NQ217" s="30"/>
      <c r="NR217" s="30"/>
      <c r="NS217" s="30"/>
      <c r="NT217" s="30"/>
      <c r="NU217" s="30"/>
      <c r="NV217" s="30"/>
      <c r="NW217" s="30"/>
      <c r="NX217" s="30"/>
      <c r="NY217" s="30"/>
      <c r="NZ217" s="30"/>
      <c r="OA217" s="30"/>
      <c r="OB217" s="30"/>
      <c r="OC217" s="30"/>
      <c r="OD217" s="30"/>
      <c r="OE217" s="30"/>
      <c r="OF217" s="30"/>
      <c r="OG217" s="30"/>
      <c r="OH217" s="30"/>
      <c r="OI217" s="30"/>
      <c r="OJ217" s="30"/>
      <c r="OK217" s="30"/>
      <c r="OL217" s="30"/>
      <c r="OM217" s="30"/>
      <c r="ON217" s="30"/>
      <c r="OO217" s="30"/>
      <c r="OP217" s="30"/>
      <c r="OQ217" s="30"/>
      <c r="OR217" s="30"/>
      <c r="OS217" s="30"/>
      <c r="OT217" s="30"/>
      <c r="OU217" s="30"/>
      <c r="OV217" s="30"/>
      <c r="OW217" s="30"/>
      <c r="OX217" s="30"/>
      <c r="OY217" s="30"/>
      <c r="OZ217" s="30"/>
      <c r="PA217" s="30"/>
      <c r="PB217" s="30"/>
      <c r="PC217" s="30"/>
      <c r="PD217" s="30"/>
      <c r="PE217" s="30"/>
      <c r="PF217" s="30"/>
      <c r="PG217" s="30"/>
      <c r="PH217" s="30"/>
      <c r="PI217" s="30"/>
      <c r="PJ217" s="30"/>
      <c r="PK217" s="30"/>
      <c r="PL217" s="30"/>
      <c r="PM217" s="30"/>
      <c r="PN217" s="30"/>
      <c r="PO217" s="30"/>
      <c r="PP217" s="30"/>
      <c r="PQ217" s="30"/>
      <c r="PR217" s="30"/>
      <c r="PS217" s="30"/>
      <c r="PT217" s="30"/>
      <c r="PU217" s="30"/>
      <c r="PV217" s="30"/>
      <c r="PW217" s="30"/>
      <c r="PX217" s="30"/>
      <c r="PY217" s="30"/>
      <c r="PZ217" s="30"/>
      <c r="QA217" s="30"/>
      <c r="QB217" s="30"/>
      <c r="QC217" s="30"/>
      <c r="QD217" s="30"/>
      <c r="QE217" s="30"/>
      <c r="QF217" s="30"/>
      <c r="QG217" s="30"/>
      <c r="QH217" s="30"/>
      <c r="QI217" s="30"/>
      <c r="QJ217" s="30"/>
      <c r="QK217" s="30"/>
      <c r="QL217" s="30"/>
      <c r="QM217" s="30"/>
      <c r="QN217" s="30"/>
      <c r="QO217" s="30"/>
      <c r="QP217" s="30"/>
      <c r="QQ217" s="30"/>
      <c r="QR217" s="30"/>
      <c r="QS217" s="30"/>
      <c r="QT217" s="30"/>
      <c r="QU217" s="30"/>
      <c r="QV217" s="30"/>
      <c r="QW217" s="30"/>
      <c r="QX217" s="30"/>
      <c r="QY217" s="30"/>
      <c r="QZ217" s="30"/>
      <c r="RA217" s="30"/>
      <c r="RB217" s="30"/>
      <c r="RC217" s="30"/>
      <c r="RD217" s="30"/>
      <c r="RE217" s="30"/>
      <c r="RF217" s="30"/>
      <c r="RG217" s="30"/>
      <c r="RH217" s="30"/>
      <c r="RI217" s="30"/>
      <c r="RJ217" s="30"/>
      <c r="RK217" s="30"/>
      <c r="RL217" s="30"/>
      <c r="RM217" s="30"/>
      <c r="RN217" s="30"/>
      <c r="RO217" s="30"/>
      <c r="RP217" s="30"/>
      <c r="RQ217" s="30"/>
      <c r="RR217" s="30"/>
      <c r="RS217" s="30"/>
      <c r="RT217" s="30"/>
      <c r="RU217" s="30"/>
      <c r="RV217" s="30"/>
      <c r="RW217" s="30"/>
      <c r="RX217" s="30"/>
      <c r="RY217" s="30"/>
      <c r="RZ217" s="30"/>
      <c r="SA217" s="30"/>
      <c r="SB217" s="30"/>
      <c r="SC217" s="30"/>
      <c r="SD217" s="30"/>
      <c r="SE217" s="30"/>
      <c r="SF217" s="30"/>
      <c r="SG217" s="30"/>
      <c r="SH217" s="30"/>
      <c r="SI217" s="30"/>
      <c r="SJ217" s="30"/>
      <c r="SK217" s="30"/>
      <c r="SL217" s="30"/>
      <c r="SM217" s="30"/>
      <c r="SN217" s="30"/>
      <c r="SO217" s="30"/>
      <c r="SP217" s="30"/>
      <c r="SQ217" s="30"/>
      <c r="SR217" s="30"/>
      <c r="SS217" s="30"/>
      <c r="ST217" s="30"/>
      <c r="SU217" s="30"/>
      <c r="SV217" s="30"/>
      <c r="SW217" s="30"/>
      <c r="SX217" s="30"/>
      <c r="SY217" s="30"/>
      <c r="SZ217" s="30"/>
      <c r="TA217" s="30"/>
      <c r="TB217" s="30"/>
      <c r="TC217" s="30"/>
      <c r="TD217" s="30"/>
      <c r="TE217" s="30"/>
      <c r="TF217" s="30"/>
      <c r="TG217" s="30"/>
    </row>
    <row r="218" spans="1:527" s="22" customFormat="1" ht="22.5" customHeight="1" x14ac:dyDescent="0.25">
      <c r="A218" s="59" t="s">
        <v>145</v>
      </c>
      <c r="B218" s="93" t="str">
        <f>'дод 8'!A215</f>
        <v>7640</v>
      </c>
      <c r="C218" s="93" t="str">
        <f>'дод 8'!B215</f>
        <v>0470</v>
      </c>
      <c r="D218" s="60" t="s">
        <v>422</v>
      </c>
      <c r="E218" s="99">
        <f t="shared" si="90"/>
        <v>0</v>
      </c>
      <c r="F218" s="99"/>
      <c r="G218" s="99"/>
      <c r="H218" s="99"/>
      <c r="I218" s="99"/>
      <c r="J218" s="99">
        <f t="shared" si="92"/>
        <v>1500000</v>
      </c>
      <c r="K218" s="99">
        <v>1500000</v>
      </c>
      <c r="L218" s="99"/>
      <c r="M218" s="99"/>
      <c r="N218" s="99"/>
      <c r="O218" s="99">
        <v>1500000</v>
      </c>
      <c r="P218" s="99">
        <f t="shared" si="91"/>
        <v>1500000</v>
      </c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</row>
    <row r="219" spans="1:527" s="22" customFormat="1" ht="22.5" hidden="1" customHeight="1" x14ac:dyDescent="0.25">
      <c r="A219" s="59">
        <v>1018340</v>
      </c>
      <c r="B219" s="93" t="str">
        <f>'дод 8'!A237</f>
        <v>8340</v>
      </c>
      <c r="C219" s="93" t="str">
        <f>'дод 8'!B237</f>
        <v>0540</v>
      </c>
      <c r="D219" s="117" t="str">
        <f>'дод 8'!C237</f>
        <v>Природоохоронні заходи за рахунок цільових фондів</v>
      </c>
      <c r="E219" s="99">
        <f t="shared" si="90"/>
        <v>0</v>
      </c>
      <c r="F219" s="99"/>
      <c r="G219" s="99"/>
      <c r="H219" s="99"/>
      <c r="I219" s="99"/>
      <c r="J219" s="99">
        <f t="shared" si="92"/>
        <v>0</v>
      </c>
      <c r="K219" s="99"/>
      <c r="L219" s="99"/>
      <c r="M219" s="99"/>
      <c r="N219" s="99"/>
      <c r="O219" s="99"/>
      <c r="P219" s="99">
        <f t="shared" si="91"/>
        <v>0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</row>
    <row r="220" spans="1:527" s="27" customFormat="1" ht="34.5" customHeight="1" x14ac:dyDescent="0.25">
      <c r="A220" s="110" t="s">
        <v>194</v>
      </c>
      <c r="B220" s="112"/>
      <c r="C220" s="112"/>
      <c r="D220" s="107" t="s">
        <v>32</v>
      </c>
      <c r="E220" s="95">
        <f>E221</f>
        <v>327335054.13999999</v>
      </c>
      <c r="F220" s="95">
        <f t="shared" ref="F220:J220" si="93">F221</f>
        <v>291678095.65999997</v>
      </c>
      <c r="G220" s="95">
        <f t="shared" si="93"/>
        <v>11254400</v>
      </c>
      <c r="H220" s="95">
        <f t="shared" si="93"/>
        <v>35226635</v>
      </c>
      <c r="I220" s="95">
        <f t="shared" si="93"/>
        <v>35656958.480000004</v>
      </c>
      <c r="J220" s="95">
        <f t="shared" si="93"/>
        <v>165890663.72999996</v>
      </c>
      <c r="K220" s="95">
        <f t="shared" ref="K220" si="94">K221</f>
        <v>158863897.15999997</v>
      </c>
      <c r="L220" s="95">
        <f t="shared" ref="L220" si="95">L221</f>
        <v>1947686.57</v>
      </c>
      <c r="M220" s="95">
        <f t="shared" ref="M220" si="96">M221</f>
        <v>0</v>
      </c>
      <c r="N220" s="95">
        <f t="shared" ref="N220" si="97">N221</f>
        <v>0</v>
      </c>
      <c r="O220" s="95">
        <f t="shared" ref="O220:P220" si="98">O221</f>
        <v>163942977.15999997</v>
      </c>
      <c r="P220" s="95">
        <f t="shared" si="98"/>
        <v>493225717.86999995</v>
      </c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/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  <c r="GF220" s="32"/>
      <c r="GG220" s="32"/>
      <c r="GH220" s="32"/>
      <c r="GI220" s="32"/>
      <c r="GJ220" s="32"/>
      <c r="GK220" s="32"/>
      <c r="GL220" s="32"/>
      <c r="GM220" s="32"/>
      <c r="GN220" s="32"/>
      <c r="GO220" s="32"/>
      <c r="GP220" s="32"/>
      <c r="GQ220" s="32"/>
      <c r="GR220" s="32"/>
      <c r="GS220" s="32"/>
      <c r="GT220" s="32"/>
      <c r="GU220" s="32"/>
      <c r="GV220" s="32"/>
      <c r="GW220" s="32"/>
      <c r="GX220" s="32"/>
      <c r="GY220" s="32"/>
      <c r="GZ220" s="32"/>
      <c r="HA220" s="32"/>
      <c r="HB220" s="32"/>
      <c r="HC220" s="32"/>
      <c r="HD220" s="32"/>
      <c r="HE220" s="32"/>
      <c r="HF220" s="32"/>
      <c r="HG220" s="32"/>
      <c r="HH220" s="32"/>
      <c r="HI220" s="32"/>
      <c r="HJ220" s="32"/>
      <c r="HK220" s="32"/>
      <c r="HL220" s="32"/>
      <c r="HM220" s="32"/>
      <c r="HN220" s="32"/>
      <c r="HO220" s="32"/>
      <c r="HP220" s="32"/>
      <c r="HQ220" s="32"/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32"/>
      <c r="IE220" s="32"/>
      <c r="IF220" s="32"/>
      <c r="IG220" s="32"/>
      <c r="IH220" s="32"/>
      <c r="II220" s="32"/>
      <c r="IJ220" s="32"/>
      <c r="IK220" s="32"/>
      <c r="IL220" s="32"/>
      <c r="IM220" s="32"/>
      <c r="IN220" s="32"/>
      <c r="IO220" s="32"/>
      <c r="IP220" s="32"/>
      <c r="IQ220" s="32"/>
      <c r="IR220" s="32"/>
      <c r="IS220" s="32"/>
      <c r="IT220" s="32"/>
      <c r="IU220" s="32"/>
      <c r="IV220" s="32"/>
      <c r="IW220" s="32"/>
      <c r="IX220" s="32"/>
      <c r="IY220" s="32"/>
      <c r="IZ220" s="32"/>
      <c r="JA220" s="32"/>
      <c r="JB220" s="32"/>
      <c r="JC220" s="32"/>
      <c r="JD220" s="32"/>
      <c r="JE220" s="32"/>
      <c r="JF220" s="32"/>
      <c r="JG220" s="32"/>
      <c r="JH220" s="32"/>
      <c r="JI220" s="32"/>
      <c r="JJ220" s="32"/>
      <c r="JK220" s="32"/>
      <c r="JL220" s="32"/>
      <c r="JM220" s="32"/>
      <c r="JN220" s="32"/>
      <c r="JO220" s="32"/>
      <c r="JP220" s="32"/>
      <c r="JQ220" s="32"/>
      <c r="JR220" s="32"/>
      <c r="JS220" s="32"/>
      <c r="JT220" s="32"/>
      <c r="JU220" s="32"/>
      <c r="JV220" s="32"/>
      <c r="JW220" s="32"/>
      <c r="JX220" s="32"/>
      <c r="JY220" s="32"/>
      <c r="JZ220" s="32"/>
      <c r="KA220" s="32"/>
      <c r="KB220" s="32"/>
      <c r="KC220" s="32"/>
      <c r="KD220" s="32"/>
      <c r="KE220" s="32"/>
      <c r="KF220" s="32"/>
      <c r="KG220" s="32"/>
      <c r="KH220" s="32"/>
      <c r="KI220" s="32"/>
      <c r="KJ220" s="32"/>
      <c r="KK220" s="32"/>
      <c r="KL220" s="32"/>
      <c r="KM220" s="32"/>
      <c r="KN220" s="32"/>
      <c r="KO220" s="32"/>
      <c r="KP220" s="32"/>
      <c r="KQ220" s="32"/>
      <c r="KR220" s="32"/>
      <c r="KS220" s="32"/>
      <c r="KT220" s="32"/>
      <c r="KU220" s="32"/>
      <c r="KV220" s="32"/>
      <c r="KW220" s="32"/>
      <c r="KX220" s="32"/>
      <c r="KY220" s="32"/>
      <c r="KZ220" s="32"/>
      <c r="LA220" s="32"/>
      <c r="LB220" s="32"/>
      <c r="LC220" s="32"/>
      <c r="LD220" s="32"/>
      <c r="LE220" s="32"/>
      <c r="LF220" s="32"/>
      <c r="LG220" s="32"/>
      <c r="LH220" s="32"/>
      <c r="LI220" s="32"/>
      <c r="LJ220" s="32"/>
      <c r="LK220" s="32"/>
      <c r="LL220" s="32"/>
      <c r="LM220" s="32"/>
      <c r="LN220" s="32"/>
      <c r="LO220" s="32"/>
      <c r="LP220" s="32"/>
      <c r="LQ220" s="32"/>
      <c r="LR220" s="32"/>
      <c r="LS220" s="32"/>
      <c r="LT220" s="32"/>
      <c r="LU220" s="32"/>
      <c r="LV220" s="32"/>
      <c r="LW220" s="32"/>
      <c r="LX220" s="32"/>
      <c r="LY220" s="32"/>
      <c r="LZ220" s="32"/>
      <c r="MA220" s="32"/>
      <c r="MB220" s="32"/>
      <c r="MC220" s="32"/>
      <c r="MD220" s="32"/>
      <c r="ME220" s="32"/>
      <c r="MF220" s="32"/>
      <c r="MG220" s="32"/>
      <c r="MH220" s="32"/>
      <c r="MI220" s="32"/>
      <c r="MJ220" s="32"/>
      <c r="MK220" s="32"/>
      <c r="ML220" s="32"/>
      <c r="MM220" s="32"/>
      <c r="MN220" s="32"/>
      <c r="MO220" s="32"/>
      <c r="MP220" s="32"/>
      <c r="MQ220" s="32"/>
      <c r="MR220" s="32"/>
      <c r="MS220" s="32"/>
      <c r="MT220" s="32"/>
      <c r="MU220" s="32"/>
      <c r="MV220" s="32"/>
      <c r="MW220" s="32"/>
      <c r="MX220" s="32"/>
      <c r="MY220" s="32"/>
      <c r="MZ220" s="32"/>
      <c r="NA220" s="32"/>
      <c r="NB220" s="32"/>
      <c r="NC220" s="32"/>
      <c r="ND220" s="32"/>
      <c r="NE220" s="32"/>
      <c r="NF220" s="32"/>
      <c r="NG220" s="32"/>
      <c r="NH220" s="32"/>
      <c r="NI220" s="32"/>
      <c r="NJ220" s="32"/>
      <c r="NK220" s="32"/>
      <c r="NL220" s="32"/>
      <c r="NM220" s="32"/>
      <c r="NN220" s="32"/>
      <c r="NO220" s="32"/>
      <c r="NP220" s="32"/>
      <c r="NQ220" s="32"/>
      <c r="NR220" s="32"/>
      <c r="NS220" s="32"/>
      <c r="NT220" s="32"/>
      <c r="NU220" s="32"/>
      <c r="NV220" s="32"/>
      <c r="NW220" s="32"/>
      <c r="NX220" s="32"/>
      <c r="NY220" s="32"/>
      <c r="NZ220" s="32"/>
      <c r="OA220" s="32"/>
      <c r="OB220" s="32"/>
      <c r="OC220" s="32"/>
      <c r="OD220" s="32"/>
      <c r="OE220" s="32"/>
      <c r="OF220" s="32"/>
      <c r="OG220" s="32"/>
      <c r="OH220" s="32"/>
      <c r="OI220" s="32"/>
      <c r="OJ220" s="32"/>
      <c r="OK220" s="32"/>
      <c r="OL220" s="32"/>
      <c r="OM220" s="32"/>
      <c r="ON220" s="32"/>
      <c r="OO220" s="32"/>
      <c r="OP220" s="32"/>
      <c r="OQ220" s="32"/>
      <c r="OR220" s="32"/>
      <c r="OS220" s="32"/>
      <c r="OT220" s="32"/>
      <c r="OU220" s="32"/>
      <c r="OV220" s="32"/>
      <c r="OW220" s="32"/>
      <c r="OX220" s="32"/>
      <c r="OY220" s="32"/>
      <c r="OZ220" s="32"/>
      <c r="PA220" s="32"/>
      <c r="PB220" s="32"/>
      <c r="PC220" s="32"/>
      <c r="PD220" s="32"/>
      <c r="PE220" s="32"/>
      <c r="PF220" s="32"/>
      <c r="PG220" s="32"/>
      <c r="PH220" s="32"/>
      <c r="PI220" s="32"/>
      <c r="PJ220" s="32"/>
      <c r="PK220" s="32"/>
      <c r="PL220" s="32"/>
      <c r="PM220" s="32"/>
      <c r="PN220" s="32"/>
      <c r="PO220" s="32"/>
      <c r="PP220" s="32"/>
      <c r="PQ220" s="32"/>
      <c r="PR220" s="32"/>
      <c r="PS220" s="32"/>
      <c r="PT220" s="32"/>
      <c r="PU220" s="32"/>
      <c r="PV220" s="32"/>
      <c r="PW220" s="32"/>
      <c r="PX220" s="32"/>
      <c r="PY220" s="32"/>
      <c r="PZ220" s="32"/>
      <c r="QA220" s="32"/>
      <c r="QB220" s="32"/>
      <c r="QC220" s="32"/>
      <c r="QD220" s="32"/>
      <c r="QE220" s="32"/>
      <c r="QF220" s="32"/>
      <c r="QG220" s="32"/>
      <c r="QH220" s="32"/>
      <c r="QI220" s="32"/>
      <c r="QJ220" s="32"/>
      <c r="QK220" s="32"/>
      <c r="QL220" s="32"/>
      <c r="QM220" s="32"/>
      <c r="QN220" s="32"/>
      <c r="QO220" s="32"/>
      <c r="QP220" s="32"/>
      <c r="QQ220" s="32"/>
      <c r="QR220" s="32"/>
      <c r="QS220" s="32"/>
      <c r="QT220" s="32"/>
      <c r="QU220" s="32"/>
      <c r="QV220" s="32"/>
      <c r="QW220" s="32"/>
      <c r="QX220" s="32"/>
      <c r="QY220" s="32"/>
      <c r="QZ220" s="32"/>
      <c r="RA220" s="32"/>
      <c r="RB220" s="32"/>
      <c r="RC220" s="32"/>
      <c r="RD220" s="32"/>
      <c r="RE220" s="32"/>
      <c r="RF220" s="32"/>
      <c r="RG220" s="32"/>
      <c r="RH220" s="32"/>
      <c r="RI220" s="32"/>
      <c r="RJ220" s="32"/>
      <c r="RK220" s="32"/>
      <c r="RL220" s="32"/>
      <c r="RM220" s="32"/>
      <c r="RN220" s="32"/>
      <c r="RO220" s="32"/>
      <c r="RP220" s="32"/>
      <c r="RQ220" s="32"/>
      <c r="RR220" s="32"/>
      <c r="RS220" s="32"/>
      <c r="RT220" s="32"/>
      <c r="RU220" s="32"/>
      <c r="RV220" s="32"/>
      <c r="RW220" s="32"/>
      <c r="RX220" s="32"/>
      <c r="RY220" s="32"/>
      <c r="RZ220" s="32"/>
      <c r="SA220" s="32"/>
      <c r="SB220" s="32"/>
      <c r="SC220" s="32"/>
      <c r="SD220" s="32"/>
      <c r="SE220" s="32"/>
      <c r="SF220" s="32"/>
      <c r="SG220" s="32"/>
      <c r="SH220" s="32"/>
      <c r="SI220" s="32"/>
      <c r="SJ220" s="32"/>
      <c r="SK220" s="32"/>
      <c r="SL220" s="32"/>
      <c r="SM220" s="32"/>
      <c r="SN220" s="32"/>
      <c r="SO220" s="32"/>
      <c r="SP220" s="32"/>
      <c r="SQ220" s="32"/>
      <c r="SR220" s="32"/>
      <c r="SS220" s="32"/>
      <c r="ST220" s="32"/>
      <c r="SU220" s="32"/>
      <c r="SV220" s="32"/>
      <c r="SW220" s="32"/>
      <c r="SX220" s="32"/>
      <c r="SY220" s="32"/>
      <c r="SZ220" s="32"/>
      <c r="TA220" s="32"/>
      <c r="TB220" s="32"/>
      <c r="TC220" s="32"/>
      <c r="TD220" s="32"/>
      <c r="TE220" s="32"/>
      <c r="TF220" s="32"/>
      <c r="TG220" s="32"/>
    </row>
    <row r="221" spans="1:527" s="34" customFormat="1" ht="31.5" x14ac:dyDescent="0.25">
      <c r="A221" s="96" t="s">
        <v>195</v>
      </c>
      <c r="B221" s="109"/>
      <c r="C221" s="109"/>
      <c r="D221" s="77" t="s">
        <v>396</v>
      </c>
      <c r="E221" s="98">
        <f>E228+E229+E230+E231+E232+E233+E234+E235+E236+E237+E238+E239+E241+E240+E243+E245+E250+E252+E253+E254+E256+E259+E260+E261+E242+E247+E258+E257</f>
        <v>327335054.13999999</v>
      </c>
      <c r="F221" s="98">
        <f t="shared" ref="F221:P221" si="99">F228+F229+F230+F231+F232+F233+F234+F235+F236+F237+F238+F239+F241+F240+F243+F245+F250+F252+F253+F254+F256+F259+F260+F261+F242+F247+F258+F257</f>
        <v>291678095.65999997</v>
      </c>
      <c r="G221" s="98">
        <f t="shared" si="99"/>
        <v>11254400</v>
      </c>
      <c r="H221" s="98">
        <f t="shared" si="99"/>
        <v>35226635</v>
      </c>
      <c r="I221" s="98">
        <f t="shared" si="99"/>
        <v>35656958.480000004</v>
      </c>
      <c r="J221" s="98">
        <f t="shared" si="99"/>
        <v>165890663.72999996</v>
      </c>
      <c r="K221" s="98">
        <f t="shared" si="99"/>
        <v>158863897.15999997</v>
      </c>
      <c r="L221" s="98">
        <f t="shared" si="99"/>
        <v>1947686.57</v>
      </c>
      <c r="M221" s="98">
        <f t="shared" si="99"/>
        <v>0</v>
      </c>
      <c r="N221" s="98">
        <f t="shared" si="99"/>
        <v>0</v>
      </c>
      <c r="O221" s="98">
        <f t="shared" si="99"/>
        <v>163942977.15999997</v>
      </c>
      <c r="P221" s="98">
        <f t="shared" si="99"/>
        <v>493225717.86999995</v>
      </c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  <c r="IU221" s="33"/>
      <c r="IV221" s="33"/>
      <c r="IW221" s="33"/>
      <c r="IX221" s="33"/>
      <c r="IY221" s="33"/>
      <c r="IZ221" s="33"/>
      <c r="JA221" s="33"/>
      <c r="JB221" s="33"/>
      <c r="JC221" s="33"/>
      <c r="JD221" s="33"/>
      <c r="JE221" s="33"/>
      <c r="JF221" s="33"/>
      <c r="JG221" s="33"/>
      <c r="JH221" s="33"/>
      <c r="JI221" s="33"/>
      <c r="JJ221" s="33"/>
      <c r="JK221" s="33"/>
      <c r="JL221" s="33"/>
      <c r="JM221" s="33"/>
      <c r="JN221" s="33"/>
      <c r="JO221" s="33"/>
      <c r="JP221" s="33"/>
      <c r="JQ221" s="33"/>
      <c r="JR221" s="33"/>
      <c r="JS221" s="33"/>
      <c r="JT221" s="33"/>
      <c r="JU221" s="33"/>
      <c r="JV221" s="33"/>
      <c r="JW221" s="33"/>
      <c r="JX221" s="33"/>
      <c r="JY221" s="33"/>
      <c r="JZ221" s="33"/>
      <c r="KA221" s="33"/>
      <c r="KB221" s="33"/>
      <c r="KC221" s="33"/>
      <c r="KD221" s="33"/>
      <c r="KE221" s="33"/>
      <c r="KF221" s="33"/>
      <c r="KG221" s="33"/>
      <c r="KH221" s="33"/>
      <c r="KI221" s="33"/>
      <c r="KJ221" s="33"/>
      <c r="KK221" s="33"/>
      <c r="KL221" s="33"/>
      <c r="KM221" s="33"/>
      <c r="KN221" s="33"/>
      <c r="KO221" s="33"/>
      <c r="KP221" s="33"/>
      <c r="KQ221" s="33"/>
      <c r="KR221" s="33"/>
      <c r="KS221" s="33"/>
      <c r="KT221" s="33"/>
      <c r="KU221" s="33"/>
      <c r="KV221" s="33"/>
      <c r="KW221" s="33"/>
      <c r="KX221" s="33"/>
      <c r="KY221" s="33"/>
      <c r="KZ221" s="33"/>
      <c r="LA221" s="33"/>
      <c r="LB221" s="33"/>
      <c r="LC221" s="33"/>
      <c r="LD221" s="33"/>
      <c r="LE221" s="33"/>
      <c r="LF221" s="33"/>
      <c r="LG221" s="33"/>
      <c r="LH221" s="33"/>
      <c r="LI221" s="33"/>
      <c r="LJ221" s="33"/>
      <c r="LK221" s="33"/>
      <c r="LL221" s="33"/>
      <c r="LM221" s="33"/>
      <c r="LN221" s="33"/>
      <c r="LO221" s="33"/>
      <c r="LP221" s="33"/>
      <c r="LQ221" s="33"/>
      <c r="LR221" s="33"/>
      <c r="LS221" s="33"/>
      <c r="LT221" s="33"/>
      <c r="LU221" s="33"/>
      <c r="LV221" s="33"/>
      <c r="LW221" s="33"/>
      <c r="LX221" s="33"/>
      <c r="LY221" s="33"/>
      <c r="LZ221" s="33"/>
      <c r="MA221" s="33"/>
      <c r="MB221" s="33"/>
      <c r="MC221" s="33"/>
      <c r="MD221" s="33"/>
      <c r="ME221" s="33"/>
      <c r="MF221" s="33"/>
      <c r="MG221" s="33"/>
      <c r="MH221" s="33"/>
      <c r="MI221" s="33"/>
      <c r="MJ221" s="33"/>
      <c r="MK221" s="33"/>
      <c r="ML221" s="33"/>
      <c r="MM221" s="33"/>
      <c r="MN221" s="33"/>
      <c r="MO221" s="33"/>
      <c r="MP221" s="33"/>
      <c r="MQ221" s="33"/>
      <c r="MR221" s="33"/>
      <c r="MS221" s="33"/>
      <c r="MT221" s="33"/>
      <c r="MU221" s="33"/>
      <c r="MV221" s="33"/>
      <c r="MW221" s="33"/>
      <c r="MX221" s="33"/>
      <c r="MY221" s="33"/>
      <c r="MZ221" s="33"/>
      <c r="NA221" s="33"/>
      <c r="NB221" s="33"/>
      <c r="NC221" s="33"/>
      <c r="ND221" s="33"/>
      <c r="NE221" s="33"/>
      <c r="NF221" s="33"/>
      <c r="NG221" s="33"/>
      <c r="NH221" s="33"/>
      <c r="NI221" s="33"/>
      <c r="NJ221" s="33"/>
      <c r="NK221" s="33"/>
      <c r="NL221" s="33"/>
      <c r="NM221" s="33"/>
      <c r="NN221" s="33"/>
      <c r="NO221" s="33"/>
      <c r="NP221" s="33"/>
      <c r="NQ221" s="33"/>
      <c r="NR221" s="33"/>
      <c r="NS221" s="33"/>
      <c r="NT221" s="33"/>
      <c r="NU221" s="33"/>
      <c r="NV221" s="33"/>
      <c r="NW221" s="33"/>
      <c r="NX221" s="33"/>
      <c r="NY221" s="33"/>
      <c r="NZ221" s="33"/>
      <c r="OA221" s="33"/>
      <c r="OB221" s="33"/>
      <c r="OC221" s="33"/>
      <c r="OD221" s="33"/>
      <c r="OE221" s="33"/>
      <c r="OF221" s="33"/>
      <c r="OG221" s="33"/>
      <c r="OH221" s="33"/>
      <c r="OI221" s="33"/>
      <c r="OJ221" s="33"/>
      <c r="OK221" s="33"/>
      <c r="OL221" s="33"/>
      <c r="OM221" s="33"/>
      <c r="ON221" s="33"/>
      <c r="OO221" s="33"/>
      <c r="OP221" s="33"/>
      <c r="OQ221" s="33"/>
      <c r="OR221" s="33"/>
      <c r="OS221" s="33"/>
      <c r="OT221" s="33"/>
      <c r="OU221" s="33"/>
      <c r="OV221" s="33"/>
      <c r="OW221" s="33"/>
      <c r="OX221" s="33"/>
      <c r="OY221" s="33"/>
      <c r="OZ221" s="33"/>
      <c r="PA221" s="33"/>
      <c r="PB221" s="33"/>
      <c r="PC221" s="33"/>
      <c r="PD221" s="33"/>
      <c r="PE221" s="33"/>
      <c r="PF221" s="33"/>
      <c r="PG221" s="33"/>
      <c r="PH221" s="33"/>
      <c r="PI221" s="33"/>
      <c r="PJ221" s="33"/>
      <c r="PK221" s="33"/>
      <c r="PL221" s="33"/>
      <c r="PM221" s="33"/>
      <c r="PN221" s="33"/>
      <c r="PO221" s="33"/>
      <c r="PP221" s="33"/>
      <c r="PQ221" s="33"/>
      <c r="PR221" s="33"/>
      <c r="PS221" s="33"/>
      <c r="PT221" s="33"/>
      <c r="PU221" s="33"/>
      <c r="PV221" s="33"/>
      <c r="PW221" s="33"/>
      <c r="PX221" s="33"/>
      <c r="PY221" s="33"/>
      <c r="PZ221" s="33"/>
      <c r="QA221" s="33"/>
      <c r="QB221" s="33"/>
      <c r="QC221" s="33"/>
      <c r="QD221" s="33"/>
      <c r="QE221" s="33"/>
      <c r="QF221" s="33"/>
      <c r="QG221" s="33"/>
      <c r="QH221" s="33"/>
      <c r="QI221" s="33"/>
      <c r="QJ221" s="33"/>
      <c r="QK221" s="33"/>
      <c r="QL221" s="33"/>
      <c r="QM221" s="33"/>
      <c r="QN221" s="33"/>
      <c r="QO221" s="33"/>
      <c r="QP221" s="33"/>
      <c r="QQ221" s="33"/>
      <c r="QR221" s="33"/>
      <c r="QS221" s="33"/>
      <c r="QT221" s="33"/>
      <c r="QU221" s="33"/>
      <c r="QV221" s="33"/>
      <c r="QW221" s="33"/>
      <c r="QX221" s="33"/>
      <c r="QY221" s="33"/>
      <c r="QZ221" s="33"/>
      <c r="RA221" s="33"/>
      <c r="RB221" s="33"/>
      <c r="RC221" s="33"/>
      <c r="RD221" s="33"/>
      <c r="RE221" s="33"/>
      <c r="RF221" s="33"/>
      <c r="RG221" s="33"/>
      <c r="RH221" s="33"/>
      <c r="RI221" s="33"/>
      <c r="RJ221" s="33"/>
      <c r="RK221" s="33"/>
      <c r="RL221" s="33"/>
      <c r="RM221" s="33"/>
      <c r="RN221" s="33"/>
      <c r="RO221" s="33"/>
      <c r="RP221" s="33"/>
      <c r="RQ221" s="33"/>
      <c r="RR221" s="33"/>
      <c r="RS221" s="33"/>
      <c r="RT221" s="33"/>
      <c r="RU221" s="33"/>
      <c r="RV221" s="33"/>
      <c r="RW221" s="33"/>
      <c r="RX221" s="33"/>
      <c r="RY221" s="33"/>
      <c r="RZ221" s="33"/>
      <c r="SA221" s="33"/>
      <c r="SB221" s="33"/>
      <c r="SC221" s="33"/>
      <c r="SD221" s="33"/>
      <c r="SE221" s="33"/>
      <c r="SF221" s="33"/>
      <c r="SG221" s="33"/>
      <c r="SH221" s="33"/>
      <c r="SI221" s="33"/>
      <c r="SJ221" s="33"/>
      <c r="SK221" s="33"/>
      <c r="SL221" s="33"/>
      <c r="SM221" s="33"/>
      <c r="SN221" s="33"/>
      <c r="SO221" s="33"/>
      <c r="SP221" s="33"/>
      <c r="SQ221" s="33"/>
      <c r="SR221" s="33"/>
      <c r="SS221" s="33"/>
      <c r="ST221" s="33"/>
      <c r="SU221" s="33"/>
      <c r="SV221" s="33"/>
      <c r="SW221" s="33"/>
      <c r="SX221" s="33"/>
      <c r="SY221" s="33"/>
      <c r="SZ221" s="33"/>
      <c r="TA221" s="33"/>
      <c r="TB221" s="33"/>
      <c r="TC221" s="33"/>
      <c r="TD221" s="33"/>
      <c r="TE221" s="33"/>
      <c r="TF221" s="33"/>
      <c r="TG221" s="33"/>
    </row>
    <row r="222" spans="1:527" s="34" customFormat="1" ht="58.5" customHeight="1" x14ac:dyDescent="0.25">
      <c r="A222" s="96"/>
      <c r="B222" s="109"/>
      <c r="C222" s="109"/>
      <c r="D222" s="77" t="s">
        <v>388</v>
      </c>
      <c r="E222" s="98">
        <f>E244</f>
        <v>0</v>
      </c>
      <c r="F222" s="98">
        <f t="shared" ref="F222:P222" si="100">F244</f>
        <v>0</v>
      </c>
      <c r="G222" s="98">
        <f t="shared" si="100"/>
        <v>0</v>
      </c>
      <c r="H222" s="98">
        <f t="shared" si="100"/>
        <v>0</v>
      </c>
      <c r="I222" s="98">
        <f t="shared" si="100"/>
        <v>0</v>
      </c>
      <c r="J222" s="98">
        <f t="shared" si="100"/>
        <v>10359984</v>
      </c>
      <c r="K222" s="98">
        <f t="shared" si="100"/>
        <v>10359984</v>
      </c>
      <c r="L222" s="98">
        <f t="shared" si="100"/>
        <v>0</v>
      </c>
      <c r="M222" s="98">
        <f t="shared" si="100"/>
        <v>0</v>
      </c>
      <c r="N222" s="98">
        <f t="shared" si="100"/>
        <v>0</v>
      </c>
      <c r="O222" s="98">
        <f t="shared" si="100"/>
        <v>10359984</v>
      </c>
      <c r="P222" s="98">
        <f t="shared" si="100"/>
        <v>10359984</v>
      </c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  <c r="GE222" s="33"/>
      <c r="GF222" s="33"/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33"/>
      <c r="GZ222" s="33"/>
      <c r="HA222" s="33"/>
      <c r="HB222" s="33"/>
      <c r="HC222" s="33"/>
      <c r="HD222" s="33"/>
      <c r="HE222" s="33"/>
      <c r="HF222" s="33"/>
      <c r="HG222" s="33"/>
      <c r="HH222" s="33"/>
      <c r="HI222" s="33"/>
      <c r="HJ222" s="33"/>
      <c r="HK222" s="33"/>
      <c r="HL222" s="33"/>
      <c r="HM222" s="33"/>
      <c r="HN222" s="33"/>
      <c r="HO222" s="33"/>
      <c r="HP222" s="33"/>
      <c r="HQ222" s="33"/>
      <c r="HR222" s="33"/>
      <c r="HS222" s="33"/>
      <c r="HT222" s="33"/>
      <c r="HU222" s="33"/>
      <c r="HV222" s="33"/>
      <c r="HW222" s="33"/>
      <c r="HX222" s="33"/>
      <c r="HY222" s="33"/>
      <c r="HZ222" s="33"/>
      <c r="IA222" s="33"/>
      <c r="IB222" s="33"/>
      <c r="IC222" s="33"/>
      <c r="ID222" s="33"/>
      <c r="IE222" s="33"/>
      <c r="IF222" s="33"/>
      <c r="IG222" s="33"/>
      <c r="IH222" s="33"/>
      <c r="II222" s="33"/>
      <c r="IJ222" s="33"/>
      <c r="IK222" s="33"/>
      <c r="IL222" s="33"/>
      <c r="IM222" s="33"/>
      <c r="IN222" s="33"/>
      <c r="IO222" s="33"/>
      <c r="IP222" s="33"/>
      <c r="IQ222" s="33"/>
      <c r="IR222" s="33"/>
      <c r="IS222" s="33"/>
      <c r="IT222" s="33"/>
      <c r="IU222" s="33"/>
      <c r="IV222" s="33"/>
      <c r="IW222" s="33"/>
      <c r="IX222" s="33"/>
      <c r="IY222" s="33"/>
      <c r="IZ222" s="33"/>
      <c r="JA222" s="33"/>
      <c r="JB222" s="33"/>
      <c r="JC222" s="33"/>
      <c r="JD222" s="33"/>
      <c r="JE222" s="33"/>
      <c r="JF222" s="33"/>
      <c r="JG222" s="33"/>
      <c r="JH222" s="33"/>
      <c r="JI222" s="33"/>
      <c r="JJ222" s="33"/>
      <c r="JK222" s="33"/>
      <c r="JL222" s="33"/>
      <c r="JM222" s="33"/>
      <c r="JN222" s="33"/>
      <c r="JO222" s="33"/>
      <c r="JP222" s="33"/>
      <c r="JQ222" s="33"/>
      <c r="JR222" s="33"/>
      <c r="JS222" s="33"/>
      <c r="JT222" s="33"/>
      <c r="JU222" s="33"/>
      <c r="JV222" s="33"/>
      <c r="JW222" s="33"/>
      <c r="JX222" s="33"/>
      <c r="JY222" s="33"/>
      <c r="JZ222" s="33"/>
      <c r="KA222" s="33"/>
      <c r="KB222" s="33"/>
      <c r="KC222" s="33"/>
      <c r="KD222" s="33"/>
      <c r="KE222" s="33"/>
      <c r="KF222" s="33"/>
      <c r="KG222" s="33"/>
      <c r="KH222" s="33"/>
      <c r="KI222" s="33"/>
      <c r="KJ222" s="33"/>
      <c r="KK222" s="33"/>
      <c r="KL222" s="33"/>
      <c r="KM222" s="33"/>
      <c r="KN222" s="33"/>
      <c r="KO222" s="33"/>
      <c r="KP222" s="33"/>
      <c r="KQ222" s="33"/>
      <c r="KR222" s="33"/>
      <c r="KS222" s="33"/>
      <c r="KT222" s="33"/>
      <c r="KU222" s="33"/>
      <c r="KV222" s="33"/>
      <c r="KW222" s="33"/>
      <c r="KX222" s="33"/>
      <c r="KY222" s="33"/>
      <c r="KZ222" s="33"/>
      <c r="LA222" s="33"/>
      <c r="LB222" s="33"/>
      <c r="LC222" s="33"/>
      <c r="LD222" s="33"/>
      <c r="LE222" s="33"/>
      <c r="LF222" s="33"/>
      <c r="LG222" s="33"/>
      <c r="LH222" s="33"/>
      <c r="LI222" s="33"/>
      <c r="LJ222" s="33"/>
      <c r="LK222" s="33"/>
      <c r="LL222" s="33"/>
      <c r="LM222" s="33"/>
      <c r="LN222" s="33"/>
      <c r="LO222" s="33"/>
      <c r="LP222" s="33"/>
      <c r="LQ222" s="33"/>
      <c r="LR222" s="33"/>
      <c r="LS222" s="33"/>
      <c r="LT222" s="33"/>
      <c r="LU222" s="33"/>
      <c r="LV222" s="33"/>
      <c r="LW222" s="33"/>
      <c r="LX222" s="33"/>
      <c r="LY222" s="33"/>
      <c r="LZ222" s="33"/>
      <c r="MA222" s="33"/>
      <c r="MB222" s="33"/>
      <c r="MC222" s="33"/>
      <c r="MD222" s="33"/>
      <c r="ME222" s="33"/>
      <c r="MF222" s="33"/>
      <c r="MG222" s="33"/>
      <c r="MH222" s="33"/>
      <c r="MI222" s="33"/>
      <c r="MJ222" s="33"/>
      <c r="MK222" s="33"/>
      <c r="ML222" s="33"/>
      <c r="MM222" s="33"/>
      <c r="MN222" s="33"/>
      <c r="MO222" s="33"/>
      <c r="MP222" s="33"/>
      <c r="MQ222" s="33"/>
      <c r="MR222" s="33"/>
      <c r="MS222" s="33"/>
      <c r="MT222" s="33"/>
      <c r="MU222" s="33"/>
      <c r="MV222" s="33"/>
      <c r="MW222" s="33"/>
      <c r="MX222" s="33"/>
      <c r="MY222" s="33"/>
      <c r="MZ222" s="33"/>
      <c r="NA222" s="33"/>
      <c r="NB222" s="33"/>
      <c r="NC222" s="33"/>
      <c r="ND222" s="33"/>
      <c r="NE222" s="33"/>
      <c r="NF222" s="33"/>
      <c r="NG222" s="33"/>
      <c r="NH222" s="33"/>
      <c r="NI222" s="33"/>
      <c r="NJ222" s="33"/>
      <c r="NK222" s="33"/>
      <c r="NL222" s="33"/>
      <c r="NM222" s="33"/>
      <c r="NN222" s="33"/>
      <c r="NO222" s="33"/>
      <c r="NP222" s="33"/>
      <c r="NQ222" s="33"/>
      <c r="NR222" s="33"/>
      <c r="NS222" s="33"/>
      <c r="NT222" s="33"/>
      <c r="NU222" s="33"/>
      <c r="NV222" s="33"/>
      <c r="NW222" s="33"/>
      <c r="NX222" s="33"/>
      <c r="NY222" s="33"/>
      <c r="NZ222" s="33"/>
      <c r="OA222" s="33"/>
      <c r="OB222" s="33"/>
      <c r="OC222" s="33"/>
      <c r="OD222" s="33"/>
      <c r="OE222" s="33"/>
      <c r="OF222" s="33"/>
      <c r="OG222" s="33"/>
      <c r="OH222" s="33"/>
      <c r="OI222" s="33"/>
      <c r="OJ222" s="33"/>
      <c r="OK222" s="33"/>
      <c r="OL222" s="33"/>
      <c r="OM222" s="33"/>
      <c r="ON222" s="33"/>
      <c r="OO222" s="33"/>
      <c r="OP222" s="33"/>
      <c r="OQ222" s="33"/>
      <c r="OR222" s="33"/>
      <c r="OS222" s="33"/>
      <c r="OT222" s="33"/>
      <c r="OU222" s="33"/>
      <c r="OV222" s="33"/>
      <c r="OW222" s="33"/>
      <c r="OX222" s="33"/>
      <c r="OY222" s="33"/>
      <c r="OZ222" s="33"/>
      <c r="PA222" s="33"/>
      <c r="PB222" s="33"/>
      <c r="PC222" s="33"/>
      <c r="PD222" s="33"/>
      <c r="PE222" s="33"/>
      <c r="PF222" s="33"/>
      <c r="PG222" s="33"/>
      <c r="PH222" s="33"/>
      <c r="PI222" s="33"/>
      <c r="PJ222" s="33"/>
      <c r="PK222" s="33"/>
      <c r="PL222" s="33"/>
      <c r="PM222" s="33"/>
      <c r="PN222" s="33"/>
      <c r="PO222" s="33"/>
      <c r="PP222" s="33"/>
      <c r="PQ222" s="33"/>
      <c r="PR222" s="33"/>
      <c r="PS222" s="33"/>
      <c r="PT222" s="33"/>
      <c r="PU222" s="33"/>
      <c r="PV222" s="33"/>
      <c r="PW222" s="33"/>
      <c r="PX222" s="33"/>
      <c r="PY222" s="33"/>
      <c r="PZ222" s="33"/>
      <c r="QA222" s="33"/>
      <c r="QB222" s="33"/>
      <c r="QC222" s="33"/>
      <c r="QD222" s="33"/>
      <c r="QE222" s="33"/>
      <c r="QF222" s="33"/>
      <c r="QG222" s="33"/>
      <c r="QH222" s="33"/>
      <c r="QI222" s="33"/>
      <c r="QJ222" s="33"/>
      <c r="QK222" s="33"/>
      <c r="QL222" s="33"/>
      <c r="QM222" s="33"/>
      <c r="QN222" s="33"/>
      <c r="QO222" s="33"/>
      <c r="QP222" s="33"/>
      <c r="QQ222" s="33"/>
      <c r="QR222" s="33"/>
      <c r="QS222" s="33"/>
      <c r="QT222" s="33"/>
      <c r="QU222" s="33"/>
      <c r="QV222" s="33"/>
      <c r="QW222" s="33"/>
      <c r="QX222" s="33"/>
      <c r="QY222" s="33"/>
      <c r="QZ222" s="33"/>
      <c r="RA222" s="33"/>
      <c r="RB222" s="33"/>
      <c r="RC222" s="33"/>
      <c r="RD222" s="33"/>
      <c r="RE222" s="33"/>
      <c r="RF222" s="33"/>
      <c r="RG222" s="33"/>
      <c r="RH222" s="33"/>
      <c r="RI222" s="33"/>
      <c r="RJ222" s="33"/>
      <c r="RK222" s="33"/>
      <c r="RL222" s="33"/>
      <c r="RM222" s="33"/>
      <c r="RN222" s="33"/>
      <c r="RO222" s="33"/>
      <c r="RP222" s="33"/>
      <c r="RQ222" s="33"/>
      <c r="RR222" s="33"/>
      <c r="RS222" s="33"/>
      <c r="RT222" s="33"/>
      <c r="RU222" s="33"/>
      <c r="RV222" s="33"/>
      <c r="RW222" s="33"/>
      <c r="RX222" s="33"/>
      <c r="RY222" s="33"/>
      <c r="RZ222" s="33"/>
      <c r="SA222" s="33"/>
      <c r="SB222" s="33"/>
      <c r="SC222" s="33"/>
      <c r="SD222" s="33"/>
      <c r="SE222" s="33"/>
      <c r="SF222" s="33"/>
      <c r="SG222" s="33"/>
      <c r="SH222" s="33"/>
      <c r="SI222" s="33"/>
      <c r="SJ222" s="33"/>
      <c r="SK222" s="33"/>
      <c r="SL222" s="33"/>
      <c r="SM222" s="33"/>
      <c r="SN222" s="33"/>
      <c r="SO222" s="33"/>
      <c r="SP222" s="33"/>
      <c r="SQ222" s="33"/>
      <c r="SR222" s="33"/>
      <c r="SS222" s="33"/>
      <c r="ST222" s="33"/>
      <c r="SU222" s="33"/>
      <c r="SV222" s="33"/>
      <c r="SW222" s="33"/>
      <c r="SX222" s="33"/>
      <c r="SY222" s="33"/>
      <c r="SZ222" s="33"/>
      <c r="TA222" s="33"/>
      <c r="TB222" s="33"/>
      <c r="TC222" s="33"/>
      <c r="TD222" s="33"/>
      <c r="TE222" s="33"/>
      <c r="TF222" s="33"/>
      <c r="TG222" s="33"/>
    </row>
    <row r="223" spans="1:527" s="34" customFormat="1" ht="110.25" x14ac:dyDescent="0.25">
      <c r="A223" s="96"/>
      <c r="B223" s="109"/>
      <c r="C223" s="109"/>
      <c r="D223" s="77" t="s">
        <v>397</v>
      </c>
      <c r="E223" s="98">
        <f>E248</f>
        <v>0</v>
      </c>
      <c r="F223" s="98">
        <f t="shared" ref="F223:P223" si="101">F248</f>
        <v>0</v>
      </c>
      <c r="G223" s="98">
        <f t="shared" si="101"/>
        <v>0</v>
      </c>
      <c r="H223" s="98">
        <f t="shared" si="101"/>
        <v>0</v>
      </c>
      <c r="I223" s="98">
        <f t="shared" si="101"/>
        <v>0</v>
      </c>
      <c r="J223" s="98">
        <f t="shared" si="101"/>
        <v>0</v>
      </c>
      <c r="K223" s="98">
        <f t="shared" si="101"/>
        <v>0</v>
      </c>
      <c r="L223" s="98">
        <f t="shared" si="101"/>
        <v>0</v>
      </c>
      <c r="M223" s="98">
        <f t="shared" si="101"/>
        <v>0</v>
      </c>
      <c r="N223" s="98">
        <f t="shared" si="101"/>
        <v>0</v>
      </c>
      <c r="O223" s="98">
        <f t="shared" si="101"/>
        <v>0</v>
      </c>
      <c r="P223" s="98">
        <f t="shared" si="101"/>
        <v>0</v>
      </c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3"/>
      <c r="HG223" s="33"/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  <c r="IU223" s="33"/>
      <c r="IV223" s="33"/>
      <c r="IW223" s="33"/>
      <c r="IX223" s="33"/>
      <c r="IY223" s="33"/>
      <c r="IZ223" s="33"/>
      <c r="JA223" s="33"/>
      <c r="JB223" s="33"/>
      <c r="JC223" s="33"/>
      <c r="JD223" s="33"/>
      <c r="JE223" s="33"/>
      <c r="JF223" s="33"/>
      <c r="JG223" s="33"/>
      <c r="JH223" s="33"/>
      <c r="JI223" s="33"/>
      <c r="JJ223" s="33"/>
      <c r="JK223" s="33"/>
      <c r="JL223" s="33"/>
      <c r="JM223" s="33"/>
      <c r="JN223" s="33"/>
      <c r="JO223" s="33"/>
      <c r="JP223" s="33"/>
      <c r="JQ223" s="33"/>
      <c r="JR223" s="33"/>
      <c r="JS223" s="33"/>
      <c r="JT223" s="33"/>
      <c r="JU223" s="33"/>
      <c r="JV223" s="33"/>
      <c r="JW223" s="33"/>
      <c r="JX223" s="33"/>
      <c r="JY223" s="33"/>
      <c r="JZ223" s="33"/>
      <c r="KA223" s="33"/>
      <c r="KB223" s="33"/>
      <c r="KC223" s="33"/>
      <c r="KD223" s="33"/>
      <c r="KE223" s="33"/>
      <c r="KF223" s="33"/>
      <c r="KG223" s="33"/>
      <c r="KH223" s="33"/>
      <c r="KI223" s="33"/>
      <c r="KJ223" s="33"/>
      <c r="KK223" s="33"/>
      <c r="KL223" s="33"/>
      <c r="KM223" s="33"/>
      <c r="KN223" s="33"/>
      <c r="KO223" s="33"/>
      <c r="KP223" s="33"/>
      <c r="KQ223" s="33"/>
      <c r="KR223" s="33"/>
      <c r="KS223" s="33"/>
      <c r="KT223" s="33"/>
      <c r="KU223" s="33"/>
      <c r="KV223" s="33"/>
      <c r="KW223" s="33"/>
      <c r="KX223" s="33"/>
      <c r="KY223" s="33"/>
      <c r="KZ223" s="33"/>
      <c r="LA223" s="33"/>
      <c r="LB223" s="33"/>
      <c r="LC223" s="33"/>
      <c r="LD223" s="33"/>
      <c r="LE223" s="33"/>
      <c r="LF223" s="33"/>
      <c r="LG223" s="33"/>
      <c r="LH223" s="33"/>
      <c r="LI223" s="33"/>
      <c r="LJ223" s="33"/>
      <c r="LK223" s="33"/>
      <c r="LL223" s="33"/>
      <c r="LM223" s="33"/>
      <c r="LN223" s="33"/>
      <c r="LO223" s="33"/>
      <c r="LP223" s="33"/>
      <c r="LQ223" s="33"/>
      <c r="LR223" s="33"/>
      <c r="LS223" s="33"/>
      <c r="LT223" s="33"/>
      <c r="LU223" s="33"/>
      <c r="LV223" s="33"/>
      <c r="LW223" s="33"/>
      <c r="LX223" s="33"/>
      <c r="LY223" s="33"/>
      <c r="LZ223" s="33"/>
      <c r="MA223" s="33"/>
      <c r="MB223" s="33"/>
      <c r="MC223" s="33"/>
      <c r="MD223" s="33"/>
      <c r="ME223" s="33"/>
      <c r="MF223" s="33"/>
      <c r="MG223" s="33"/>
      <c r="MH223" s="33"/>
      <c r="MI223" s="33"/>
      <c r="MJ223" s="33"/>
      <c r="MK223" s="33"/>
      <c r="ML223" s="33"/>
      <c r="MM223" s="33"/>
      <c r="MN223" s="33"/>
      <c r="MO223" s="33"/>
      <c r="MP223" s="33"/>
      <c r="MQ223" s="33"/>
      <c r="MR223" s="33"/>
      <c r="MS223" s="33"/>
      <c r="MT223" s="33"/>
      <c r="MU223" s="33"/>
      <c r="MV223" s="33"/>
      <c r="MW223" s="33"/>
      <c r="MX223" s="33"/>
      <c r="MY223" s="33"/>
      <c r="MZ223" s="33"/>
      <c r="NA223" s="33"/>
      <c r="NB223" s="33"/>
      <c r="NC223" s="33"/>
      <c r="ND223" s="33"/>
      <c r="NE223" s="33"/>
      <c r="NF223" s="33"/>
      <c r="NG223" s="33"/>
      <c r="NH223" s="33"/>
      <c r="NI223" s="33"/>
      <c r="NJ223" s="33"/>
      <c r="NK223" s="33"/>
      <c r="NL223" s="33"/>
      <c r="NM223" s="33"/>
      <c r="NN223" s="33"/>
      <c r="NO223" s="33"/>
      <c r="NP223" s="33"/>
      <c r="NQ223" s="33"/>
      <c r="NR223" s="33"/>
      <c r="NS223" s="33"/>
      <c r="NT223" s="33"/>
      <c r="NU223" s="33"/>
      <c r="NV223" s="33"/>
      <c r="NW223" s="33"/>
      <c r="NX223" s="33"/>
      <c r="NY223" s="33"/>
      <c r="NZ223" s="33"/>
      <c r="OA223" s="33"/>
      <c r="OB223" s="33"/>
      <c r="OC223" s="33"/>
      <c r="OD223" s="33"/>
      <c r="OE223" s="33"/>
      <c r="OF223" s="33"/>
      <c r="OG223" s="33"/>
      <c r="OH223" s="33"/>
      <c r="OI223" s="33"/>
      <c r="OJ223" s="33"/>
      <c r="OK223" s="33"/>
      <c r="OL223" s="33"/>
      <c r="OM223" s="33"/>
      <c r="ON223" s="33"/>
      <c r="OO223" s="33"/>
      <c r="OP223" s="33"/>
      <c r="OQ223" s="33"/>
      <c r="OR223" s="33"/>
      <c r="OS223" s="33"/>
      <c r="OT223" s="33"/>
      <c r="OU223" s="33"/>
      <c r="OV223" s="33"/>
      <c r="OW223" s="33"/>
      <c r="OX223" s="33"/>
      <c r="OY223" s="33"/>
      <c r="OZ223" s="33"/>
      <c r="PA223" s="33"/>
      <c r="PB223" s="33"/>
      <c r="PC223" s="33"/>
      <c r="PD223" s="33"/>
      <c r="PE223" s="33"/>
      <c r="PF223" s="33"/>
      <c r="PG223" s="33"/>
      <c r="PH223" s="33"/>
      <c r="PI223" s="33"/>
      <c r="PJ223" s="33"/>
      <c r="PK223" s="33"/>
      <c r="PL223" s="33"/>
      <c r="PM223" s="33"/>
      <c r="PN223" s="33"/>
      <c r="PO223" s="33"/>
      <c r="PP223" s="33"/>
      <c r="PQ223" s="33"/>
      <c r="PR223" s="33"/>
      <c r="PS223" s="33"/>
      <c r="PT223" s="33"/>
      <c r="PU223" s="33"/>
      <c r="PV223" s="33"/>
      <c r="PW223" s="33"/>
      <c r="PX223" s="33"/>
      <c r="PY223" s="33"/>
      <c r="PZ223" s="33"/>
      <c r="QA223" s="33"/>
      <c r="QB223" s="33"/>
      <c r="QC223" s="33"/>
      <c r="QD223" s="33"/>
      <c r="QE223" s="33"/>
      <c r="QF223" s="33"/>
      <c r="QG223" s="33"/>
      <c r="QH223" s="33"/>
      <c r="QI223" s="33"/>
      <c r="QJ223" s="33"/>
      <c r="QK223" s="33"/>
      <c r="QL223" s="33"/>
      <c r="QM223" s="33"/>
      <c r="QN223" s="33"/>
      <c r="QO223" s="33"/>
      <c r="QP223" s="33"/>
      <c r="QQ223" s="33"/>
      <c r="QR223" s="33"/>
      <c r="QS223" s="33"/>
      <c r="QT223" s="33"/>
      <c r="QU223" s="33"/>
      <c r="QV223" s="33"/>
      <c r="QW223" s="33"/>
      <c r="QX223" s="33"/>
      <c r="QY223" s="33"/>
      <c r="QZ223" s="33"/>
      <c r="RA223" s="33"/>
      <c r="RB223" s="33"/>
      <c r="RC223" s="33"/>
      <c r="RD223" s="33"/>
      <c r="RE223" s="33"/>
      <c r="RF223" s="33"/>
      <c r="RG223" s="33"/>
      <c r="RH223" s="33"/>
      <c r="RI223" s="33"/>
      <c r="RJ223" s="33"/>
      <c r="RK223" s="33"/>
      <c r="RL223" s="33"/>
      <c r="RM223" s="33"/>
      <c r="RN223" s="33"/>
      <c r="RO223" s="33"/>
      <c r="RP223" s="33"/>
      <c r="RQ223" s="33"/>
      <c r="RR223" s="33"/>
      <c r="RS223" s="33"/>
      <c r="RT223" s="33"/>
      <c r="RU223" s="33"/>
      <c r="RV223" s="33"/>
      <c r="RW223" s="33"/>
      <c r="RX223" s="33"/>
      <c r="RY223" s="33"/>
      <c r="RZ223" s="33"/>
      <c r="SA223" s="33"/>
      <c r="SB223" s="33"/>
      <c r="SC223" s="33"/>
      <c r="SD223" s="33"/>
      <c r="SE223" s="33"/>
      <c r="SF223" s="33"/>
      <c r="SG223" s="33"/>
      <c r="SH223" s="33"/>
      <c r="SI223" s="33"/>
      <c r="SJ223" s="33"/>
      <c r="SK223" s="33"/>
      <c r="SL223" s="33"/>
      <c r="SM223" s="33"/>
      <c r="SN223" s="33"/>
      <c r="SO223" s="33"/>
      <c r="SP223" s="33"/>
      <c r="SQ223" s="33"/>
      <c r="SR223" s="33"/>
      <c r="SS223" s="33"/>
      <c r="ST223" s="33"/>
      <c r="SU223" s="33"/>
      <c r="SV223" s="33"/>
      <c r="SW223" s="33"/>
      <c r="SX223" s="33"/>
      <c r="SY223" s="33"/>
      <c r="SZ223" s="33"/>
      <c r="TA223" s="33"/>
      <c r="TB223" s="33"/>
      <c r="TC223" s="33"/>
      <c r="TD223" s="33"/>
      <c r="TE223" s="33"/>
      <c r="TF223" s="33"/>
      <c r="TG223" s="33"/>
    </row>
    <row r="224" spans="1:527" s="34" customFormat="1" ht="78.75" x14ac:dyDescent="0.25">
      <c r="A224" s="96"/>
      <c r="B224" s="109"/>
      <c r="C224" s="109"/>
      <c r="D224" s="77" t="s">
        <v>540</v>
      </c>
      <c r="E224" s="98">
        <f>E249</f>
        <v>1527346</v>
      </c>
      <c r="F224" s="98">
        <f t="shared" ref="F224:P224" si="102">F249</f>
        <v>1527346</v>
      </c>
      <c r="G224" s="98">
        <f t="shared" si="102"/>
        <v>0</v>
      </c>
      <c r="H224" s="98">
        <f t="shared" si="102"/>
        <v>0</v>
      </c>
      <c r="I224" s="98">
        <f t="shared" si="102"/>
        <v>0</v>
      </c>
      <c r="J224" s="98">
        <f t="shared" si="102"/>
        <v>0</v>
      </c>
      <c r="K224" s="98">
        <f t="shared" si="102"/>
        <v>0</v>
      </c>
      <c r="L224" s="98">
        <f t="shared" si="102"/>
        <v>0</v>
      </c>
      <c r="M224" s="98">
        <f t="shared" si="102"/>
        <v>0</v>
      </c>
      <c r="N224" s="98">
        <f t="shared" si="102"/>
        <v>0</v>
      </c>
      <c r="O224" s="98">
        <f t="shared" si="102"/>
        <v>0</v>
      </c>
      <c r="P224" s="98">
        <f t="shared" si="102"/>
        <v>1527346</v>
      </c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  <c r="IU224" s="33"/>
      <c r="IV224" s="33"/>
      <c r="IW224" s="33"/>
      <c r="IX224" s="33"/>
      <c r="IY224" s="33"/>
      <c r="IZ224" s="33"/>
      <c r="JA224" s="33"/>
      <c r="JB224" s="33"/>
      <c r="JC224" s="33"/>
      <c r="JD224" s="33"/>
      <c r="JE224" s="33"/>
      <c r="JF224" s="33"/>
      <c r="JG224" s="33"/>
      <c r="JH224" s="33"/>
      <c r="JI224" s="33"/>
      <c r="JJ224" s="33"/>
      <c r="JK224" s="33"/>
      <c r="JL224" s="33"/>
      <c r="JM224" s="33"/>
      <c r="JN224" s="33"/>
      <c r="JO224" s="33"/>
      <c r="JP224" s="33"/>
      <c r="JQ224" s="33"/>
      <c r="JR224" s="33"/>
      <c r="JS224" s="33"/>
      <c r="JT224" s="33"/>
      <c r="JU224" s="33"/>
      <c r="JV224" s="33"/>
      <c r="JW224" s="33"/>
      <c r="JX224" s="33"/>
      <c r="JY224" s="33"/>
      <c r="JZ224" s="33"/>
      <c r="KA224" s="33"/>
      <c r="KB224" s="33"/>
      <c r="KC224" s="33"/>
      <c r="KD224" s="33"/>
      <c r="KE224" s="33"/>
      <c r="KF224" s="33"/>
      <c r="KG224" s="33"/>
      <c r="KH224" s="33"/>
      <c r="KI224" s="33"/>
      <c r="KJ224" s="33"/>
      <c r="KK224" s="33"/>
      <c r="KL224" s="33"/>
      <c r="KM224" s="33"/>
      <c r="KN224" s="33"/>
      <c r="KO224" s="33"/>
      <c r="KP224" s="33"/>
      <c r="KQ224" s="33"/>
      <c r="KR224" s="33"/>
      <c r="KS224" s="33"/>
      <c r="KT224" s="33"/>
      <c r="KU224" s="33"/>
      <c r="KV224" s="33"/>
      <c r="KW224" s="33"/>
      <c r="KX224" s="33"/>
      <c r="KY224" s="33"/>
      <c r="KZ224" s="33"/>
      <c r="LA224" s="33"/>
      <c r="LB224" s="33"/>
      <c r="LC224" s="33"/>
      <c r="LD224" s="33"/>
      <c r="LE224" s="33"/>
      <c r="LF224" s="33"/>
      <c r="LG224" s="33"/>
      <c r="LH224" s="33"/>
      <c r="LI224" s="33"/>
      <c r="LJ224" s="33"/>
      <c r="LK224" s="33"/>
      <c r="LL224" s="33"/>
      <c r="LM224" s="33"/>
      <c r="LN224" s="33"/>
      <c r="LO224" s="33"/>
      <c r="LP224" s="33"/>
      <c r="LQ224" s="33"/>
      <c r="LR224" s="33"/>
      <c r="LS224" s="33"/>
      <c r="LT224" s="33"/>
      <c r="LU224" s="33"/>
      <c r="LV224" s="33"/>
      <c r="LW224" s="33"/>
      <c r="LX224" s="33"/>
      <c r="LY224" s="33"/>
      <c r="LZ224" s="33"/>
      <c r="MA224" s="33"/>
      <c r="MB224" s="33"/>
      <c r="MC224" s="33"/>
      <c r="MD224" s="33"/>
      <c r="ME224" s="33"/>
      <c r="MF224" s="33"/>
      <c r="MG224" s="33"/>
      <c r="MH224" s="33"/>
      <c r="MI224" s="33"/>
      <c r="MJ224" s="33"/>
      <c r="MK224" s="33"/>
      <c r="ML224" s="33"/>
      <c r="MM224" s="33"/>
      <c r="MN224" s="33"/>
      <c r="MO224" s="33"/>
      <c r="MP224" s="33"/>
      <c r="MQ224" s="33"/>
      <c r="MR224" s="33"/>
      <c r="MS224" s="33"/>
      <c r="MT224" s="33"/>
      <c r="MU224" s="33"/>
      <c r="MV224" s="33"/>
      <c r="MW224" s="33"/>
      <c r="MX224" s="33"/>
      <c r="MY224" s="33"/>
      <c r="MZ224" s="33"/>
      <c r="NA224" s="33"/>
      <c r="NB224" s="33"/>
      <c r="NC224" s="33"/>
      <c r="ND224" s="33"/>
      <c r="NE224" s="33"/>
      <c r="NF224" s="33"/>
      <c r="NG224" s="33"/>
      <c r="NH224" s="33"/>
      <c r="NI224" s="33"/>
      <c r="NJ224" s="33"/>
      <c r="NK224" s="33"/>
      <c r="NL224" s="33"/>
      <c r="NM224" s="33"/>
      <c r="NN224" s="33"/>
      <c r="NO224" s="33"/>
      <c r="NP224" s="33"/>
      <c r="NQ224" s="33"/>
      <c r="NR224" s="33"/>
      <c r="NS224" s="33"/>
      <c r="NT224" s="33"/>
      <c r="NU224" s="33"/>
      <c r="NV224" s="33"/>
      <c r="NW224" s="33"/>
      <c r="NX224" s="33"/>
      <c r="NY224" s="33"/>
      <c r="NZ224" s="33"/>
      <c r="OA224" s="33"/>
      <c r="OB224" s="33"/>
      <c r="OC224" s="33"/>
      <c r="OD224" s="33"/>
      <c r="OE224" s="33"/>
      <c r="OF224" s="33"/>
      <c r="OG224" s="33"/>
      <c r="OH224" s="33"/>
      <c r="OI224" s="33"/>
      <c r="OJ224" s="33"/>
      <c r="OK224" s="33"/>
      <c r="OL224" s="33"/>
      <c r="OM224" s="33"/>
      <c r="ON224" s="33"/>
      <c r="OO224" s="33"/>
      <c r="OP224" s="33"/>
      <c r="OQ224" s="33"/>
      <c r="OR224" s="33"/>
      <c r="OS224" s="33"/>
      <c r="OT224" s="33"/>
      <c r="OU224" s="33"/>
      <c r="OV224" s="33"/>
      <c r="OW224" s="33"/>
      <c r="OX224" s="33"/>
      <c r="OY224" s="33"/>
      <c r="OZ224" s="33"/>
      <c r="PA224" s="33"/>
      <c r="PB224" s="33"/>
      <c r="PC224" s="33"/>
      <c r="PD224" s="33"/>
      <c r="PE224" s="33"/>
      <c r="PF224" s="33"/>
      <c r="PG224" s="33"/>
      <c r="PH224" s="33"/>
      <c r="PI224" s="33"/>
      <c r="PJ224" s="33"/>
      <c r="PK224" s="33"/>
      <c r="PL224" s="33"/>
      <c r="PM224" s="33"/>
      <c r="PN224" s="33"/>
      <c r="PO224" s="33"/>
      <c r="PP224" s="33"/>
      <c r="PQ224" s="33"/>
      <c r="PR224" s="33"/>
      <c r="PS224" s="33"/>
      <c r="PT224" s="33"/>
      <c r="PU224" s="33"/>
      <c r="PV224" s="33"/>
      <c r="PW224" s="33"/>
      <c r="PX224" s="33"/>
      <c r="PY224" s="33"/>
      <c r="PZ224" s="33"/>
      <c r="QA224" s="33"/>
      <c r="QB224" s="33"/>
      <c r="QC224" s="33"/>
      <c r="QD224" s="33"/>
      <c r="QE224" s="33"/>
      <c r="QF224" s="33"/>
      <c r="QG224" s="33"/>
      <c r="QH224" s="33"/>
      <c r="QI224" s="33"/>
      <c r="QJ224" s="33"/>
      <c r="QK224" s="33"/>
      <c r="QL224" s="33"/>
      <c r="QM224" s="33"/>
      <c r="QN224" s="33"/>
      <c r="QO224" s="33"/>
      <c r="QP224" s="33"/>
      <c r="QQ224" s="33"/>
      <c r="QR224" s="33"/>
      <c r="QS224" s="33"/>
      <c r="QT224" s="33"/>
      <c r="QU224" s="33"/>
      <c r="QV224" s="33"/>
      <c r="QW224" s="33"/>
      <c r="QX224" s="33"/>
      <c r="QY224" s="33"/>
      <c r="QZ224" s="33"/>
      <c r="RA224" s="33"/>
      <c r="RB224" s="33"/>
      <c r="RC224" s="33"/>
      <c r="RD224" s="33"/>
      <c r="RE224" s="33"/>
      <c r="RF224" s="33"/>
      <c r="RG224" s="33"/>
      <c r="RH224" s="33"/>
      <c r="RI224" s="33"/>
      <c r="RJ224" s="33"/>
      <c r="RK224" s="33"/>
      <c r="RL224" s="33"/>
      <c r="RM224" s="33"/>
      <c r="RN224" s="33"/>
      <c r="RO224" s="33"/>
      <c r="RP224" s="33"/>
      <c r="RQ224" s="33"/>
      <c r="RR224" s="33"/>
      <c r="RS224" s="33"/>
      <c r="RT224" s="33"/>
      <c r="RU224" s="33"/>
      <c r="RV224" s="33"/>
      <c r="RW224" s="33"/>
      <c r="RX224" s="33"/>
      <c r="RY224" s="33"/>
      <c r="RZ224" s="33"/>
      <c r="SA224" s="33"/>
      <c r="SB224" s="33"/>
      <c r="SC224" s="33"/>
      <c r="SD224" s="33"/>
      <c r="SE224" s="33"/>
      <c r="SF224" s="33"/>
      <c r="SG224" s="33"/>
      <c r="SH224" s="33"/>
      <c r="SI224" s="33"/>
      <c r="SJ224" s="33"/>
      <c r="SK224" s="33"/>
      <c r="SL224" s="33"/>
      <c r="SM224" s="33"/>
      <c r="SN224" s="33"/>
      <c r="SO224" s="33"/>
      <c r="SP224" s="33"/>
      <c r="SQ224" s="33"/>
      <c r="SR224" s="33"/>
      <c r="SS224" s="33"/>
      <c r="ST224" s="33"/>
      <c r="SU224" s="33"/>
      <c r="SV224" s="33"/>
      <c r="SW224" s="33"/>
      <c r="SX224" s="33"/>
      <c r="SY224" s="33"/>
      <c r="SZ224" s="33"/>
      <c r="TA224" s="33"/>
      <c r="TB224" s="33"/>
      <c r="TC224" s="33"/>
      <c r="TD224" s="33"/>
      <c r="TE224" s="33"/>
      <c r="TF224" s="33"/>
      <c r="TG224" s="33"/>
    </row>
    <row r="225" spans="1:527" s="34" customFormat="1" ht="52.5" customHeight="1" x14ac:dyDescent="0.25">
      <c r="A225" s="96"/>
      <c r="B225" s="109"/>
      <c r="C225" s="109"/>
      <c r="D225" s="77" t="s">
        <v>388</v>
      </c>
      <c r="E225" s="98">
        <f>E244</f>
        <v>0</v>
      </c>
      <c r="F225" s="98">
        <f t="shared" ref="F225:P225" si="103">F244</f>
        <v>0</v>
      </c>
      <c r="G225" s="98">
        <f t="shared" si="103"/>
        <v>0</v>
      </c>
      <c r="H225" s="98">
        <f t="shared" si="103"/>
        <v>0</v>
      </c>
      <c r="I225" s="98">
        <f t="shared" si="103"/>
        <v>0</v>
      </c>
      <c r="J225" s="98">
        <f t="shared" si="103"/>
        <v>10359984</v>
      </c>
      <c r="K225" s="98">
        <f t="shared" si="103"/>
        <v>10359984</v>
      </c>
      <c r="L225" s="98">
        <f t="shared" si="103"/>
        <v>0</v>
      </c>
      <c r="M225" s="98">
        <f t="shared" si="103"/>
        <v>0</v>
      </c>
      <c r="N225" s="98">
        <f t="shared" si="103"/>
        <v>0</v>
      </c>
      <c r="O225" s="98">
        <f t="shared" si="103"/>
        <v>10359984</v>
      </c>
      <c r="P225" s="98">
        <f t="shared" si="103"/>
        <v>10359984</v>
      </c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3"/>
      <c r="KJ225" s="33"/>
      <c r="KK225" s="33"/>
      <c r="KL225" s="33"/>
      <c r="KM225" s="33"/>
      <c r="KN225" s="33"/>
      <c r="KO225" s="33"/>
      <c r="KP225" s="33"/>
      <c r="KQ225" s="33"/>
      <c r="KR225" s="33"/>
      <c r="KS225" s="33"/>
      <c r="KT225" s="33"/>
      <c r="KU225" s="33"/>
      <c r="KV225" s="33"/>
      <c r="KW225" s="33"/>
      <c r="KX225" s="33"/>
      <c r="KY225" s="33"/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3"/>
      <c r="LO225" s="33"/>
      <c r="LP225" s="33"/>
      <c r="LQ225" s="33"/>
      <c r="LR225" s="33"/>
      <c r="LS225" s="33"/>
      <c r="LT225" s="33"/>
      <c r="LU225" s="33"/>
      <c r="LV225" s="33"/>
      <c r="LW225" s="33"/>
      <c r="LX225" s="33"/>
      <c r="LY225" s="33"/>
      <c r="LZ225" s="33"/>
      <c r="MA225" s="33"/>
      <c r="MB225" s="33"/>
      <c r="MC225" s="33"/>
      <c r="MD225" s="33"/>
      <c r="ME225" s="33"/>
      <c r="MF225" s="33"/>
      <c r="MG225" s="33"/>
      <c r="MH225" s="33"/>
      <c r="MI225" s="33"/>
      <c r="MJ225" s="33"/>
      <c r="MK225" s="33"/>
      <c r="ML225" s="33"/>
      <c r="MM225" s="33"/>
      <c r="MN225" s="33"/>
      <c r="MO225" s="33"/>
      <c r="MP225" s="33"/>
      <c r="MQ225" s="33"/>
      <c r="MR225" s="33"/>
      <c r="MS225" s="33"/>
      <c r="MT225" s="33"/>
      <c r="MU225" s="33"/>
      <c r="MV225" s="33"/>
      <c r="MW225" s="33"/>
      <c r="MX225" s="33"/>
      <c r="MY225" s="33"/>
      <c r="MZ225" s="33"/>
      <c r="NA225" s="33"/>
      <c r="NB225" s="33"/>
      <c r="NC225" s="33"/>
      <c r="ND225" s="33"/>
      <c r="NE225" s="33"/>
      <c r="NF225" s="33"/>
      <c r="NG225" s="33"/>
      <c r="NH225" s="33"/>
      <c r="NI225" s="33"/>
      <c r="NJ225" s="33"/>
      <c r="NK225" s="33"/>
      <c r="NL225" s="33"/>
      <c r="NM225" s="33"/>
      <c r="NN225" s="33"/>
      <c r="NO225" s="33"/>
      <c r="NP225" s="33"/>
      <c r="NQ225" s="33"/>
      <c r="NR225" s="33"/>
      <c r="NS225" s="33"/>
      <c r="NT225" s="33"/>
      <c r="NU225" s="33"/>
      <c r="NV225" s="33"/>
      <c r="NW225" s="33"/>
      <c r="NX225" s="33"/>
      <c r="NY225" s="33"/>
      <c r="NZ225" s="33"/>
      <c r="OA225" s="33"/>
      <c r="OB225" s="33"/>
      <c r="OC225" s="33"/>
      <c r="OD225" s="33"/>
      <c r="OE225" s="33"/>
      <c r="OF225" s="33"/>
      <c r="OG225" s="33"/>
      <c r="OH225" s="33"/>
      <c r="OI225" s="33"/>
      <c r="OJ225" s="33"/>
      <c r="OK225" s="33"/>
      <c r="OL225" s="33"/>
      <c r="OM225" s="33"/>
      <c r="ON225" s="33"/>
      <c r="OO225" s="33"/>
      <c r="OP225" s="33"/>
      <c r="OQ225" s="33"/>
      <c r="OR225" s="33"/>
      <c r="OS225" s="33"/>
      <c r="OT225" s="33"/>
      <c r="OU225" s="33"/>
      <c r="OV225" s="33"/>
      <c r="OW225" s="33"/>
      <c r="OX225" s="33"/>
      <c r="OY225" s="33"/>
      <c r="OZ225" s="33"/>
      <c r="PA225" s="33"/>
      <c r="PB225" s="33"/>
      <c r="PC225" s="33"/>
      <c r="PD225" s="33"/>
      <c r="PE225" s="33"/>
      <c r="PF225" s="33"/>
      <c r="PG225" s="33"/>
      <c r="PH225" s="33"/>
      <c r="PI225" s="33"/>
      <c r="PJ225" s="33"/>
      <c r="PK225" s="33"/>
      <c r="PL225" s="33"/>
      <c r="PM225" s="33"/>
      <c r="PN225" s="33"/>
      <c r="PO225" s="33"/>
      <c r="PP225" s="33"/>
      <c r="PQ225" s="33"/>
      <c r="PR225" s="33"/>
      <c r="PS225" s="33"/>
      <c r="PT225" s="33"/>
      <c r="PU225" s="33"/>
      <c r="PV225" s="33"/>
      <c r="PW225" s="33"/>
      <c r="PX225" s="33"/>
      <c r="PY225" s="33"/>
      <c r="PZ225" s="33"/>
      <c r="QA225" s="33"/>
      <c r="QB225" s="33"/>
      <c r="QC225" s="33"/>
      <c r="QD225" s="33"/>
      <c r="QE225" s="33"/>
      <c r="QF225" s="33"/>
      <c r="QG225" s="33"/>
      <c r="QH225" s="33"/>
      <c r="QI225" s="33"/>
      <c r="QJ225" s="33"/>
      <c r="QK225" s="33"/>
      <c r="QL225" s="33"/>
      <c r="QM225" s="33"/>
      <c r="QN225" s="33"/>
      <c r="QO225" s="33"/>
      <c r="QP225" s="33"/>
      <c r="QQ225" s="33"/>
      <c r="QR225" s="33"/>
      <c r="QS225" s="33"/>
      <c r="QT225" s="33"/>
      <c r="QU225" s="33"/>
      <c r="QV225" s="33"/>
      <c r="QW225" s="33"/>
      <c r="QX225" s="33"/>
      <c r="QY225" s="33"/>
      <c r="QZ225" s="33"/>
      <c r="RA225" s="33"/>
      <c r="RB225" s="33"/>
      <c r="RC225" s="33"/>
      <c r="RD225" s="33"/>
      <c r="RE225" s="33"/>
      <c r="RF225" s="33"/>
      <c r="RG225" s="33"/>
      <c r="RH225" s="33"/>
      <c r="RI225" s="33"/>
      <c r="RJ225" s="33"/>
      <c r="RK225" s="33"/>
      <c r="RL225" s="33"/>
      <c r="RM225" s="33"/>
      <c r="RN225" s="33"/>
      <c r="RO225" s="33"/>
      <c r="RP225" s="33"/>
      <c r="RQ225" s="33"/>
      <c r="RR225" s="33"/>
      <c r="RS225" s="33"/>
      <c r="RT225" s="33"/>
      <c r="RU225" s="33"/>
      <c r="RV225" s="33"/>
      <c r="RW225" s="33"/>
      <c r="RX225" s="33"/>
      <c r="RY225" s="33"/>
      <c r="RZ225" s="33"/>
      <c r="SA225" s="33"/>
      <c r="SB225" s="33"/>
      <c r="SC225" s="33"/>
      <c r="SD225" s="33"/>
      <c r="SE225" s="33"/>
      <c r="SF225" s="33"/>
      <c r="SG225" s="33"/>
      <c r="SH225" s="33"/>
      <c r="SI225" s="33"/>
      <c r="SJ225" s="33"/>
      <c r="SK225" s="33"/>
      <c r="SL225" s="33"/>
      <c r="SM225" s="33"/>
      <c r="SN225" s="33"/>
      <c r="SO225" s="33"/>
      <c r="SP225" s="33"/>
      <c r="SQ225" s="33"/>
      <c r="SR225" s="33"/>
      <c r="SS225" s="33"/>
      <c r="ST225" s="33"/>
      <c r="SU225" s="33"/>
      <c r="SV225" s="33"/>
      <c r="SW225" s="33"/>
      <c r="SX225" s="33"/>
      <c r="SY225" s="33"/>
      <c r="SZ225" s="33"/>
      <c r="TA225" s="33"/>
      <c r="TB225" s="33"/>
      <c r="TC225" s="33"/>
      <c r="TD225" s="33"/>
      <c r="TE225" s="33"/>
      <c r="TF225" s="33"/>
      <c r="TG225" s="33"/>
    </row>
    <row r="226" spans="1:527" s="34" customFormat="1" ht="15.75" x14ac:dyDescent="0.25">
      <c r="A226" s="96"/>
      <c r="B226" s="109"/>
      <c r="C226" s="109"/>
      <c r="D226" s="83" t="s">
        <v>393</v>
      </c>
      <c r="E226" s="98">
        <f>E246+E251</f>
        <v>200000</v>
      </c>
      <c r="F226" s="98">
        <f t="shared" ref="F226:P226" si="104">F246+F251</f>
        <v>200000</v>
      </c>
      <c r="G226" s="98">
        <f t="shared" si="104"/>
        <v>0</v>
      </c>
      <c r="H226" s="98">
        <f t="shared" si="104"/>
        <v>0</v>
      </c>
      <c r="I226" s="98">
        <f t="shared" si="104"/>
        <v>0</v>
      </c>
      <c r="J226" s="98">
        <f t="shared" si="104"/>
        <v>200000</v>
      </c>
      <c r="K226" s="98">
        <f t="shared" si="104"/>
        <v>200000</v>
      </c>
      <c r="L226" s="98">
        <f t="shared" si="104"/>
        <v>0</v>
      </c>
      <c r="M226" s="98">
        <f t="shared" si="104"/>
        <v>0</v>
      </c>
      <c r="N226" s="98">
        <f t="shared" si="104"/>
        <v>0</v>
      </c>
      <c r="O226" s="98">
        <f t="shared" si="104"/>
        <v>200000</v>
      </c>
      <c r="P226" s="98">
        <f t="shared" si="104"/>
        <v>400000</v>
      </c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  <c r="SQ226" s="33"/>
      <c r="SR226" s="33"/>
      <c r="SS226" s="33"/>
      <c r="ST226" s="33"/>
      <c r="SU226" s="33"/>
      <c r="SV226" s="33"/>
      <c r="SW226" s="33"/>
      <c r="SX226" s="33"/>
      <c r="SY226" s="33"/>
      <c r="SZ226" s="33"/>
      <c r="TA226" s="33"/>
      <c r="TB226" s="33"/>
      <c r="TC226" s="33"/>
      <c r="TD226" s="33"/>
      <c r="TE226" s="33"/>
      <c r="TF226" s="33"/>
      <c r="TG226" s="33"/>
    </row>
    <row r="227" spans="1:527" s="34" customFormat="1" ht="15.75" x14ac:dyDescent="0.25">
      <c r="A227" s="96"/>
      <c r="B227" s="109"/>
      <c r="C227" s="109"/>
      <c r="D227" s="83" t="s">
        <v>419</v>
      </c>
      <c r="E227" s="98">
        <f>E255</f>
        <v>0</v>
      </c>
      <c r="F227" s="98">
        <f t="shared" ref="F227:P227" si="105">F255</f>
        <v>0</v>
      </c>
      <c r="G227" s="98">
        <f t="shared" si="105"/>
        <v>0</v>
      </c>
      <c r="H227" s="98">
        <f t="shared" si="105"/>
        <v>0</v>
      </c>
      <c r="I227" s="98">
        <f t="shared" si="105"/>
        <v>0</v>
      </c>
      <c r="J227" s="98">
        <f t="shared" si="105"/>
        <v>26250000</v>
      </c>
      <c r="K227" s="98">
        <f t="shared" si="105"/>
        <v>26250000</v>
      </c>
      <c r="L227" s="98">
        <f t="shared" si="105"/>
        <v>0</v>
      </c>
      <c r="M227" s="98">
        <f t="shared" si="105"/>
        <v>0</v>
      </c>
      <c r="N227" s="98">
        <f t="shared" si="105"/>
        <v>0</v>
      </c>
      <c r="O227" s="98">
        <f t="shared" si="105"/>
        <v>26250000</v>
      </c>
      <c r="P227" s="98">
        <f t="shared" si="105"/>
        <v>26250000</v>
      </c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  <c r="TG227" s="33"/>
    </row>
    <row r="228" spans="1:527" s="22" customFormat="1" ht="47.25" x14ac:dyDescent="0.25">
      <c r="A228" s="59" t="s">
        <v>196</v>
      </c>
      <c r="B228" s="59" t="str">
        <f>'дод 8'!A19</f>
        <v>0160</v>
      </c>
      <c r="C228" s="59" t="str">
        <f>'дод 8'!B19</f>
        <v>0111</v>
      </c>
      <c r="D228" s="94" t="s">
        <v>494</v>
      </c>
      <c r="E228" s="99">
        <f t="shared" ref="E228:E261" si="106">F228+I228</f>
        <v>14418555</v>
      </c>
      <c r="F228" s="99">
        <f>14436900+5575-23920</f>
        <v>14418555</v>
      </c>
      <c r="G228" s="99">
        <f>11274000-19600</f>
        <v>11254400</v>
      </c>
      <c r="H228" s="99">
        <f>203100+5575</f>
        <v>208675</v>
      </c>
      <c r="I228" s="99"/>
      <c r="J228" s="99">
        <f>L228+O228</f>
        <v>0</v>
      </c>
      <c r="K228" s="99"/>
      <c r="L228" s="99"/>
      <c r="M228" s="99"/>
      <c r="N228" s="99"/>
      <c r="O228" s="99"/>
      <c r="P228" s="99">
        <f t="shared" ref="P228:P261" si="107">E228+J228</f>
        <v>14418555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  <c r="TF228" s="23"/>
      <c r="TG228" s="23"/>
    </row>
    <row r="229" spans="1:527" s="22" customFormat="1" ht="23.25" customHeight="1" x14ac:dyDescent="0.25">
      <c r="A229" s="59" t="s">
        <v>543</v>
      </c>
      <c r="B229" s="59" t="s">
        <v>45</v>
      </c>
      <c r="C229" s="59" t="s">
        <v>93</v>
      </c>
      <c r="D229" s="94" t="s">
        <v>242</v>
      </c>
      <c r="E229" s="99">
        <f t="shared" si="106"/>
        <v>1000000</v>
      </c>
      <c r="F229" s="99">
        <v>1000000</v>
      </c>
      <c r="G229" s="99"/>
      <c r="H229" s="99"/>
      <c r="I229" s="99"/>
      <c r="J229" s="99">
        <f>L229+O229</f>
        <v>0</v>
      </c>
      <c r="K229" s="99"/>
      <c r="L229" s="99"/>
      <c r="M229" s="99"/>
      <c r="N229" s="99"/>
      <c r="O229" s="99"/>
      <c r="P229" s="99">
        <f t="shared" si="107"/>
        <v>1000000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</row>
    <row r="230" spans="1:527" s="22" customFormat="1" ht="19.5" customHeight="1" x14ac:dyDescent="0.25">
      <c r="A230" s="103" t="s">
        <v>302</v>
      </c>
      <c r="B230" s="42" t="str">
        <f>'дод 8'!A131</f>
        <v>3210</v>
      </c>
      <c r="C230" s="42" t="str">
        <f>'дод 8'!B131</f>
        <v>1050</v>
      </c>
      <c r="D230" s="36" t="str">
        <f>'дод 8'!C131</f>
        <v>Організація та проведення громадських робіт</v>
      </c>
      <c r="E230" s="99">
        <f t="shared" si="106"/>
        <v>160000</v>
      </c>
      <c r="F230" s="99">
        <f>200000-40000</f>
        <v>160000</v>
      </c>
      <c r="G230" s="99"/>
      <c r="H230" s="99"/>
      <c r="I230" s="99"/>
      <c r="J230" s="99">
        <f t="shared" ref="J230:J261" si="108">L230+O230</f>
        <v>0</v>
      </c>
      <c r="K230" s="99"/>
      <c r="L230" s="99"/>
      <c r="M230" s="99"/>
      <c r="N230" s="99"/>
      <c r="O230" s="99"/>
      <c r="P230" s="99">
        <f t="shared" si="107"/>
        <v>160000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</row>
    <row r="231" spans="1:527" s="22" customFormat="1" ht="33.75" customHeight="1" x14ac:dyDescent="0.25">
      <c r="A231" s="59" t="s">
        <v>197</v>
      </c>
      <c r="B231" s="93" t="str">
        <f>'дод 8'!A157</f>
        <v>6011</v>
      </c>
      <c r="C231" s="93" t="str">
        <f>'дод 8'!B157</f>
        <v>0610</v>
      </c>
      <c r="D231" s="60" t="str">
        <f>'дод 8'!C157</f>
        <v>Експлуатація та технічне обслуговування житлового фонду</v>
      </c>
      <c r="E231" s="99">
        <f t="shared" si="106"/>
        <v>0</v>
      </c>
      <c r="F231" s="99"/>
      <c r="G231" s="99"/>
      <c r="H231" s="99"/>
      <c r="I231" s="99"/>
      <c r="J231" s="99">
        <f t="shared" si="108"/>
        <v>9505553</v>
      </c>
      <c r="K231" s="99">
        <f>7054092-807126.65+807126.65+172300+40000+154400+169950+593700+23900-19300+37614+100560+126700+49900+62000+204157+49000+650100</f>
        <v>9469073</v>
      </c>
      <c r="L231" s="99"/>
      <c r="M231" s="99"/>
      <c r="N231" s="99"/>
      <c r="O231" s="99">
        <f>7090572-807126.65+807126.65+172300+40000+154400+169950+593700+23900-19300+37614+100560+126700+49900+62000+204157+49000+650100</f>
        <v>9505553</v>
      </c>
      <c r="P231" s="99">
        <f t="shared" si="107"/>
        <v>9505553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</row>
    <row r="232" spans="1:527" s="22" customFormat="1" ht="31.5" x14ac:dyDescent="0.25">
      <c r="A232" s="59" t="s">
        <v>198</v>
      </c>
      <c r="B232" s="93" t="str">
        <f>'дод 8'!A158</f>
        <v>6013</v>
      </c>
      <c r="C232" s="93" t="str">
        <f>'дод 8'!B158</f>
        <v>0620</v>
      </c>
      <c r="D232" s="60" t="str">
        <f>'дод 8'!C158</f>
        <v>Забезпечення діяльності водопровідно-каналізаційного господарства</v>
      </c>
      <c r="E232" s="99">
        <f t="shared" si="106"/>
        <v>29375568</v>
      </c>
      <c r="F232" s="99">
        <f>3610000-3000000+164040+30000+40000+270000-153472-85000</f>
        <v>875568</v>
      </c>
      <c r="G232" s="99"/>
      <c r="H232" s="99"/>
      <c r="I232" s="99">
        <f>25250000-100000+3350000</f>
        <v>28500000</v>
      </c>
      <c r="J232" s="99">
        <f t="shared" si="108"/>
        <v>200000</v>
      </c>
      <c r="K232" s="99">
        <f>230000-30000</f>
        <v>200000</v>
      </c>
      <c r="L232" s="99"/>
      <c r="M232" s="99"/>
      <c r="N232" s="99"/>
      <c r="O232" s="99">
        <f>230000-30000</f>
        <v>200000</v>
      </c>
      <c r="P232" s="99">
        <f t="shared" si="107"/>
        <v>29575568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</row>
    <row r="233" spans="1:527" s="22" customFormat="1" ht="33" customHeight="1" x14ac:dyDescent="0.25">
      <c r="A233" s="59" t="s">
        <v>259</v>
      </c>
      <c r="B233" s="93" t="str">
        <f>'дод 8'!A159</f>
        <v>6015</v>
      </c>
      <c r="C233" s="93" t="str">
        <f>'дод 8'!B159</f>
        <v>0620</v>
      </c>
      <c r="D233" s="60" t="str">
        <f>'дод 8'!C159</f>
        <v>Забезпечення надійної та безперебійної експлуатації ліфтів</v>
      </c>
      <c r="E233" s="99">
        <f t="shared" si="106"/>
        <v>155980</v>
      </c>
      <c r="F233" s="99">
        <f>99980+8000+16000+8000-16000+40000</f>
        <v>155980</v>
      </c>
      <c r="G233" s="99"/>
      <c r="H233" s="99"/>
      <c r="I233" s="99"/>
      <c r="J233" s="99">
        <f t="shared" si="108"/>
        <v>33515050</v>
      </c>
      <c r="K233" s="99">
        <f>6600000-96212+96212+4439600+1450000+700000+590000+232000-200000-200000+50000+318000+80000+592000+16000+65000+17450000+447450+835000</f>
        <v>33465050</v>
      </c>
      <c r="L233" s="99"/>
      <c r="M233" s="99"/>
      <c r="N233" s="99"/>
      <c r="O233" s="99">
        <f>6650000-96212+96212+4439600+1450000+700000+590000+232000-200000-200000+50000+318000+80000+592000+16000+65000+17450000+447450+835000</f>
        <v>33515050</v>
      </c>
      <c r="P233" s="99">
        <f t="shared" si="107"/>
        <v>33671030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</row>
    <row r="234" spans="1:527" s="22" customFormat="1" ht="32.25" customHeight="1" x14ac:dyDescent="0.25">
      <c r="A234" s="59" t="s">
        <v>262</v>
      </c>
      <c r="B234" s="93" t="str">
        <f>'дод 8'!A160</f>
        <v>6017</v>
      </c>
      <c r="C234" s="93" t="str">
        <f>'дод 8'!B160</f>
        <v>0620</v>
      </c>
      <c r="D234" s="60" t="str">
        <f>'дод 8'!C160</f>
        <v>Інша діяльність, пов’язана з експлуатацією об’єктів житлово-комунального господарства</v>
      </c>
      <c r="E234" s="99">
        <f t="shared" si="106"/>
        <v>100000</v>
      </c>
      <c r="F234" s="99">
        <v>100000</v>
      </c>
      <c r="G234" s="99"/>
      <c r="H234" s="99"/>
      <c r="I234" s="99"/>
      <c r="J234" s="99">
        <f t="shared" si="108"/>
        <v>0</v>
      </c>
      <c r="K234" s="99"/>
      <c r="L234" s="99"/>
      <c r="M234" s="99"/>
      <c r="N234" s="99"/>
      <c r="O234" s="99"/>
      <c r="P234" s="99">
        <f t="shared" si="107"/>
        <v>100000</v>
      </c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</row>
    <row r="235" spans="1:527" s="22" customFormat="1" ht="47.25" x14ac:dyDescent="0.25">
      <c r="A235" s="59" t="s">
        <v>199</v>
      </c>
      <c r="B235" s="93" t="str">
        <f>'дод 8'!A161</f>
        <v>6020</v>
      </c>
      <c r="C235" s="93" t="str">
        <f>'дод 8'!B161</f>
        <v>0620</v>
      </c>
      <c r="D235" s="60" t="str">
        <f>'дод 8'!C161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35" s="99">
        <f t="shared" si="106"/>
        <v>4786258.4800000004</v>
      </c>
      <c r="F235" s="99">
        <f>29300</f>
        <v>29300</v>
      </c>
      <c r="G235" s="99"/>
      <c r="H235" s="99"/>
      <c r="I235" s="99">
        <f>300000+1541958.48-85000+3000000</f>
        <v>4756958.4800000004</v>
      </c>
      <c r="J235" s="99">
        <f t="shared" si="108"/>
        <v>85000</v>
      </c>
      <c r="K235" s="99">
        <f>85000</f>
        <v>85000</v>
      </c>
      <c r="L235" s="99"/>
      <c r="M235" s="99"/>
      <c r="N235" s="99"/>
      <c r="O235" s="99">
        <f>85000</f>
        <v>85000</v>
      </c>
      <c r="P235" s="99">
        <f t="shared" si="107"/>
        <v>4871258.4800000004</v>
      </c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2" customFormat="1" ht="24.75" customHeight="1" x14ac:dyDescent="0.25">
      <c r="A236" s="59" t="s">
        <v>200</v>
      </c>
      <c r="B236" s="93" t="str">
        <f>'дод 8'!A162</f>
        <v>6030</v>
      </c>
      <c r="C236" s="93" t="str">
        <f>'дод 8'!B162</f>
        <v>0620</v>
      </c>
      <c r="D236" s="60" t="str">
        <f>'дод 8'!C162</f>
        <v>Організація благоустрою населених пунктів</v>
      </c>
      <c r="E236" s="99">
        <f t="shared" si="106"/>
        <v>230444185.78</v>
      </c>
      <c r="F236" s="99">
        <f>220864874.13-7011318-49900-211983.47+990000+100000+72800+872900-100000-18473.69+60000-45080.64-164040+1592924+340394+200000-50500+299310+199600+1500000+98000+310136+40000+1000000+129000-29300+1012980+853612.73-90000+87900+371540.45+253200+30000-200000+31500+500000+250000+1250000-50000+190000+40000-23473+1000000+1855210+250000-49000+1791373.27</f>
        <v>230344185.78</v>
      </c>
      <c r="G236" s="99"/>
      <c r="H236" s="99">
        <f>34504500-600000-164040+1250000</f>
        <v>34990460</v>
      </c>
      <c r="I236" s="99">
        <v>100000</v>
      </c>
      <c r="J236" s="99">
        <f t="shared" si="108"/>
        <v>29851901.579999991</v>
      </c>
      <c r="K236" s="99">
        <f>28422020-300000+7011318-1359437.09+1978809.98+72800-72800+129900+18473.69-60000+170000+50000-1500000+49900+49900-2800000-1150000+250000-2000000+5000000+49000+90000+49000-30000-1000000+694744-7000000+350000+3000000+528294.5-528294.5+23473-300000+115000-250000+99800</f>
        <v>29851901.579999991</v>
      </c>
      <c r="L236" s="113"/>
      <c r="M236" s="99"/>
      <c r="N236" s="99"/>
      <c r="O236" s="99">
        <f>28422020-300000+7011318-1359437.09+1978809.98+72800-72800+129900+18473.69-60000+170000+50000-1500000+49900+49900-2800000-1150000+250000-2000000+5000000+49000+90000+49000-30000-1000000+694744-7000000+350000+3000000+528294.5-528294.5+23473-300000+115000-250000+99800</f>
        <v>29851901.579999991</v>
      </c>
      <c r="P236" s="99">
        <f t="shared" si="107"/>
        <v>260296087.35999998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</row>
    <row r="237" spans="1:527" s="22" customFormat="1" ht="31.5" customHeight="1" x14ac:dyDescent="0.25">
      <c r="A237" s="59" t="s">
        <v>252</v>
      </c>
      <c r="B237" s="93" t="str">
        <f>'дод 8'!A166</f>
        <v>6090</v>
      </c>
      <c r="C237" s="93" t="str">
        <f>'дод 8'!B166</f>
        <v>0640</v>
      </c>
      <c r="D237" s="60" t="str">
        <f>'дод 8'!C166</f>
        <v>Інша діяльність у сфері житлово-комунального господарства</v>
      </c>
      <c r="E237" s="99">
        <f t="shared" si="106"/>
        <v>8239667.0100000016</v>
      </c>
      <c r="F237" s="99">
        <f>47773888-76000+38050-9241451.18+49000-200000-6163260-25000-20000+45080.64-300000-4102174-1899640+200000+19300+50500-101200-418760+20000-263600-25000-184814-1453016-25000-78100-179000-2382803-1663012.73-1050451+2500-371540.45-1522530+3000+153472-4875998-3792773.27</f>
        <v>7939667.0100000016</v>
      </c>
      <c r="G237" s="99"/>
      <c r="H237" s="99">
        <f>24500+3000</f>
        <v>27500</v>
      </c>
      <c r="I237" s="99">
        <v>300000</v>
      </c>
      <c r="J237" s="99">
        <f t="shared" si="108"/>
        <v>1785000</v>
      </c>
      <c r="K237" s="99"/>
      <c r="L237" s="99"/>
      <c r="M237" s="99"/>
      <c r="N237" s="99"/>
      <c r="O237" s="99">
        <v>1785000</v>
      </c>
      <c r="P237" s="99">
        <f t="shared" si="107"/>
        <v>10024667.010000002</v>
      </c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</row>
    <row r="238" spans="1:527" s="22" customFormat="1" ht="34.5" x14ac:dyDescent="0.25">
      <c r="A238" s="59" t="s">
        <v>271</v>
      </c>
      <c r="B238" s="93" t="str">
        <f>'дод 8'!A177</f>
        <v>7310</v>
      </c>
      <c r="C238" s="93" t="str">
        <f>'дод 8'!B177</f>
        <v>0443</v>
      </c>
      <c r="D238" s="6" t="s">
        <v>552</v>
      </c>
      <c r="E238" s="99">
        <f t="shared" si="106"/>
        <v>0</v>
      </c>
      <c r="F238" s="99"/>
      <c r="G238" s="99"/>
      <c r="H238" s="99"/>
      <c r="I238" s="99"/>
      <c r="J238" s="99">
        <f t="shared" si="108"/>
        <v>16963713</v>
      </c>
      <c r="K238" s="99">
        <f>19836513+300000-38050+50000+200000-169950-49900-49900+49900-49900+85000-200000-3000000</f>
        <v>16963713</v>
      </c>
      <c r="L238" s="99"/>
      <c r="M238" s="99"/>
      <c r="N238" s="99"/>
      <c r="O238" s="99">
        <f>19836513+300000-38050+50000+200000-169950-49900-49900+49900-49900+85000-200000-3000000</f>
        <v>16963713</v>
      </c>
      <c r="P238" s="99">
        <f t="shared" si="107"/>
        <v>16963713</v>
      </c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</row>
    <row r="239" spans="1:527" s="22" customFormat="1" ht="21" customHeight="1" x14ac:dyDescent="0.25">
      <c r="A239" s="59" t="s">
        <v>273</v>
      </c>
      <c r="B239" s="93" t="str">
        <f>'дод 8'!A184</f>
        <v>7330</v>
      </c>
      <c r="C239" s="93" t="str">
        <f>'дод 8'!B184</f>
        <v>0443</v>
      </c>
      <c r="D239" s="6" t="s">
        <v>547</v>
      </c>
      <c r="E239" s="99">
        <f t="shared" si="106"/>
        <v>0</v>
      </c>
      <c r="F239" s="99"/>
      <c r="G239" s="99"/>
      <c r="H239" s="99"/>
      <c r="I239" s="99"/>
      <c r="J239" s="99">
        <f t="shared" si="108"/>
        <v>18979175.579999998</v>
      </c>
      <c r="K239" s="99">
        <f>22088598+49900-407389.42-200000+3500000-4000000+500000+30000+250000+49900-70000+1000000-726244-230045-3300000+990000+151656+1300000-1300000+50000-190000+300000-1201200+240000+104000</f>
        <v>18979175.579999998</v>
      </c>
      <c r="L239" s="99"/>
      <c r="M239" s="99"/>
      <c r="N239" s="99"/>
      <c r="O239" s="99">
        <f>22088598+49900-407389.42-200000+3500000-4000000+500000+30000+250000+49900-70000+1000000-726244-230045-3300000+990000+151656+1300000-1300000+50000-190000+300000-1201200+240000+104000</f>
        <v>18979175.579999998</v>
      </c>
      <c r="P239" s="99">
        <f t="shared" si="107"/>
        <v>18979175.579999998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</row>
    <row r="240" spans="1:527" s="22" customFormat="1" ht="33" customHeight="1" x14ac:dyDescent="0.25">
      <c r="A240" s="59" t="s">
        <v>201</v>
      </c>
      <c r="B240" s="93">
        <v>7340</v>
      </c>
      <c r="C240" s="93" t="str">
        <f>'дод 8'!B183</f>
        <v>0443</v>
      </c>
      <c r="D240" s="60" t="str">
        <f>'дод 8'!C185</f>
        <v>Проектування, реставрація та охорона пам'яток архітектури</v>
      </c>
      <c r="E240" s="99">
        <f t="shared" ref="E240" si="109">F240+I240</f>
        <v>0</v>
      </c>
      <c r="F240" s="99"/>
      <c r="G240" s="99"/>
      <c r="H240" s="99"/>
      <c r="I240" s="99"/>
      <c r="J240" s="99">
        <f t="shared" ref="J240" si="110">L240+O240</f>
        <v>3250000</v>
      </c>
      <c r="K240" s="99">
        <f>3250000</f>
        <v>3250000</v>
      </c>
      <c r="L240" s="99"/>
      <c r="M240" s="99"/>
      <c r="N240" s="99"/>
      <c r="O240" s="99">
        <f>3250000</f>
        <v>3250000</v>
      </c>
      <c r="P240" s="99">
        <f t="shared" ref="P240" si="111">E240+J240</f>
        <v>3250000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</row>
    <row r="241" spans="1:527" s="22" customFormat="1" ht="49.5" hidden="1" customHeight="1" x14ac:dyDescent="0.25">
      <c r="A241" s="59" t="s">
        <v>370</v>
      </c>
      <c r="B241" s="93">
        <f>'дод 8'!A187</f>
        <v>7361</v>
      </c>
      <c r="C241" s="93" t="str">
        <f>'дод 8'!B187</f>
        <v>0490</v>
      </c>
      <c r="D241" s="60" t="str">
        <f>'дод 8'!C187</f>
        <v>Співфінансування інвестиційних проектів, що реалізуються за рахунок коштів державного фонду регіонального розвитку</v>
      </c>
      <c r="E241" s="99">
        <f t="shared" si="106"/>
        <v>0</v>
      </c>
      <c r="F241" s="99"/>
      <c r="G241" s="99"/>
      <c r="H241" s="99"/>
      <c r="I241" s="99"/>
      <c r="J241" s="99">
        <f t="shared" si="108"/>
        <v>0</v>
      </c>
      <c r="K241" s="99"/>
      <c r="L241" s="99"/>
      <c r="M241" s="99"/>
      <c r="N241" s="99"/>
      <c r="O241" s="99"/>
      <c r="P241" s="99">
        <f t="shared" si="107"/>
        <v>0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</row>
    <row r="242" spans="1:527" s="22" customFormat="1" ht="30" hidden="1" customHeight="1" x14ac:dyDescent="0.25">
      <c r="A242" s="59">
        <v>1217362</v>
      </c>
      <c r="B242" s="93">
        <f>'дод 8'!A188</f>
        <v>7362</v>
      </c>
      <c r="C242" s="93" t="str">
        <f>'дод 8'!B188</f>
        <v>0490</v>
      </c>
      <c r="D242" s="60" t="str">
        <f>'дод 8'!C188</f>
        <v>Виконання інвестиційних проектів в рамках підтримки розвитку об'єднаних територіальних громад</v>
      </c>
      <c r="E242" s="99">
        <f t="shared" si="106"/>
        <v>0</v>
      </c>
      <c r="F242" s="99"/>
      <c r="G242" s="99"/>
      <c r="H242" s="99"/>
      <c r="I242" s="99"/>
      <c r="J242" s="99">
        <f t="shared" si="108"/>
        <v>0</v>
      </c>
      <c r="K242" s="99"/>
      <c r="L242" s="99"/>
      <c r="M242" s="99"/>
      <c r="N242" s="99"/>
      <c r="O242" s="99"/>
      <c r="P242" s="99">
        <f t="shared" si="107"/>
        <v>0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</row>
    <row r="243" spans="1:527" s="22" customFormat="1" ht="47.25" x14ac:dyDescent="0.25">
      <c r="A243" s="59" t="s">
        <v>368</v>
      </c>
      <c r="B243" s="93">
        <v>7363</v>
      </c>
      <c r="C243" s="37" t="s">
        <v>82</v>
      </c>
      <c r="D243" s="36" t="s">
        <v>398</v>
      </c>
      <c r="E243" s="99">
        <f t="shared" si="106"/>
        <v>0</v>
      </c>
      <c r="F243" s="99"/>
      <c r="G243" s="99"/>
      <c r="H243" s="99"/>
      <c r="I243" s="99"/>
      <c r="J243" s="99">
        <f t="shared" si="108"/>
        <v>13159984</v>
      </c>
      <c r="K243" s="99">
        <f>2800000+5000000+5359984</f>
        <v>13159984</v>
      </c>
      <c r="L243" s="99"/>
      <c r="M243" s="99"/>
      <c r="N243" s="99"/>
      <c r="O243" s="99">
        <f>2800000+5000000+5359984</f>
        <v>13159984</v>
      </c>
      <c r="P243" s="99">
        <f t="shared" si="107"/>
        <v>13159984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  <c r="TG243" s="23"/>
    </row>
    <row r="244" spans="1:527" s="24" customFormat="1" ht="50.25" customHeight="1" x14ac:dyDescent="0.25">
      <c r="A244" s="84"/>
      <c r="B244" s="111"/>
      <c r="C244" s="111"/>
      <c r="D244" s="87" t="s">
        <v>388</v>
      </c>
      <c r="E244" s="101">
        <f t="shared" si="106"/>
        <v>0</v>
      </c>
      <c r="F244" s="101"/>
      <c r="G244" s="101"/>
      <c r="H244" s="101"/>
      <c r="I244" s="101"/>
      <c r="J244" s="101">
        <f t="shared" si="108"/>
        <v>10359984</v>
      </c>
      <c r="K244" s="101">
        <f>5000000+5359984</f>
        <v>10359984</v>
      </c>
      <c r="L244" s="101"/>
      <c r="M244" s="101"/>
      <c r="N244" s="101"/>
      <c r="O244" s="101">
        <f>5000000+5359984</f>
        <v>10359984</v>
      </c>
      <c r="P244" s="101">
        <f t="shared" si="107"/>
        <v>10359984</v>
      </c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  <c r="LU244" s="30"/>
      <c r="LV244" s="30"/>
      <c r="LW244" s="30"/>
      <c r="LX244" s="30"/>
      <c r="LY244" s="30"/>
      <c r="LZ244" s="30"/>
      <c r="MA244" s="30"/>
      <c r="MB244" s="30"/>
      <c r="MC244" s="30"/>
      <c r="MD244" s="30"/>
      <c r="ME244" s="30"/>
      <c r="MF244" s="30"/>
      <c r="MG244" s="30"/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30"/>
      <c r="MW244" s="30"/>
      <c r="MX244" s="30"/>
      <c r="MY244" s="30"/>
      <c r="MZ244" s="30"/>
      <c r="NA244" s="30"/>
      <c r="NB244" s="30"/>
      <c r="NC244" s="30"/>
      <c r="ND244" s="30"/>
      <c r="NE244" s="30"/>
      <c r="NF244" s="30"/>
      <c r="NG244" s="30"/>
      <c r="NH244" s="30"/>
      <c r="NI244" s="30"/>
      <c r="NJ244" s="30"/>
      <c r="NK244" s="30"/>
      <c r="NL244" s="30"/>
      <c r="NM244" s="30"/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30"/>
      <c r="NY244" s="30"/>
      <c r="NZ244" s="30"/>
      <c r="OA244" s="30"/>
      <c r="OB244" s="30"/>
      <c r="OC244" s="30"/>
      <c r="OD244" s="30"/>
      <c r="OE244" s="30"/>
      <c r="OF244" s="30"/>
      <c r="OG244" s="30"/>
      <c r="OH244" s="30"/>
      <c r="OI244" s="30"/>
      <c r="OJ244" s="30"/>
      <c r="OK244" s="30"/>
      <c r="OL244" s="30"/>
      <c r="OM244" s="30"/>
      <c r="ON244" s="30"/>
      <c r="OO244" s="30"/>
      <c r="OP244" s="30"/>
      <c r="OQ244" s="30"/>
      <c r="OR244" s="30"/>
      <c r="OS244" s="30"/>
      <c r="OT244" s="30"/>
      <c r="OU244" s="30"/>
      <c r="OV244" s="30"/>
      <c r="OW244" s="30"/>
      <c r="OX244" s="30"/>
      <c r="OY244" s="30"/>
      <c r="OZ244" s="30"/>
      <c r="PA244" s="30"/>
      <c r="PB244" s="30"/>
      <c r="PC244" s="30"/>
      <c r="PD244" s="30"/>
      <c r="PE244" s="30"/>
      <c r="PF244" s="30"/>
      <c r="PG244" s="30"/>
      <c r="PH244" s="30"/>
      <c r="PI244" s="30"/>
      <c r="PJ244" s="30"/>
      <c r="PK244" s="30"/>
      <c r="PL244" s="30"/>
      <c r="PM244" s="30"/>
      <c r="PN244" s="30"/>
      <c r="PO244" s="30"/>
      <c r="PP244" s="30"/>
      <c r="PQ244" s="30"/>
      <c r="PR244" s="30"/>
      <c r="PS244" s="30"/>
      <c r="PT244" s="30"/>
      <c r="PU244" s="30"/>
      <c r="PV244" s="30"/>
      <c r="PW244" s="30"/>
      <c r="PX244" s="30"/>
      <c r="PY244" s="30"/>
      <c r="PZ244" s="30"/>
      <c r="QA244" s="30"/>
      <c r="QB244" s="30"/>
      <c r="QC244" s="30"/>
      <c r="QD244" s="30"/>
      <c r="QE244" s="30"/>
      <c r="QF244" s="30"/>
      <c r="QG244" s="30"/>
      <c r="QH244" s="30"/>
      <c r="QI244" s="30"/>
      <c r="QJ244" s="30"/>
      <c r="QK244" s="30"/>
      <c r="QL244" s="30"/>
      <c r="QM244" s="30"/>
      <c r="QN244" s="30"/>
      <c r="QO244" s="30"/>
      <c r="QP244" s="30"/>
      <c r="QQ244" s="30"/>
      <c r="QR244" s="30"/>
      <c r="QS244" s="30"/>
      <c r="QT244" s="30"/>
      <c r="QU244" s="30"/>
      <c r="QV244" s="30"/>
      <c r="QW244" s="30"/>
      <c r="QX244" s="30"/>
      <c r="QY244" s="30"/>
      <c r="QZ244" s="30"/>
      <c r="RA244" s="30"/>
      <c r="RB244" s="30"/>
      <c r="RC244" s="30"/>
      <c r="RD244" s="30"/>
      <c r="RE244" s="30"/>
      <c r="RF244" s="30"/>
      <c r="RG244" s="30"/>
      <c r="RH244" s="30"/>
      <c r="RI244" s="30"/>
      <c r="RJ244" s="30"/>
      <c r="RK244" s="30"/>
      <c r="RL244" s="30"/>
      <c r="RM244" s="30"/>
      <c r="RN244" s="30"/>
      <c r="RO244" s="30"/>
      <c r="RP244" s="30"/>
      <c r="RQ244" s="30"/>
      <c r="RR244" s="30"/>
      <c r="RS244" s="30"/>
      <c r="RT244" s="30"/>
      <c r="RU244" s="30"/>
      <c r="RV244" s="30"/>
      <c r="RW244" s="30"/>
      <c r="RX244" s="30"/>
      <c r="RY244" s="30"/>
      <c r="RZ244" s="30"/>
      <c r="SA244" s="30"/>
      <c r="SB244" s="30"/>
      <c r="SC244" s="30"/>
      <c r="SD244" s="30"/>
      <c r="SE244" s="30"/>
      <c r="SF244" s="30"/>
      <c r="SG244" s="30"/>
      <c r="SH244" s="30"/>
      <c r="SI244" s="30"/>
      <c r="SJ244" s="30"/>
      <c r="SK244" s="30"/>
      <c r="SL244" s="30"/>
      <c r="SM244" s="30"/>
      <c r="SN244" s="30"/>
      <c r="SO244" s="30"/>
      <c r="SP244" s="30"/>
      <c r="SQ244" s="30"/>
      <c r="SR244" s="30"/>
      <c r="SS244" s="30"/>
      <c r="ST244" s="30"/>
      <c r="SU244" s="30"/>
      <c r="SV244" s="30"/>
      <c r="SW244" s="30"/>
      <c r="SX244" s="30"/>
      <c r="SY244" s="30"/>
      <c r="SZ244" s="30"/>
      <c r="TA244" s="30"/>
      <c r="TB244" s="30"/>
      <c r="TC244" s="30"/>
      <c r="TD244" s="30"/>
      <c r="TE244" s="30"/>
      <c r="TF244" s="30"/>
      <c r="TG244" s="30"/>
    </row>
    <row r="245" spans="1:527" s="24" customFormat="1" ht="31.5" x14ac:dyDescent="0.25">
      <c r="A245" s="59" t="s">
        <v>591</v>
      </c>
      <c r="B245" s="93">
        <v>7368</v>
      </c>
      <c r="C245" s="37" t="s">
        <v>82</v>
      </c>
      <c r="D245" s="36" t="s">
        <v>592</v>
      </c>
      <c r="E245" s="99">
        <f t="shared" si="106"/>
        <v>0</v>
      </c>
      <c r="F245" s="101"/>
      <c r="G245" s="101"/>
      <c r="H245" s="101"/>
      <c r="I245" s="101"/>
      <c r="J245" s="99">
        <f t="shared" si="108"/>
        <v>200000</v>
      </c>
      <c r="K245" s="99">
        <v>200000</v>
      </c>
      <c r="L245" s="99"/>
      <c r="M245" s="99"/>
      <c r="N245" s="99"/>
      <c r="O245" s="99">
        <v>200000</v>
      </c>
      <c r="P245" s="99">
        <f t="shared" si="107"/>
        <v>200000</v>
      </c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30"/>
      <c r="JA245" s="30"/>
      <c r="JB245" s="30"/>
      <c r="JC245" s="30"/>
      <c r="JD245" s="30"/>
      <c r="JE245" s="30"/>
      <c r="JF245" s="30"/>
      <c r="JG245" s="30"/>
      <c r="JH245" s="30"/>
      <c r="JI245" s="30"/>
      <c r="JJ245" s="30"/>
      <c r="JK245" s="30"/>
      <c r="JL245" s="30"/>
      <c r="JM245" s="30"/>
      <c r="JN245" s="30"/>
      <c r="JO245" s="30"/>
      <c r="JP245" s="30"/>
      <c r="JQ245" s="30"/>
      <c r="JR245" s="30"/>
      <c r="JS245" s="30"/>
      <c r="JT245" s="30"/>
      <c r="JU245" s="30"/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30"/>
      <c r="KG245" s="30"/>
      <c r="KH245" s="30"/>
      <c r="KI245" s="30"/>
      <c r="KJ245" s="30"/>
      <c r="KK245" s="30"/>
      <c r="KL245" s="30"/>
      <c r="KM245" s="30"/>
      <c r="KN245" s="30"/>
      <c r="KO245" s="30"/>
      <c r="KP245" s="30"/>
      <c r="KQ245" s="30"/>
      <c r="KR245" s="30"/>
      <c r="KS245" s="30"/>
      <c r="KT245" s="30"/>
      <c r="KU245" s="30"/>
      <c r="KV245" s="30"/>
      <c r="KW245" s="30"/>
      <c r="KX245" s="30"/>
      <c r="KY245" s="30"/>
      <c r="KZ245" s="30"/>
      <c r="LA245" s="30"/>
      <c r="LB245" s="30"/>
      <c r="LC245" s="30"/>
      <c r="LD245" s="30"/>
      <c r="LE245" s="30"/>
      <c r="LF245" s="30"/>
      <c r="LG245" s="30"/>
      <c r="LH245" s="30"/>
      <c r="LI245" s="30"/>
      <c r="LJ245" s="30"/>
      <c r="LK245" s="30"/>
      <c r="LL245" s="30"/>
      <c r="LM245" s="30"/>
      <c r="LN245" s="30"/>
      <c r="LO245" s="30"/>
      <c r="LP245" s="30"/>
      <c r="LQ245" s="30"/>
      <c r="LR245" s="30"/>
      <c r="LS245" s="30"/>
      <c r="LT245" s="30"/>
      <c r="LU245" s="30"/>
      <c r="LV245" s="30"/>
      <c r="LW245" s="30"/>
      <c r="LX245" s="30"/>
      <c r="LY245" s="30"/>
      <c r="LZ245" s="30"/>
      <c r="MA245" s="30"/>
      <c r="MB245" s="30"/>
      <c r="MC245" s="30"/>
      <c r="MD245" s="30"/>
      <c r="ME245" s="30"/>
      <c r="MF245" s="30"/>
      <c r="MG245" s="30"/>
      <c r="MH245" s="30"/>
      <c r="MI245" s="30"/>
      <c r="MJ245" s="30"/>
      <c r="MK245" s="30"/>
      <c r="ML245" s="30"/>
      <c r="MM245" s="30"/>
      <c r="MN245" s="30"/>
      <c r="MO245" s="30"/>
      <c r="MP245" s="30"/>
      <c r="MQ245" s="30"/>
      <c r="MR245" s="30"/>
      <c r="MS245" s="30"/>
      <c r="MT245" s="30"/>
      <c r="MU245" s="30"/>
      <c r="MV245" s="30"/>
      <c r="MW245" s="30"/>
      <c r="MX245" s="30"/>
      <c r="MY245" s="30"/>
      <c r="MZ245" s="30"/>
      <c r="NA245" s="30"/>
      <c r="NB245" s="30"/>
      <c r="NC245" s="30"/>
      <c r="ND245" s="30"/>
      <c r="NE245" s="30"/>
      <c r="NF245" s="30"/>
      <c r="NG245" s="30"/>
      <c r="NH245" s="30"/>
      <c r="NI245" s="30"/>
      <c r="NJ245" s="30"/>
      <c r="NK245" s="30"/>
      <c r="NL245" s="30"/>
      <c r="NM245" s="30"/>
      <c r="NN245" s="30"/>
      <c r="NO245" s="30"/>
      <c r="NP245" s="30"/>
      <c r="NQ245" s="30"/>
      <c r="NR245" s="30"/>
      <c r="NS245" s="30"/>
      <c r="NT245" s="30"/>
      <c r="NU245" s="30"/>
      <c r="NV245" s="30"/>
      <c r="NW245" s="30"/>
      <c r="NX245" s="30"/>
      <c r="NY245" s="30"/>
      <c r="NZ245" s="30"/>
      <c r="OA245" s="30"/>
      <c r="OB245" s="30"/>
      <c r="OC245" s="30"/>
      <c r="OD245" s="30"/>
      <c r="OE245" s="30"/>
      <c r="OF245" s="30"/>
      <c r="OG245" s="30"/>
      <c r="OH245" s="30"/>
      <c r="OI245" s="30"/>
      <c r="OJ245" s="30"/>
      <c r="OK245" s="30"/>
      <c r="OL245" s="30"/>
      <c r="OM245" s="30"/>
      <c r="ON245" s="30"/>
      <c r="OO245" s="30"/>
      <c r="OP245" s="30"/>
      <c r="OQ245" s="30"/>
      <c r="OR245" s="30"/>
      <c r="OS245" s="30"/>
      <c r="OT245" s="30"/>
      <c r="OU245" s="30"/>
      <c r="OV245" s="30"/>
      <c r="OW245" s="30"/>
      <c r="OX245" s="30"/>
      <c r="OY245" s="30"/>
      <c r="OZ245" s="30"/>
      <c r="PA245" s="30"/>
      <c r="PB245" s="30"/>
      <c r="PC245" s="30"/>
      <c r="PD245" s="30"/>
      <c r="PE245" s="30"/>
      <c r="PF245" s="30"/>
      <c r="PG245" s="30"/>
      <c r="PH245" s="30"/>
      <c r="PI245" s="30"/>
      <c r="PJ245" s="30"/>
      <c r="PK245" s="30"/>
      <c r="PL245" s="30"/>
      <c r="PM245" s="30"/>
      <c r="PN245" s="30"/>
      <c r="PO245" s="30"/>
      <c r="PP245" s="30"/>
      <c r="PQ245" s="30"/>
      <c r="PR245" s="30"/>
      <c r="PS245" s="30"/>
      <c r="PT245" s="30"/>
      <c r="PU245" s="30"/>
      <c r="PV245" s="30"/>
      <c r="PW245" s="30"/>
      <c r="PX245" s="30"/>
      <c r="PY245" s="30"/>
      <c r="PZ245" s="30"/>
      <c r="QA245" s="30"/>
      <c r="QB245" s="30"/>
      <c r="QC245" s="30"/>
      <c r="QD245" s="30"/>
      <c r="QE245" s="30"/>
      <c r="QF245" s="30"/>
      <c r="QG245" s="30"/>
      <c r="QH245" s="30"/>
      <c r="QI245" s="30"/>
      <c r="QJ245" s="30"/>
      <c r="QK245" s="30"/>
      <c r="QL245" s="30"/>
      <c r="QM245" s="30"/>
      <c r="QN245" s="30"/>
      <c r="QO245" s="30"/>
      <c r="QP245" s="30"/>
      <c r="QQ245" s="30"/>
      <c r="QR245" s="30"/>
      <c r="QS245" s="30"/>
      <c r="QT245" s="30"/>
      <c r="QU245" s="30"/>
      <c r="QV245" s="30"/>
      <c r="QW245" s="30"/>
      <c r="QX245" s="30"/>
      <c r="QY245" s="30"/>
      <c r="QZ245" s="30"/>
      <c r="RA245" s="30"/>
      <c r="RB245" s="30"/>
      <c r="RC245" s="30"/>
      <c r="RD245" s="30"/>
      <c r="RE245" s="30"/>
      <c r="RF245" s="30"/>
      <c r="RG245" s="30"/>
      <c r="RH245" s="30"/>
      <c r="RI245" s="30"/>
      <c r="RJ245" s="30"/>
      <c r="RK245" s="30"/>
      <c r="RL245" s="30"/>
      <c r="RM245" s="30"/>
      <c r="RN245" s="30"/>
      <c r="RO245" s="30"/>
      <c r="RP245" s="30"/>
      <c r="RQ245" s="30"/>
      <c r="RR245" s="30"/>
      <c r="RS245" s="30"/>
      <c r="RT245" s="30"/>
      <c r="RU245" s="30"/>
      <c r="RV245" s="30"/>
      <c r="RW245" s="30"/>
      <c r="RX245" s="30"/>
      <c r="RY245" s="30"/>
      <c r="RZ245" s="30"/>
      <c r="SA245" s="30"/>
      <c r="SB245" s="30"/>
      <c r="SC245" s="30"/>
      <c r="SD245" s="30"/>
      <c r="SE245" s="30"/>
      <c r="SF245" s="30"/>
      <c r="SG245" s="30"/>
      <c r="SH245" s="30"/>
      <c r="SI245" s="30"/>
      <c r="SJ245" s="30"/>
      <c r="SK245" s="30"/>
      <c r="SL245" s="30"/>
      <c r="SM245" s="30"/>
      <c r="SN245" s="30"/>
      <c r="SO245" s="30"/>
      <c r="SP245" s="30"/>
      <c r="SQ245" s="30"/>
      <c r="SR245" s="30"/>
      <c r="SS245" s="30"/>
      <c r="ST245" s="30"/>
      <c r="SU245" s="30"/>
      <c r="SV245" s="30"/>
      <c r="SW245" s="30"/>
      <c r="SX245" s="30"/>
      <c r="SY245" s="30"/>
      <c r="SZ245" s="30"/>
      <c r="TA245" s="30"/>
      <c r="TB245" s="30"/>
      <c r="TC245" s="30"/>
      <c r="TD245" s="30"/>
      <c r="TE245" s="30"/>
      <c r="TF245" s="30"/>
      <c r="TG245" s="30"/>
    </row>
    <row r="246" spans="1:527" s="24" customFormat="1" ht="15.75" x14ac:dyDescent="0.25">
      <c r="A246" s="84"/>
      <c r="B246" s="111"/>
      <c r="C246" s="111"/>
      <c r="D246" s="85" t="s">
        <v>393</v>
      </c>
      <c r="E246" s="101">
        <f t="shared" si="106"/>
        <v>0</v>
      </c>
      <c r="F246" s="101"/>
      <c r="G246" s="101"/>
      <c r="H246" s="101"/>
      <c r="I246" s="101"/>
      <c r="J246" s="101">
        <f t="shared" si="108"/>
        <v>200000</v>
      </c>
      <c r="K246" s="101">
        <v>200000</v>
      </c>
      <c r="L246" s="101"/>
      <c r="M246" s="101"/>
      <c r="N246" s="101"/>
      <c r="O246" s="101">
        <v>200000</v>
      </c>
      <c r="P246" s="101">
        <f t="shared" si="107"/>
        <v>200000</v>
      </c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0"/>
      <c r="JE246" s="30"/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30"/>
      <c r="KL246" s="30"/>
      <c r="KM246" s="30"/>
      <c r="KN246" s="30"/>
      <c r="KO246" s="30"/>
      <c r="KP246" s="30"/>
      <c r="KQ246" s="30"/>
      <c r="KR246" s="30"/>
      <c r="KS246" s="30"/>
      <c r="KT246" s="30"/>
      <c r="KU246" s="30"/>
      <c r="KV246" s="30"/>
      <c r="KW246" s="30"/>
      <c r="KX246" s="30"/>
      <c r="KY246" s="30"/>
      <c r="KZ246" s="30"/>
      <c r="LA246" s="30"/>
      <c r="LB246" s="30"/>
      <c r="LC246" s="30"/>
      <c r="LD246" s="30"/>
      <c r="LE246" s="30"/>
      <c r="LF246" s="30"/>
      <c r="LG246" s="30"/>
      <c r="LH246" s="30"/>
      <c r="LI246" s="30"/>
      <c r="LJ246" s="30"/>
      <c r="LK246" s="30"/>
      <c r="LL246" s="30"/>
      <c r="LM246" s="30"/>
      <c r="LN246" s="30"/>
      <c r="LO246" s="30"/>
      <c r="LP246" s="30"/>
      <c r="LQ246" s="30"/>
      <c r="LR246" s="30"/>
      <c r="LS246" s="30"/>
      <c r="LT246" s="30"/>
      <c r="LU246" s="30"/>
      <c r="LV246" s="30"/>
      <c r="LW246" s="30"/>
      <c r="LX246" s="30"/>
      <c r="LY246" s="30"/>
      <c r="LZ246" s="30"/>
      <c r="MA246" s="30"/>
      <c r="MB246" s="30"/>
      <c r="MC246" s="30"/>
      <c r="MD246" s="30"/>
      <c r="ME246" s="30"/>
      <c r="MF246" s="30"/>
      <c r="MG246" s="30"/>
      <c r="MH246" s="30"/>
      <c r="MI246" s="30"/>
      <c r="MJ246" s="30"/>
      <c r="MK246" s="30"/>
      <c r="ML246" s="30"/>
      <c r="MM246" s="30"/>
      <c r="MN246" s="30"/>
      <c r="MO246" s="30"/>
      <c r="MP246" s="30"/>
      <c r="MQ246" s="30"/>
      <c r="MR246" s="30"/>
      <c r="MS246" s="30"/>
      <c r="MT246" s="30"/>
      <c r="MU246" s="30"/>
      <c r="MV246" s="30"/>
      <c r="MW246" s="30"/>
      <c r="MX246" s="30"/>
      <c r="MY246" s="30"/>
      <c r="MZ246" s="30"/>
      <c r="NA246" s="30"/>
      <c r="NB246" s="30"/>
      <c r="NC246" s="30"/>
      <c r="ND246" s="30"/>
      <c r="NE246" s="30"/>
      <c r="NF246" s="30"/>
      <c r="NG246" s="30"/>
      <c r="NH246" s="30"/>
      <c r="NI246" s="30"/>
      <c r="NJ246" s="30"/>
      <c r="NK246" s="30"/>
      <c r="NL246" s="30"/>
      <c r="NM246" s="30"/>
      <c r="NN246" s="30"/>
      <c r="NO246" s="30"/>
      <c r="NP246" s="30"/>
      <c r="NQ246" s="30"/>
      <c r="NR246" s="30"/>
      <c r="NS246" s="30"/>
      <c r="NT246" s="30"/>
      <c r="NU246" s="30"/>
      <c r="NV246" s="30"/>
      <c r="NW246" s="30"/>
      <c r="NX246" s="30"/>
      <c r="NY246" s="30"/>
      <c r="NZ246" s="30"/>
      <c r="OA246" s="30"/>
      <c r="OB246" s="30"/>
      <c r="OC246" s="30"/>
      <c r="OD246" s="30"/>
      <c r="OE246" s="30"/>
      <c r="OF246" s="30"/>
      <c r="OG246" s="30"/>
      <c r="OH246" s="30"/>
      <c r="OI246" s="30"/>
      <c r="OJ246" s="30"/>
      <c r="OK246" s="30"/>
      <c r="OL246" s="30"/>
      <c r="OM246" s="30"/>
      <c r="ON246" s="30"/>
      <c r="OO246" s="30"/>
      <c r="OP246" s="30"/>
      <c r="OQ246" s="30"/>
      <c r="OR246" s="30"/>
      <c r="OS246" s="30"/>
      <c r="OT246" s="30"/>
      <c r="OU246" s="30"/>
      <c r="OV246" s="30"/>
      <c r="OW246" s="30"/>
      <c r="OX246" s="30"/>
      <c r="OY246" s="30"/>
      <c r="OZ246" s="30"/>
      <c r="PA246" s="30"/>
      <c r="PB246" s="30"/>
      <c r="PC246" s="30"/>
      <c r="PD246" s="30"/>
      <c r="PE246" s="30"/>
      <c r="PF246" s="30"/>
      <c r="PG246" s="30"/>
      <c r="PH246" s="30"/>
      <c r="PI246" s="30"/>
      <c r="PJ246" s="30"/>
      <c r="PK246" s="30"/>
      <c r="PL246" s="30"/>
      <c r="PM246" s="30"/>
      <c r="PN246" s="30"/>
      <c r="PO246" s="30"/>
      <c r="PP246" s="30"/>
      <c r="PQ246" s="30"/>
      <c r="PR246" s="30"/>
      <c r="PS246" s="30"/>
      <c r="PT246" s="30"/>
      <c r="PU246" s="30"/>
      <c r="PV246" s="30"/>
      <c r="PW246" s="30"/>
      <c r="PX246" s="30"/>
      <c r="PY246" s="30"/>
      <c r="PZ246" s="30"/>
      <c r="QA246" s="30"/>
      <c r="QB246" s="30"/>
      <c r="QC246" s="30"/>
      <c r="QD246" s="30"/>
      <c r="QE246" s="30"/>
      <c r="QF246" s="30"/>
      <c r="QG246" s="30"/>
      <c r="QH246" s="30"/>
      <c r="QI246" s="30"/>
      <c r="QJ246" s="30"/>
      <c r="QK246" s="30"/>
      <c r="QL246" s="30"/>
      <c r="QM246" s="30"/>
      <c r="QN246" s="30"/>
      <c r="QO246" s="30"/>
      <c r="QP246" s="30"/>
      <c r="QQ246" s="30"/>
      <c r="QR246" s="30"/>
      <c r="QS246" s="30"/>
      <c r="QT246" s="30"/>
      <c r="QU246" s="30"/>
      <c r="QV246" s="30"/>
      <c r="QW246" s="30"/>
      <c r="QX246" s="30"/>
      <c r="QY246" s="30"/>
      <c r="QZ246" s="30"/>
      <c r="RA246" s="30"/>
      <c r="RB246" s="30"/>
      <c r="RC246" s="30"/>
      <c r="RD246" s="30"/>
      <c r="RE246" s="30"/>
      <c r="RF246" s="30"/>
      <c r="RG246" s="30"/>
      <c r="RH246" s="30"/>
      <c r="RI246" s="30"/>
      <c r="RJ246" s="30"/>
      <c r="RK246" s="30"/>
      <c r="RL246" s="30"/>
      <c r="RM246" s="30"/>
      <c r="RN246" s="30"/>
      <c r="RO246" s="30"/>
      <c r="RP246" s="30"/>
      <c r="RQ246" s="30"/>
      <c r="RR246" s="30"/>
      <c r="RS246" s="30"/>
      <c r="RT246" s="30"/>
      <c r="RU246" s="30"/>
      <c r="RV246" s="30"/>
      <c r="RW246" s="30"/>
      <c r="RX246" s="30"/>
      <c r="RY246" s="30"/>
      <c r="RZ246" s="30"/>
      <c r="SA246" s="30"/>
      <c r="SB246" s="30"/>
      <c r="SC246" s="30"/>
      <c r="SD246" s="30"/>
      <c r="SE246" s="30"/>
      <c r="SF246" s="30"/>
      <c r="SG246" s="30"/>
      <c r="SH246" s="30"/>
      <c r="SI246" s="30"/>
      <c r="SJ246" s="30"/>
      <c r="SK246" s="30"/>
      <c r="SL246" s="30"/>
      <c r="SM246" s="30"/>
      <c r="SN246" s="30"/>
      <c r="SO246" s="30"/>
      <c r="SP246" s="30"/>
      <c r="SQ246" s="30"/>
      <c r="SR246" s="30"/>
      <c r="SS246" s="30"/>
      <c r="ST246" s="30"/>
      <c r="SU246" s="30"/>
      <c r="SV246" s="30"/>
      <c r="SW246" s="30"/>
      <c r="SX246" s="30"/>
      <c r="SY246" s="30"/>
      <c r="SZ246" s="30"/>
      <c r="TA246" s="30"/>
      <c r="TB246" s="30"/>
      <c r="TC246" s="30"/>
      <c r="TD246" s="30"/>
      <c r="TE246" s="30"/>
      <c r="TF246" s="30"/>
      <c r="TG246" s="30"/>
    </row>
    <row r="247" spans="1:527" s="22" customFormat="1" ht="47.25" x14ac:dyDescent="0.25">
      <c r="A247" s="59" t="s">
        <v>374</v>
      </c>
      <c r="B247" s="93">
        <f>'дод 8'!A202</f>
        <v>7462</v>
      </c>
      <c r="C247" s="59" t="s">
        <v>400</v>
      </c>
      <c r="D247" s="117" t="s">
        <v>399</v>
      </c>
      <c r="E247" s="99">
        <f t="shared" ref="E247:E252" si="112">F247+I247</f>
        <v>1527346</v>
      </c>
      <c r="F247" s="99">
        <v>1527346</v>
      </c>
      <c r="G247" s="99"/>
      <c r="H247" s="99"/>
      <c r="I247" s="99"/>
      <c r="J247" s="99">
        <f t="shared" ref="J247:J252" si="113">L247+O247</f>
        <v>0</v>
      </c>
      <c r="K247" s="99"/>
      <c r="L247" s="99"/>
      <c r="M247" s="99"/>
      <c r="N247" s="99"/>
      <c r="O247" s="99"/>
      <c r="P247" s="99">
        <f t="shared" ref="P247:P252" si="114">E247+J247</f>
        <v>1527346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</row>
    <row r="248" spans="1:527" s="24" customFormat="1" ht="110.25" hidden="1" customHeight="1" x14ac:dyDescent="0.25">
      <c r="A248" s="84"/>
      <c r="B248" s="111"/>
      <c r="C248" s="111"/>
      <c r="D248" s="87" t="s">
        <v>397</v>
      </c>
      <c r="E248" s="101">
        <f t="shared" si="112"/>
        <v>0</v>
      </c>
      <c r="F248" s="101"/>
      <c r="G248" s="101"/>
      <c r="H248" s="101"/>
      <c r="I248" s="101"/>
      <c r="J248" s="101">
        <f t="shared" si="113"/>
        <v>0</v>
      </c>
      <c r="K248" s="101"/>
      <c r="L248" s="101"/>
      <c r="M248" s="101"/>
      <c r="N248" s="101"/>
      <c r="O248" s="101"/>
      <c r="P248" s="101">
        <f t="shared" si="114"/>
        <v>0</v>
      </c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30"/>
      <c r="JA248" s="30"/>
      <c r="JB248" s="30"/>
      <c r="JC248" s="30"/>
      <c r="JD248" s="30"/>
      <c r="JE248" s="30"/>
      <c r="JF248" s="30"/>
      <c r="JG248" s="30"/>
      <c r="JH248" s="30"/>
      <c r="JI248" s="30"/>
      <c r="JJ248" s="30"/>
      <c r="JK248" s="30"/>
      <c r="JL248" s="30"/>
      <c r="JM248" s="30"/>
      <c r="JN248" s="30"/>
      <c r="JO248" s="30"/>
      <c r="JP248" s="30"/>
      <c r="JQ248" s="30"/>
      <c r="JR248" s="30"/>
      <c r="JS248" s="30"/>
      <c r="JT248" s="30"/>
      <c r="JU248" s="30"/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30"/>
      <c r="KG248" s="30"/>
      <c r="KH248" s="30"/>
      <c r="KI248" s="30"/>
      <c r="KJ248" s="30"/>
      <c r="KK248" s="30"/>
      <c r="KL248" s="30"/>
      <c r="KM248" s="30"/>
      <c r="KN248" s="30"/>
      <c r="KO248" s="30"/>
      <c r="KP248" s="30"/>
      <c r="KQ248" s="30"/>
      <c r="KR248" s="30"/>
      <c r="KS248" s="30"/>
      <c r="KT248" s="30"/>
      <c r="KU248" s="30"/>
      <c r="KV248" s="30"/>
      <c r="KW248" s="30"/>
      <c r="KX248" s="30"/>
      <c r="KY248" s="30"/>
      <c r="KZ248" s="30"/>
      <c r="LA248" s="30"/>
      <c r="LB248" s="30"/>
      <c r="LC248" s="30"/>
      <c r="LD248" s="30"/>
      <c r="LE248" s="30"/>
      <c r="LF248" s="30"/>
      <c r="LG248" s="30"/>
      <c r="LH248" s="30"/>
      <c r="LI248" s="30"/>
      <c r="LJ248" s="30"/>
      <c r="LK248" s="30"/>
      <c r="LL248" s="30"/>
      <c r="LM248" s="30"/>
      <c r="LN248" s="30"/>
      <c r="LO248" s="30"/>
      <c r="LP248" s="30"/>
      <c r="LQ248" s="30"/>
      <c r="LR248" s="30"/>
      <c r="LS248" s="30"/>
      <c r="LT248" s="30"/>
      <c r="LU248" s="30"/>
      <c r="LV248" s="30"/>
      <c r="LW248" s="30"/>
      <c r="LX248" s="30"/>
      <c r="LY248" s="30"/>
      <c r="LZ248" s="30"/>
      <c r="MA248" s="30"/>
      <c r="MB248" s="30"/>
      <c r="MC248" s="30"/>
      <c r="MD248" s="30"/>
      <c r="ME248" s="30"/>
      <c r="MF248" s="30"/>
      <c r="MG248" s="30"/>
      <c r="MH248" s="30"/>
      <c r="MI248" s="30"/>
      <c r="MJ248" s="30"/>
      <c r="MK248" s="30"/>
      <c r="ML248" s="30"/>
      <c r="MM248" s="30"/>
      <c r="MN248" s="30"/>
      <c r="MO248" s="30"/>
      <c r="MP248" s="30"/>
      <c r="MQ248" s="30"/>
      <c r="MR248" s="30"/>
      <c r="MS248" s="30"/>
      <c r="MT248" s="30"/>
      <c r="MU248" s="30"/>
      <c r="MV248" s="30"/>
      <c r="MW248" s="30"/>
      <c r="MX248" s="30"/>
      <c r="MY248" s="30"/>
      <c r="MZ248" s="30"/>
      <c r="NA248" s="30"/>
      <c r="NB248" s="30"/>
      <c r="NC248" s="30"/>
      <c r="ND248" s="30"/>
      <c r="NE248" s="30"/>
      <c r="NF248" s="30"/>
      <c r="NG248" s="30"/>
      <c r="NH248" s="30"/>
      <c r="NI248" s="30"/>
      <c r="NJ248" s="30"/>
      <c r="NK248" s="30"/>
      <c r="NL248" s="30"/>
      <c r="NM248" s="30"/>
      <c r="NN248" s="30"/>
      <c r="NO248" s="30"/>
      <c r="NP248" s="30"/>
      <c r="NQ248" s="30"/>
      <c r="NR248" s="30"/>
      <c r="NS248" s="30"/>
      <c r="NT248" s="30"/>
      <c r="NU248" s="30"/>
      <c r="NV248" s="30"/>
      <c r="NW248" s="30"/>
      <c r="NX248" s="30"/>
      <c r="NY248" s="30"/>
      <c r="NZ248" s="30"/>
      <c r="OA248" s="30"/>
      <c r="OB248" s="30"/>
      <c r="OC248" s="30"/>
      <c r="OD248" s="30"/>
      <c r="OE248" s="30"/>
      <c r="OF248" s="30"/>
      <c r="OG248" s="30"/>
      <c r="OH248" s="30"/>
      <c r="OI248" s="30"/>
      <c r="OJ248" s="30"/>
      <c r="OK248" s="30"/>
      <c r="OL248" s="30"/>
      <c r="OM248" s="30"/>
      <c r="ON248" s="30"/>
      <c r="OO248" s="30"/>
      <c r="OP248" s="30"/>
      <c r="OQ248" s="30"/>
      <c r="OR248" s="30"/>
      <c r="OS248" s="30"/>
      <c r="OT248" s="30"/>
      <c r="OU248" s="30"/>
      <c r="OV248" s="30"/>
      <c r="OW248" s="30"/>
      <c r="OX248" s="30"/>
      <c r="OY248" s="30"/>
      <c r="OZ248" s="30"/>
      <c r="PA248" s="30"/>
      <c r="PB248" s="30"/>
      <c r="PC248" s="30"/>
      <c r="PD248" s="30"/>
      <c r="PE248" s="30"/>
      <c r="PF248" s="30"/>
      <c r="PG248" s="30"/>
      <c r="PH248" s="30"/>
      <c r="PI248" s="30"/>
      <c r="PJ248" s="30"/>
      <c r="PK248" s="30"/>
      <c r="PL248" s="30"/>
      <c r="PM248" s="30"/>
      <c r="PN248" s="30"/>
      <c r="PO248" s="30"/>
      <c r="PP248" s="30"/>
      <c r="PQ248" s="30"/>
      <c r="PR248" s="30"/>
      <c r="PS248" s="30"/>
      <c r="PT248" s="30"/>
      <c r="PU248" s="30"/>
      <c r="PV248" s="30"/>
      <c r="PW248" s="30"/>
      <c r="PX248" s="30"/>
      <c r="PY248" s="30"/>
      <c r="PZ248" s="30"/>
      <c r="QA248" s="30"/>
      <c r="QB248" s="30"/>
      <c r="QC248" s="30"/>
      <c r="QD248" s="30"/>
      <c r="QE248" s="30"/>
      <c r="QF248" s="30"/>
      <c r="QG248" s="30"/>
      <c r="QH248" s="30"/>
      <c r="QI248" s="30"/>
      <c r="QJ248" s="30"/>
      <c r="QK248" s="30"/>
      <c r="QL248" s="30"/>
      <c r="QM248" s="30"/>
      <c r="QN248" s="30"/>
      <c r="QO248" s="30"/>
      <c r="QP248" s="30"/>
      <c r="QQ248" s="30"/>
      <c r="QR248" s="30"/>
      <c r="QS248" s="30"/>
      <c r="QT248" s="30"/>
      <c r="QU248" s="30"/>
      <c r="QV248" s="30"/>
      <c r="QW248" s="30"/>
      <c r="QX248" s="30"/>
      <c r="QY248" s="30"/>
      <c r="QZ248" s="30"/>
      <c r="RA248" s="30"/>
      <c r="RB248" s="30"/>
      <c r="RC248" s="30"/>
      <c r="RD248" s="30"/>
      <c r="RE248" s="30"/>
      <c r="RF248" s="30"/>
      <c r="RG248" s="30"/>
      <c r="RH248" s="30"/>
      <c r="RI248" s="30"/>
      <c r="RJ248" s="30"/>
      <c r="RK248" s="30"/>
      <c r="RL248" s="30"/>
      <c r="RM248" s="30"/>
      <c r="RN248" s="30"/>
      <c r="RO248" s="30"/>
      <c r="RP248" s="30"/>
      <c r="RQ248" s="30"/>
      <c r="RR248" s="30"/>
      <c r="RS248" s="30"/>
      <c r="RT248" s="30"/>
      <c r="RU248" s="30"/>
      <c r="RV248" s="30"/>
      <c r="RW248" s="30"/>
      <c r="RX248" s="30"/>
      <c r="RY248" s="30"/>
      <c r="RZ248" s="30"/>
      <c r="SA248" s="30"/>
      <c r="SB248" s="30"/>
      <c r="SC248" s="30"/>
      <c r="SD248" s="30"/>
      <c r="SE248" s="30"/>
      <c r="SF248" s="30"/>
      <c r="SG248" s="30"/>
      <c r="SH248" s="30"/>
      <c r="SI248" s="30"/>
      <c r="SJ248" s="30"/>
      <c r="SK248" s="30"/>
      <c r="SL248" s="30"/>
      <c r="SM248" s="30"/>
      <c r="SN248" s="30"/>
      <c r="SO248" s="30"/>
      <c r="SP248" s="30"/>
      <c r="SQ248" s="30"/>
      <c r="SR248" s="30"/>
      <c r="SS248" s="30"/>
      <c r="ST248" s="30"/>
      <c r="SU248" s="30"/>
      <c r="SV248" s="30"/>
      <c r="SW248" s="30"/>
      <c r="SX248" s="30"/>
      <c r="SY248" s="30"/>
      <c r="SZ248" s="30"/>
      <c r="TA248" s="30"/>
      <c r="TB248" s="30"/>
      <c r="TC248" s="30"/>
      <c r="TD248" s="30"/>
      <c r="TE248" s="30"/>
      <c r="TF248" s="30"/>
      <c r="TG248" s="30"/>
    </row>
    <row r="249" spans="1:527" s="24" customFormat="1" ht="78.75" x14ac:dyDescent="0.25">
      <c r="A249" s="84"/>
      <c r="B249" s="111"/>
      <c r="C249" s="84"/>
      <c r="D249" s="87" t="s">
        <v>540</v>
      </c>
      <c r="E249" s="101">
        <f t="shared" si="112"/>
        <v>1527346</v>
      </c>
      <c r="F249" s="101">
        <v>1527346</v>
      </c>
      <c r="G249" s="101"/>
      <c r="H249" s="101"/>
      <c r="I249" s="101"/>
      <c r="J249" s="101">
        <f t="shared" si="113"/>
        <v>0</v>
      </c>
      <c r="K249" s="101"/>
      <c r="L249" s="101"/>
      <c r="M249" s="101"/>
      <c r="N249" s="101"/>
      <c r="O249" s="101"/>
      <c r="P249" s="101">
        <f t="shared" si="114"/>
        <v>1527346</v>
      </c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30"/>
      <c r="JA249" s="30"/>
      <c r="JB249" s="30"/>
      <c r="JC249" s="30"/>
      <c r="JD249" s="30"/>
      <c r="JE249" s="30"/>
      <c r="JF249" s="30"/>
      <c r="JG249" s="30"/>
      <c r="JH249" s="30"/>
      <c r="JI249" s="30"/>
      <c r="JJ249" s="30"/>
      <c r="JK249" s="30"/>
      <c r="JL249" s="30"/>
      <c r="JM249" s="30"/>
      <c r="JN249" s="30"/>
      <c r="JO249" s="30"/>
      <c r="JP249" s="30"/>
      <c r="JQ249" s="30"/>
      <c r="JR249" s="30"/>
      <c r="JS249" s="30"/>
      <c r="JT249" s="30"/>
      <c r="JU249" s="30"/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30"/>
      <c r="KG249" s="30"/>
      <c r="KH249" s="30"/>
      <c r="KI249" s="30"/>
      <c r="KJ249" s="30"/>
      <c r="KK249" s="30"/>
      <c r="KL249" s="30"/>
      <c r="KM249" s="30"/>
      <c r="KN249" s="30"/>
      <c r="KO249" s="30"/>
      <c r="KP249" s="30"/>
      <c r="KQ249" s="30"/>
      <c r="KR249" s="30"/>
      <c r="KS249" s="30"/>
      <c r="KT249" s="30"/>
      <c r="KU249" s="30"/>
      <c r="KV249" s="30"/>
      <c r="KW249" s="30"/>
      <c r="KX249" s="30"/>
      <c r="KY249" s="30"/>
      <c r="KZ249" s="30"/>
      <c r="LA249" s="30"/>
      <c r="LB249" s="30"/>
      <c r="LC249" s="30"/>
      <c r="LD249" s="30"/>
      <c r="LE249" s="30"/>
      <c r="LF249" s="30"/>
      <c r="LG249" s="30"/>
      <c r="LH249" s="30"/>
      <c r="LI249" s="30"/>
      <c r="LJ249" s="30"/>
      <c r="LK249" s="30"/>
      <c r="LL249" s="30"/>
      <c r="LM249" s="30"/>
      <c r="LN249" s="30"/>
      <c r="LO249" s="30"/>
      <c r="LP249" s="30"/>
      <c r="LQ249" s="30"/>
      <c r="LR249" s="30"/>
      <c r="LS249" s="30"/>
      <c r="LT249" s="30"/>
      <c r="LU249" s="30"/>
      <c r="LV249" s="30"/>
      <c r="LW249" s="30"/>
      <c r="LX249" s="30"/>
      <c r="LY249" s="30"/>
      <c r="LZ249" s="30"/>
      <c r="MA249" s="30"/>
      <c r="MB249" s="30"/>
      <c r="MC249" s="30"/>
      <c r="MD249" s="30"/>
      <c r="ME249" s="30"/>
      <c r="MF249" s="30"/>
      <c r="MG249" s="30"/>
      <c r="MH249" s="30"/>
      <c r="MI249" s="30"/>
      <c r="MJ249" s="30"/>
      <c r="MK249" s="30"/>
      <c r="ML249" s="30"/>
      <c r="MM249" s="30"/>
      <c r="MN249" s="30"/>
      <c r="MO249" s="30"/>
      <c r="MP249" s="30"/>
      <c r="MQ249" s="30"/>
      <c r="MR249" s="30"/>
      <c r="MS249" s="30"/>
      <c r="MT249" s="30"/>
      <c r="MU249" s="30"/>
      <c r="MV249" s="30"/>
      <c r="MW249" s="30"/>
      <c r="MX249" s="30"/>
      <c r="MY249" s="30"/>
      <c r="MZ249" s="30"/>
      <c r="NA249" s="30"/>
      <c r="NB249" s="30"/>
      <c r="NC249" s="30"/>
      <c r="ND249" s="30"/>
      <c r="NE249" s="30"/>
      <c r="NF249" s="30"/>
      <c r="NG249" s="30"/>
      <c r="NH249" s="30"/>
      <c r="NI249" s="30"/>
      <c r="NJ249" s="30"/>
      <c r="NK249" s="30"/>
      <c r="NL249" s="30"/>
      <c r="NM249" s="30"/>
      <c r="NN249" s="30"/>
      <c r="NO249" s="30"/>
      <c r="NP249" s="30"/>
      <c r="NQ249" s="30"/>
      <c r="NR249" s="30"/>
      <c r="NS249" s="30"/>
      <c r="NT249" s="30"/>
      <c r="NU249" s="30"/>
      <c r="NV249" s="30"/>
      <c r="NW249" s="30"/>
      <c r="NX249" s="30"/>
      <c r="NY249" s="30"/>
      <c r="NZ249" s="30"/>
      <c r="OA249" s="30"/>
      <c r="OB249" s="30"/>
      <c r="OC249" s="30"/>
      <c r="OD249" s="30"/>
      <c r="OE249" s="30"/>
      <c r="OF249" s="30"/>
      <c r="OG249" s="30"/>
      <c r="OH249" s="30"/>
      <c r="OI249" s="30"/>
      <c r="OJ249" s="30"/>
      <c r="OK249" s="30"/>
      <c r="OL249" s="30"/>
      <c r="OM249" s="30"/>
      <c r="ON249" s="30"/>
      <c r="OO249" s="30"/>
      <c r="OP249" s="30"/>
      <c r="OQ249" s="30"/>
      <c r="OR249" s="30"/>
      <c r="OS249" s="30"/>
      <c r="OT249" s="30"/>
      <c r="OU249" s="30"/>
      <c r="OV249" s="30"/>
      <c r="OW249" s="30"/>
      <c r="OX249" s="30"/>
      <c r="OY249" s="30"/>
      <c r="OZ249" s="30"/>
      <c r="PA249" s="30"/>
      <c r="PB249" s="30"/>
      <c r="PC249" s="30"/>
      <c r="PD249" s="30"/>
      <c r="PE249" s="30"/>
      <c r="PF249" s="30"/>
      <c r="PG249" s="30"/>
      <c r="PH249" s="30"/>
      <c r="PI249" s="30"/>
      <c r="PJ249" s="30"/>
      <c r="PK249" s="30"/>
      <c r="PL249" s="30"/>
      <c r="PM249" s="30"/>
      <c r="PN249" s="30"/>
      <c r="PO249" s="30"/>
      <c r="PP249" s="30"/>
      <c r="PQ249" s="30"/>
      <c r="PR249" s="30"/>
      <c r="PS249" s="30"/>
      <c r="PT249" s="30"/>
      <c r="PU249" s="30"/>
      <c r="PV249" s="30"/>
      <c r="PW249" s="30"/>
      <c r="PX249" s="30"/>
      <c r="PY249" s="30"/>
      <c r="PZ249" s="30"/>
      <c r="QA249" s="30"/>
      <c r="QB249" s="30"/>
      <c r="QC249" s="30"/>
      <c r="QD249" s="30"/>
      <c r="QE249" s="30"/>
      <c r="QF249" s="30"/>
      <c r="QG249" s="30"/>
      <c r="QH249" s="30"/>
      <c r="QI249" s="30"/>
      <c r="QJ249" s="30"/>
      <c r="QK249" s="30"/>
      <c r="QL249" s="30"/>
      <c r="QM249" s="30"/>
      <c r="QN249" s="30"/>
      <c r="QO249" s="30"/>
      <c r="QP249" s="30"/>
      <c r="QQ249" s="30"/>
      <c r="QR249" s="30"/>
      <c r="QS249" s="30"/>
      <c r="QT249" s="30"/>
      <c r="QU249" s="30"/>
      <c r="QV249" s="30"/>
      <c r="QW249" s="30"/>
      <c r="QX249" s="30"/>
      <c r="QY249" s="30"/>
      <c r="QZ249" s="30"/>
      <c r="RA249" s="30"/>
      <c r="RB249" s="30"/>
      <c r="RC249" s="30"/>
      <c r="RD249" s="30"/>
      <c r="RE249" s="30"/>
      <c r="RF249" s="30"/>
      <c r="RG249" s="30"/>
      <c r="RH249" s="30"/>
      <c r="RI249" s="30"/>
      <c r="RJ249" s="30"/>
      <c r="RK249" s="30"/>
      <c r="RL249" s="30"/>
      <c r="RM249" s="30"/>
      <c r="RN249" s="30"/>
      <c r="RO249" s="30"/>
      <c r="RP249" s="30"/>
      <c r="RQ249" s="30"/>
      <c r="RR249" s="30"/>
      <c r="RS249" s="30"/>
      <c r="RT249" s="30"/>
      <c r="RU249" s="30"/>
      <c r="RV249" s="30"/>
      <c r="RW249" s="30"/>
      <c r="RX249" s="30"/>
      <c r="RY249" s="30"/>
      <c r="RZ249" s="30"/>
      <c r="SA249" s="30"/>
      <c r="SB249" s="30"/>
      <c r="SC249" s="30"/>
      <c r="SD249" s="30"/>
      <c r="SE249" s="30"/>
      <c r="SF249" s="30"/>
      <c r="SG249" s="30"/>
      <c r="SH249" s="30"/>
      <c r="SI249" s="30"/>
      <c r="SJ249" s="30"/>
      <c r="SK249" s="30"/>
      <c r="SL249" s="30"/>
      <c r="SM249" s="30"/>
      <c r="SN249" s="30"/>
      <c r="SO249" s="30"/>
      <c r="SP249" s="30"/>
      <c r="SQ249" s="30"/>
      <c r="SR249" s="30"/>
      <c r="SS249" s="30"/>
      <c r="ST249" s="30"/>
      <c r="SU249" s="30"/>
      <c r="SV249" s="30"/>
      <c r="SW249" s="30"/>
      <c r="SX249" s="30"/>
      <c r="SY249" s="30"/>
      <c r="SZ249" s="30"/>
      <c r="TA249" s="30"/>
      <c r="TB249" s="30"/>
      <c r="TC249" s="30"/>
      <c r="TD249" s="30"/>
      <c r="TE249" s="30"/>
      <c r="TF249" s="30"/>
      <c r="TG249" s="30"/>
    </row>
    <row r="250" spans="1:527" s="24" customFormat="1" ht="47.25" x14ac:dyDescent="0.25">
      <c r="A250" s="59" t="s">
        <v>589</v>
      </c>
      <c r="B250" s="93">
        <v>7463</v>
      </c>
      <c r="C250" s="59" t="s">
        <v>400</v>
      </c>
      <c r="D250" s="117" t="s">
        <v>590</v>
      </c>
      <c r="E250" s="99">
        <f t="shared" si="112"/>
        <v>200000</v>
      </c>
      <c r="F250" s="99">
        <v>200000</v>
      </c>
      <c r="G250" s="101"/>
      <c r="H250" s="101"/>
      <c r="I250" s="101"/>
      <c r="J250" s="99">
        <f t="shared" si="113"/>
        <v>0</v>
      </c>
      <c r="K250" s="101"/>
      <c r="L250" s="101"/>
      <c r="M250" s="101"/>
      <c r="N250" s="101"/>
      <c r="O250" s="101"/>
      <c r="P250" s="99">
        <f t="shared" si="114"/>
        <v>200000</v>
      </c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  <c r="IW250" s="30"/>
      <c r="IX250" s="30"/>
      <c r="IY250" s="30"/>
      <c r="IZ250" s="30"/>
      <c r="JA250" s="30"/>
      <c r="JB250" s="30"/>
      <c r="JC250" s="30"/>
      <c r="JD250" s="30"/>
      <c r="JE250" s="30"/>
      <c r="JF250" s="30"/>
      <c r="JG250" s="30"/>
      <c r="JH250" s="30"/>
      <c r="JI250" s="30"/>
      <c r="JJ250" s="30"/>
      <c r="JK250" s="30"/>
      <c r="JL250" s="30"/>
      <c r="JM250" s="30"/>
      <c r="JN250" s="30"/>
      <c r="JO250" s="30"/>
      <c r="JP250" s="30"/>
      <c r="JQ250" s="30"/>
      <c r="JR250" s="30"/>
      <c r="JS250" s="30"/>
      <c r="JT250" s="30"/>
      <c r="JU250" s="30"/>
      <c r="JV250" s="30"/>
      <c r="JW250" s="30"/>
      <c r="JX250" s="30"/>
      <c r="JY250" s="30"/>
      <c r="JZ250" s="30"/>
      <c r="KA250" s="30"/>
      <c r="KB250" s="30"/>
      <c r="KC250" s="30"/>
      <c r="KD250" s="30"/>
      <c r="KE250" s="30"/>
      <c r="KF250" s="30"/>
      <c r="KG250" s="30"/>
      <c r="KH250" s="30"/>
      <c r="KI250" s="30"/>
      <c r="KJ250" s="30"/>
      <c r="KK250" s="30"/>
      <c r="KL250" s="30"/>
      <c r="KM250" s="30"/>
      <c r="KN250" s="30"/>
      <c r="KO250" s="30"/>
      <c r="KP250" s="30"/>
      <c r="KQ250" s="30"/>
      <c r="KR250" s="30"/>
      <c r="KS250" s="30"/>
      <c r="KT250" s="30"/>
      <c r="KU250" s="30"/>
      <c r="KV250" s="30"/>
      <c r="KW250" s="30"/>
      <c r="KX250" s="30"/>
      <c r="KY250" s="30"/>
      <c r="KZ250" s="30"/>
      <c r="LA250" s="30"/>
      <c r="LB250" s="30"/>
      <c r="LC250" s="30"/>
      <c r="LD250" s="30"/>
      <c r="LE250" s="30"/>
      <c r="LF250" s="30"/>
      <c r="LG250" s="30"/>
      <c r="LH250" s="30"/>
      <c r="LI250" s="30"/>
      <c r="LJ250" s="30"/>
      <c r="LK250" s="30"/>
      <c r="LL250" s="30"/>
      <c r="LM250" s="30"/>
      <c r="LN250" s="30"/>
      <c r="LO250" s="30"/>
      <c r="LP250" s="30"/>
      <c r="LQ250" s="30"/>
      <c r="LR250" s="30"/>
      <c r="LS250" s="30"/>
      <c r="LT250" s="30"/>
      <c r="LU250" s="30"/>
      <c r="LV250" s="30"/>
      <c r="LW250" s="30"/>
      <c r="LX250" s="30"/>
      <c r="LY250" s="30"/>
      <c r="LZ250" s="30"/>
      <c r="MA250" s="30"/>
      <c r="MB250" s="30"/>
      <c r="MC250" s="30"/>
      <c r="MD250" s="30"/>
      <c r="ME250" s="30"/>
      <c r="MF250" s="30"/>
      <c r="MG250" s="30"/>
      <c r="MH250" s="30"/>
      <c r="MI250" s="30"/>
      <c r="MJ250" s="30"/>
      <c r="MK250" s="30"/>
      <c r="ML250" s="30"/>
      <c r="MM250" s="30"/>
      <c r="MN250" s="30"/>
      <c r="MO250" s="30"/>
      <c r="MP250" s="30"/>
      <c r="MQ250" s="30"/>
      <c r="MR250" s="30"/>
      <c r="MS250" s="30"/>
      <c r="MT250" s="30"/>
      <c r="MU250" s="30"/>
      <c r="MV250" s="30"/>
      <c r="MW250" s="30"/>
      <c r="MX250" s="30"/>
      <c r="MY250" s="30"/>
      <c r="MZ250" s="30"/>
      <c r="NA250" s="30"/>
      <c r="NB250" s="30"/>
      <c r="NC250" s="30"/>
      <c r="ND250" s="30"/>
      <c r="NE250" s="30"/>
      <c r="NF250" s="30"/>
      <c r="NG250" s="30"/>
      <c r="NH250" s="30"/>
      <c r="NI250" s="30"/>
      <c r="NJ250" s="30"/>
      <c r="NK250" s="30"/>
      <c r="NL250" s="30"/>
      <c r="NM250" s="30"/>
      <c r="NN250" s="30"/>
      <c r="NO250" s="30"/>
      <c r="NP250" s="30"/>
      <c r="NQ250" s="30"/>
      <c r="NR250" s="30"/>
      <c r="NS250" s="30"/>
      <c r="NT250" s="30"/>
      <c r="NU250" s="30"/>
      <c r="NV250" s="30"/>
      <c r="NW250" s="30"/>
      <c r="NX250" s="30"/>
      <c r="NY250" s="30"/>
      <c r="NZ250" s="30"/>
      <c r="OA250" s="30"/>
      <c r="OB250" s="30"/>
      <c r="OC250" s="30"/>
      <c r="OD250" s="30"/>
      <c r="OE250" s="30"/>
      <c r="OF250" s="30"/>
      <c r="OG250" s="30"/>
      <c r="OH250" s="30"/>
      <c r="OI250" s="30"/>
      <c r="OJ250" s="30"/>
      <c r="OK250" s="30"/>
      <c r="OL250" s="30"/>
      <c r="OM250" s="30"/>
      <c r="ON250" s="30"/>
      <c r="OO250" s="30"/>
      <c r="OP250" s="30"/>
      <c r="OQ250" s="30"/>
      <c r="OR250" s="30"/>
      <c r="OS250" s="30"/>
      <c r="OT250" s="30"/>
      <c r="OU250" s="30"/>
      <c r="OV250" s="30"/>
      <c r="OW250" s="30"/>
      <c r="OX250" s="30"/>
      <c r="OY250" s="30"/>
      <c r="OZ250" s="30"/>
      <c r="PA250" s="30"/>
      <c r="PB250" s="30"/>
      <c r="PC250" s="30"/>
      <c r="PD250" s="30"/>
      <c r="PE250" s="30"/>
      <c r="PF250" s="30"/>
      <c r="PG250" s="30"/>
      <c r="PH250" s="30"/>
      <c r="PI250" s="30"/>
      <c r="PJ250" s="30"/>
      <c r="PK250" s="30"/>
      <c r="PL250" s="30"/>
      <c r="PM250" s="30"/>
      <c r="PN250" s="30"/>
      <c r="PO250" s="30"/>
      <c r="PP250" s="30"/>
      <c r="PQ250" s="30"/>
      <c r="PR250" s="30"/>
      <c r="PS250" s="30"/>
      <c r="PT250" s="30"/>
      <c r="PU250" s="30"/>
      <c r="PV250" s="30"/>
      <c r="PW250" s="30"/>
      <c r="PX250" s="30"/>
      <c r="PY250" s="30"/>
      <c r="PZ250" s="30"/>
      <c r="QA250" s="30"/>
      <c r="QB250" s="30"/>
      <c r="QC250" s="30"/>
      <c r="QD250" s="30"/>
      <c r="QE250" s="30"/>
      <c r="QF250" s="30"/>
      <c r="QG250" s="30"/>
      <c r="QH250" s="30"/>
      <c r="QI250" s="30"/>
      <c r="QJ250" s="30"/>
      <c r="QK250" s="30"/>
      <c r="QL250" s="30"/>
      <c r="QM250" s="30"/>
      <c r="QN250" s="30"/>
      <c r="QO250" s="30"/>
      <c r="QP250" s="30"/>
      <c r="QQ250" s="30"/>
      <c r="QR250" s="30"/>
      <c r="QS250" s="30"/>
      <c r="QT250" s="30"/>
      <c r="QU250" s="30"/>
      <c r="QV250" s="30"/>
      <c r="QW250" s="30"/>
      <c r="QX250" s="30"/>
      <c r="QY250" s="30"/>
      <c r="QZ250" s="30"/>
      <c r="RA250" s="30"/>
      <c r="RB250" s="30"/>
      <c r="RC250" s="30"/>
      <c r="RD250" s="30"/>
      <c r="RE250" s="30"/>
      <c r="RF250" s="30"/>
      <c r="RG250" s="30"/>
      <c r="RH250" s="30"/>
      <c r="RI250" s="30"/>
      <c r="RJ250" s="30"/>
      <c r="RK250" s="30"/>
      <c r="RL250" s="30"/>
      <c r="RM250" s="30"/>
      <c r="RN250" s="30"/>
      <c r="RO250" s="30"/>
      <c r="RP250" s="30"/>
      <c r="RQ250" s="30"/>
      <c r="RR250" s="30"/>
      <c r="RS250" s="30"/>
      <c r="RT250" s="30"/>
      <c r="RU250" s="30"/>
      <c r="RV250" s="30"/>
      <c r="RW250" s="30"/>
      <c r="RX250" s="30"/>
      <c r="RY250" s="30"/>
      <c r="RZ250" s="30"/>
      <c r="SA250" s="30"/>
      <c r="SB250" s="30"/>
      <c r="SC250" s="30"/>
      <c r="SD250" s="30"/>
      <c r="SE250" s="30"/>
      <c r="SF250" s="30"/>
      <c r="SG250" s="30"/>
      <c r="SH250" s="30"/>
      <c r="SI250" s="30"/>
      <c r="SJ250" s="30"/>
      <c r="SK250" s="30"/>
      <c r="SL250" s="30"/>
      <c r="SM250" s="30"/>
      <c r="SN250" s="30"/>
      <c r="SO250" s="30"/>
      <c r="SP250" s="30"/>
      <c r="SQ250" s="30"/>
      <c r="SR250" s="30"/>
      <c r="SS250" s="30"/>
      <c r="ST250" s="30"/>
      <c r="SU250" s="30"/>
      <c r="SV250" s="30"/>
      <c r="SW250" s="30"/>
      <c r="SX250" s="30"/>
      <c r="SY250" s="30"/>
      <c r="SZ250" s="30"/>
      <c r="TA250" s="30"/>
      <c r="TB250" s="30"/>
      <c r="TC250" s="30"/>
      <c r="TD250" s="30"/>
      <c r="TE250" s="30"/>
      <c r="TF250" s="30"/>
      <c r="TG250" s="30"/>
    </row>
    <row r="251" spans="1:527" s="24" customFormat="1" ht="15.75" x14ac:dyDescent="0.25">
      <c r="A251" s="84"/>
      <c r="B251" s="111"/>
      <c r="C251" s="84"/>
      <c r="D251" s="85" t="s">
        <v>393</v>
      </c>
      <c r="E251" s="101">
        <f t="shared" si="112"/>
        <v>200000</v>
      </c>
      <c r="F251" s="101">
        <v>200000</v>
      </c>
      <c r="G251" s="101"/>
      <c r="H251" s="101"/>
      <c r="I251" s="101"/>
      <c r="J251" s="101">
        <f t="shared" si="113"/>
        <v>0</v>
      </c>
      <c r="K251" s="101"/>
      <c r="L251" s="101"/>
      <c r="M251" s="101"/>
      <c r="N251" s="101"/>
      <c r="O251" s="101"/>
      <c r="P251" s="101">
        <f t="shared" si="114"/>
        <v>200000</v>
      </c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  <c r="LU251" s="30"/>
      <c r="LV251" s="30"/>
      <c r="LW251" s="30"/>
      <c r="LX251" s="30"/>
      <c r="LY251" s="30"/>
      <c r="LZ251" s="30"/>
      <c r="MA251" s="30"/>
      <c r="MB251" s="30"/>
      <c r="MC251" s="30"/>
      <c r="MD251" s="30"/>
      <c r="ME251" s="30"/>
      <c r="MF251" s="30"/>
      <c r="MG251" s="30"/>
      <c r="MH251" s="30"/>
      <c r="MI251" s="30"/>
      <c r="MJ251" s="30"/>
      <c r="MK251" s="30"/>
      <c r="ML251" s="30"/>
      <c r="MM251" s="30"/>
      <c r="MN251" s="30"/>
      <c r="MO251" s="30"/>
      <c r="MP251" s="30"/>
      <c r="MQ251" s="30"/>
      <c r="MR251" s="30"/>
      <c r="MS251" s="30"/>
      <c r="MT251" s="30"/>
      <c r="MU251" s="30"/>
      <c r="MV251" s="30"/>
      <c r="MW251" s="30"/>
      <c r="MX251" s="30"/>
      <c r="MY251" s="30"/>
      <c r="MZ251" s="30"/>
      <c r="NA251" s="30"/>
      <c r="NB251" s="30"/>
      <c r="NC251" s="30"/>
      <c r="ND251" s="30"/>
      <c r="NE251" s="30"/>
      <c r="NF251" s="30"/>
      <c r="NG251" s="30"/>
      <c r="NH251" s="30"/>
      <c r="NI251" s="30"/>
      <c r="NJ251" s="30"/>
      <c r="NK251" s="30"/>
      <c r="NL251" s="30"/>
      <c r="NM251" s="30"/>
      <c r="NN251" s="30"/>
      <c r="NO251" s="30"/>
      <c r="NP251" s="30"/>
      <c r="NQ251" s="30"/>
      <c r="NR251" s="30"/>
      <c r="NS251" s="30"/>
      <c r="NT251" s="30"/>
      <c r="NU251" s="30"/>
      <c r="NV251" s="30"/>
      <c r="NW251" s="30"/>
      <c r="NX251" s="30"/>
      <c r="NY251" s="30"/>
      <c r="NZ251" s="30"/>
      <c r="OA251" s="30"/>
      <c r="OB251" s="30"/>
      <c r="OC251" s="30"/>
      <c r="OD251" s="30"/>
      <c r="OE251" s="30"/>
      <c r="OF251" s="30"/>
      <c r="OG251" s="30"/>
      <c r="OH251" s="30"/>
      <c r="OI251" s="30"/>
      <c r="OJ251" s="30"/>
      <c r="OK251" s="30"/>
      <c r="OL251" s="30"/>
      <c r="OM251" s="30"/>
      <c r="ON251" s="30"/>
      <c r="OO251" s="30"/>
      <c r="OP251" s="30"/>
      <c r="OQ251" s="30"/>
      <c r="OR251" s="30"/>
      <c r="OS251" s="30"/>
      <c r="OT251" s="30"/>
      <c r="OU251" s="30"/>
      <c r="OV251" s="30"/>
      <c r="OW251" s="30"/>
      <c r="OX251" s="30"/>
      <c r="OY251" s="30"/>
      <c r="OZ251" s="30"/>
      <c r="PA251" s="30"/>
      <c r="PB251" s="30"/>
      <c r="PC251" s="30"/>
      <c r="PD251" s="30"/>
      <c r="PE251" s="30"/>
      <c r="PF251" s="30"/>
      <c r="PG251" s="30"/>
      <c r="PH251" s="30"/>
      <c r="PI251" s="30"/>
      <c r="PJ251" s="30"/>
      <c r="PK251" s="30"/>
      <c r="PL251" s="30"/>
      <c r="PM251" s="30"/>
      <c r="PN251" s="30"/>
      <c r="PO251" s="30"/>
      <c r="PP251" s="30"/>
      <c r="PQ251" s="30"/>
      <c r="PR251" s="30"/>
      <c r="PS251" s="30"/>
      <c r="PT251" s="30"/>
      <c r="PU251" s="30"/>
      <c r="PV251" s="30"/>
      <c r="PW251" s="30"/>
      <c r="PX251" s="30"/>
      <c r="PY251" s="30"/>
      <c r="PZ251" s="30"/>
      <c r="QA251" s="30"/>
      <c r="QB251" s="30"/>
      <c r="QC251" s="30"/>
      <c r="QD251" s="30"/>
      <c r="QE251" s="30"/>
      <c r="QF251" s="30"/>
      <c r="QG251" s="30"/>
      <c r="QH251" s="30"/>
      <c r="QI251" s="30"/>
      <c r="QJ251" s="30"/>
      <c r="QK251" s="30"/>
      <c r="QL251" s="30"/>
      <c r="QM251" s="30"/>
      <c r="QN251" s="30"/>
      <c r="QO251" s="30"/>
      <c r="QP251" s="30"/>
      <c r="QQ251" s="30"/>
      <c r="QR251" s="30"/>
      <c r="QS251" s="30"/>
      <c r="QT251" s="30"/>
      <c r="QU251" s="30"/>
      <c r="QV251" s="30"/>
      <c r="QW251" s="30"/>
      <c r="QX251" s="30"/>
      <c r="QY251" s="30"/>
      <c r="QZ251" s="30"/>
      <c r="RA251" s="30"/>
      <c r="RB251" s="30"/>
      <c r="RC251" s="30"/>
      <c r="RD251" s="30"/>
      <c r="RE251" s="30"/>
      <c r="RF251" s="30"/>
      <c r="RG251" s="30"/>
      <c r="RH251" s="30"/>
      <c r="RI251" s="30"/>
      <c r="RJ251" s="30"/>
      <c r="RK251" s="30"/>
      <c r="RL251" s="30"/>
      <c r="RM251" s="30"/>
      <c r="RN251" s="30"/>
      <c r="RO251" s="30"/>
      <c r="RP251" s="30"/>
      <c r="RQ251" s="30"/>
      <c r="RR251" s="30"/>
      <c r="RS251" s="30"/>
      <c r="RT251" s="30"/>
      <c r="RU251" s="30"/>
      <c r="RV251" s="30"/>
      <c r="RW251" s="30"/>
      <c r="RX251" s="30"/>
      <c r="RY251" s="30"/>
      <c r="RZ251" s="30"/>
      <c r="SA251" s="30"/>
      <c r="SB251" s="30"/>
      <c r="SC251" s="30"/>
      <c r="SD251" s="30"/>
      <c r="SE251" s="30"/>
      <c r="SF251" s="30"/>
      <c r="SG251" s="30"/>
      <c r="SH251" s="30"/>
      <c r="SI251" s="30"/>
      <c r="SJ251" s="30"/>
      <c r="SK251" s="30"/>
      <c r="SL251" s="30"/>
      <c r="SM251" s="30"/>
      <c r="SN251" s="30"/>
      <c r="SO251" s="30"/>
      <c r="SP251" s="30"/>
      <c r="SQ251" s="30"/>
      <c r="SR251" s="30"/>
      <c r="SS251" s="30"/>
      <c r="ST251" s="30"/>
      <c r="SU251" s="30"/>
      <c r="SV251" s="30"/>
      <c r="SW251" s="30"/>
      <c r="SX251" s="30"/>
      <c r="SY251" s="30"/>
      <c r="SZ251" s="30"/>
      <c r="TA251" s="30"/>
      <c r="TB251" s="30"/>
      <c r="TC251" s="30"/>
      <c r="TD251" s="30"/>
      <c r="TE251" s="30"/>
      <c r="TF251" s="30"/>
      <c r="TG251" s="30"/>
    </row>
    <row r="252" spans="1:527" s="24" customFormat="1" ht="31.5" hidden="1" x14ac:dyDescent="0.25">
      <c r="A252" s="59" t="s">
        <v>429</v>
      </c>
      <c r="B252" s="93">
        <v>7530</v>
      </c>
      <c r="C252" s="59" t="s">
        <v>236</v>
      </c>
      <c r="D252" s="94" t="s">
        <v>234</v>
      </c>
      <c r="E252" s="99">
        <f t="shared" si="112"/>
        <v>0</v>
      </c>
      <c r="F252" s="99"/>
      <c r="G252" s="101"/>
      <c r="H252" s="101"/>
      <c r="I252" s="101"/>
      <c r="J252" s="99">
        <f t="shared" si="113"/>
        <v>0</v>
      </c>
      <c r="K252" s="99"/>
      <c r="L252" s="99"/>
      <c r="M252" s="99"/>
      <c r="N252" s="99"/>
      <c r="O252" s="99"/>
      <c r="P252" s="99">
        <f t="shared" si="114"/>
        <v>0</v>
      </c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  <c r="IW252" s="30"/>
      <c r="IX252" s="30"/>
      <c r="IY252" s="30"/>
      <c r="IZ252" s="30"/>
      <c r="JA252" s="30"/>
      <c r="JB252" s="30"/>
      <c r="JC252" s="30"/>
      <c r="JD252" s="30"/>
      <c r="JE252" s="30"/>
      <c r="JF252" s="30"/>
      <c r="JG252" s="30"/>
      <c r="JH252" s="30"/>
      <c r="JI252" s="30"/>
      <c r="JJ252" s="30"/>
      <c r="JK252" s="30"/>
      <c r="JL252" s="30"/>
      <c r="JM252" s="30"/>
      <c r="JN252" s="30"/>
      <c r="JO252" s="30"/>
      <c r="JP252" s="30"/>
      <c r="JQ252" s="30"/>
      <c r="JR252" s="30"/>
      <c r="JS252" s="30"/>
      <c r="JT252" s="30"/>
      <c r="JU252" s="30"/>
      <c r="JV252" s="30"/>
      <c r="JW252" s="30"/>
      <c r="JX252" s="30"/>
      <c r="JY252" s="30"/>
      <c r="JZ252" s="30"/>
      <c r="KA252" s="30"/>
      <c r="KB252" s="30"/>
      <c r="KC252" s="30"/>
      <c r="KD252" s="30"/>
      <c r="KE252" s="30"/>
      <c r="KF252" s="30"/>
      <c r="KG252" s="30"/>
      <c r="KH252" s="30"/>
      <c r="KI252" s="30"/>
      <c r="KJ252" s="30"/>
      <c r="KK252" s="30"/>
      <c r="KL252" s="30"/>
      <c r="KM252" s="30"/>
      <c r="KN252" s="30"/>
      <c r="KO252" s="30"/>
      <c r="KP252" s="30"/>
      <c r="KQ252" s="30"/>
      <c r="KR252" s="30"/>
      <c r="KS252" s="30"/>
      <c r="KT252" s="30"/>
      <c r="KU252" s="30"/>
      <c r="KV252" s="30"/>
      <c r="KW252" s="30"/>
      <c r="KX252" s="30"/>
      <c r="KY252" s="30"/>
      <c r="KZ252" s="30"/>
      <c r="LA252" s="30"/>
      <c r="LB252" s="30"/>
      <c r="LC252" s="30"/>
      <c r="LD252" s="30"/>
      <c r="LE252" s="30"/>
      <c r="LF252" s="30"/>
      <c r="LG252" s="30"/>
      <c r="LH252" s="30"/>
      <c r="LI252" s="30"/>
      <c r="LJ252" s="30"/>
      <c r="LK252" s="30"/>
      <c r="LL252" s="30"/>
      <c r="LM252" s="30"/>
      <c r="LN252" s="30"/>
      <c r="LO252" s="30"/>
      <c r="LP252" s="30"/>
      <c r="LQ252" s="30"/>
      <c r="LR252" s="30"/>
      <c r="LS252" s="30"/>
      <c r="LT252" s="30"/>
      <c r="LU252" s="30"/>
      <c r="LV252" s="30"/>
      <c r="LW252" s="30"/>
      <c r="LX252" s="30"/>
      <c r="LY252" s="30"/>
      <c r="LZ252" s="30"/>
      <c r="MA252" s="30"/>
      <c r="MB252" s="30"/>
      <c r="MC252" s="30"/>
      <c r="MD252" s="30"/>
      <c r="ME252" s="30"/>
      <c r="MF252" s="30"/>
      <c r="MG252" s="30"/>
      <c r="MH252" s="30"/>
      <c r="MI252" s="30"/>
      <c r="MJ252" s="30"/>
      <c r="MK252" s="30"/>
      <c r="ML252" s="30"/>
      <c r="MM252" s="30"/>
      <c r="MN252" s="30"/>
      <c r="MO252" s="30"/>
      <c r="MP252" s="30"/>
      <c r="MQ252" s="30"/>
      <c r="MR252" s="30"/>
      <c r="MS252" s="30"/>
      <c r="MT252" s="30"/>
      <c r="MU252" s="30"/>
      <c r="MV252" s="30"/>
      <c r="MW252" s="30"/>
      <c r="MX252" s="30"/>
      <c r="MY252" s="30"/>
      <c r="MZ252" s="30"/>
      <c r="NA252" s="30"/>
      <c r="NB252" s="30"/>
      <c r="NC252" s="30"/>
      <c r="ND252" s="30"/>
      <c r="NE252" s="30"/>
      <c r="NF252" s="30"/>
      <c r="NG252" s="30"/>
      <c r="NH252" s="30"/>
      <c r="NI252" s="30"/>
      <c r="NJ252" s="30"/>
      <c r="NK252" s="30"/>
      <c r="NL252" s="30"/>
      <c r="NM252" s="30"/>
      <c r="NN252" s="30"/>
      <c r="NO252" s="30"/>
      <c r="NP252" s="30"/>
      <c r="NQ252" s="30"/>
      <c r="NR252" s="30"/>
      <c r="NS252" s="30"/>
      <c r="NT252" s="30"/>
      <c r="NU252" s="30"/>
      <c r="NV252" s="30"/>
      <c r="NW252" s="30"/>
      <c r="NX252" s="30"/>
      <c r="NY252" s="30"/>
      <c r="NZ252" s="30"/>
      <c r="OA252" s="30"/>
      <c r="OB252" s="30"/>
      <c r="OC252" s="30"/>
      <c r="OD252" s="30"/>
      <c r="OE252" s="30"/>
      <c r="OF252" s="30"/>
      <c r="OG252" s="30"/>
      <c r="OH252" s="30"/>
      <c r="OI252" s="30"/>
      <c r="OJ252" s="30"/>
      <c r="OK252" s="30"/>
      <c r="OL252" s="30"/>
      <c r="OM252" s="30"/>
      <c r="ON252" s="30"/>
      <c r="OO252" s="30"/>
      <c r="OP252" s="30"/>
      <c r="OQ252" s="30"/>
      <c r="OR252" s="30"/>
      <c r="OS252" s="30"/>
      <c r="OT252" s="30"/>
      <c r="OU252" s="30"/>
      <c r="OV252" s="30"/>
      <c r="OW252" s="30"/>
      <c r="OX252" s="30"/>
      <c r="OY252" s="30"/>
      <c r="OZ252" s="30"/>
      <c r="PA252" s="30"/>
      <c r="PB252" s="30"/>
      <c r="PC252" s="30"/>
      <c r="PD252" s="30"/>
      <c r="PE252" s="30"/>
      <c r="PF252" s="30"/>
      <c r="PG252" s="30"/>
      <c r="PH252" s="30"/>
      <c r="PI252" s="30"/>
      <c r="PJ252" s="30"/>
      <c r="PK252" s="30"/>
      <c r="PL252" s="30"/>
      <c r="PM252" s="30"/>
      <c r="PN252" s="30"/>
      <c r="PO252" s="30"/>
      <c r="PP252" s="30"/>
      <c r="PQ252" s="30"/>
      <c r="PR252" s="30"/>
      <c r="PS252" s="30"/>
      <c r="PT252" s="30"/>
      <c r="PU252" s="30"/>
      <c r="PV252" s="30"/>
      <c r="PW252" s="30"/>
      <c r="PX252" s="30"/>
      <c r="PY252" s="30"/>
      <c r="PZ252" s="30"/>
      <c r="QA252" s="30"/>
      <c r="QB252" s="30"/>
      <c r="QC252" s="30"/>
      <c r="QD252" s="30"/>
      <c r="QE252" s="30"/>
      <c r="QF252" s="30"/>
      <c r="QG252" s="30"/>
      <c r="QH252" s="30"/>
      <c r="QI252" s="30"/>
      <c r="QJ252" s="30"/>
      <c r="QK252" s="30"/>
      <c r="QL252" s="30"/>
      <c r="QM252" s="30"/>
      <c r="QN252" s="30"/>
      <c r="QO252" s="30"/>
      <c r="QP252" s="30"/>
      <c r="QQ252" s="30"/>
      <c r="QR252" s="30"/>
      <c r="QS252" s="30"/>
      <c r="QT252" s="30"/>
      <c r="QU252" s="30"/>
      <c r="QV252" s="30"/>
      <c r="QW252" s="30"/>
      <c r="QX252" s="30"/>
      <c r="QY252" s="30"/>
      <c r="QZ252" s="30"/>
      <c r="RA252" s="30"/>
      <c r="RB252" s="30"/>
      <c r="RC252" s="30"/>
      <c r="RD252" s="30"/>
      <c r="RE252" s="30"/>
      <c r="RF252" s="30"/>
      <c r="RG252" s="30"/>
      <c r="RH252" s="30"/>
      <c r="RI252" s="30"/>
      <c r="RJ252" s="30"/>
      <c r="RK252" s="30"/>
      <c r="RL252" s="30"/>
      <c r="RM252" s="30"/>
      <c r="RN252" s="30"/>
      <c r="RO252" s="30"/>
      <c r="RP252" s="30"/>
      <c r="RQ252" s="30"/>
      <c r="RR252" s="30"/>
      <c r="RS252" s="30"/>
      <c r="RT252" s="30"/>
      <c r="RU252" s="30"/>
      <c r="RV252" s="30"/>
      <c r="RW252" s="30"/>
      <c r="RX252" s="30"/>
      <c r="RY252" s="30"/>
      <c r="RZ252" s="30"/>
      <c r="SA252" s="30"/>
      <c r="SB252" s="30"/>
      <c r="SC252" s="30"/>
      <c r="SD252" s="30"/>
      <c r="SE252" s="30"/>
      <c r="SF252" s="30"/>
      <c r="SG252" s="30"/>
      <c r="SH252" s="30"/>
      <c r="SI252" s="30"/>
      <c r="SJ252" s="30"/>
      <c r="SK252" s="30"/>
      <c r="SL252" s="30"/>
      <c r="SM252" s="30"/>
      <c r="SN252" s="30"/>
      <c r="SO252" s="30"/>
      <c r="SP252" s="30"/>
      <c r="SQ252" s="30"/>
      <c r="SR252" s="30"/>
      <c r="SS252" s="30"/>
      <c r="ST252" s="30"/>
      <c r="SU252" s="30"/>
      <c r="SV252" s="30"/>
      <c r="SW252" s="30"/>
      <c r="SX252" s="30"/>
      <c r="SY252" s="30"/>
      <c r="SZ252" s="30"/>
      <c r="TA252" s="30"/>
      <c r="TB252" s="30"/>
      <c r="TC252" s="30"/>
      <c r="TD252" s="30"/>
      <c r="TE252" s="30"/>
      <c r="TF252" s="30"/>
      <c r="TG252" s="30"/>
    </row>
    <row r="253" spans="1:527" s="22" customFormat="1" ht="20.25" customHeight="1" x14ac:dyDescent="0.25">
      <c r="A253" s="59" t="s">
        <v>202</v>
      </c>
      <c r="B253" s="93" t="str">
        <f>'дод 8'!A215</f>
        <v>7640</v>
      </c>
      <c r="C253" s="59" t="str">
        <f>'дод 8'!B215</f>
        <v>0470</v>
      </c>
      <c r="D253" s="60" t="s">
        <v>422</v>
      </c>
      <c r="E253" s="99">
        <f t="shared" si="106"/>
        <v>2700000</v>
      </c>
      <c r="F253" s="99">
        <v>700000</v>
      </c>
      <c r="G253" s="99"/>
      <c r="H253" s="99"/>
      <c r="I253" s="99">
        <f>1500000+500000</f>
        <v>2000000</v>
      </c>
      <c r="J253" s="99">
        <f t="shared" si="108"/>
        <v>0</v>
      </c>
      <c r="K253" s="99"/>
      <c r="L253" s="99"/>
      <c r="M253" s="99"/>
      <c r="N253" s="99"/>
      <c r="O253" s="99"/>
      <c r="P253" s="99">
        <f t="shared" si="107"/>
        <v>2700000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</row>
    <row r="254" spans="1:527" s="22" customFormat="1" ht="30" customHeight="1" x14ac:dyDescent="0.25">
      <c r="A254" s="59" t="s">
        <v>331</v>
      </c>
      <c r="B254" s="93" t="str">
        <f>'дод 8'!A219</f>
        <v>7670</v>
      </c>
      <c r="C254" s="59" t="str">
        <f>'дод 8'!B219</f>
        <v>0490</v>
      </c>
      <c r="D254" s="60" t="str">
        <f>'дод 8'!C219</f>
        <v>Внески до статутного капіталу суб’єктів господарювання, у т. ч. за рахунок:</v>
      </c>
      <c r="E254" s="99">
        <f t="shared" si="106"/>
        <v>0</v>
      </c>
      <c r="F254" s="99"/>
      <c r="G254" s="99"/>
      <c r="H254" s="99"/>
      <c r="I254" s="99"/>
      <c r="J254" s="99">
        <f t="shared" si="108"/>
        <v>26790000</v>
      </c>
      <c r="K254" s="99">
        <f>46790000-20000000</f>
        <v>26790000</v>
      </c>
      <c r="L254" s="99"/>
      <c r="M254" s="99"/>
      <c r="N254" s="99"/>
      <c r="O254" s="99">
        <f>46790000-20000000</f>
        <v>26790000</v>
      </c>
      <c r="P254" s="99">
        <f t="shared" si="107"/>
        <v>26790000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</row>
    <row r="255" spans="1:527" s="24" customFormat="1" ht="18.75" customHeight="1" x14ac:dyDescent="0.25">
      <c r="A255" s="84"/>
      <c r="B255" s="111"/>
      <c r="C255" s="111"/>
      <c r="D255" s="85" t="s">
        <v>419</v>
      </c>
      <c r="E255" s="101">
        <f t="shared" si="106"/>
        <v>0</v>
      </c>
      <c r="F255" s="101"/>
      <c r="G255" s="101"/>
      <c r="H255" s="101"/>
      <c r="I255" s="101"/>
      <c r="J255" s="101">
        <f t="shared" si="108"/>
        <v>26250000</v>
      </c>
      <c r="K255" s="101">
        <v>26250000</v>
      </c>
      <c r="L255" s="101"/>
      <c r="M255" s="101"/>
      <c r="N255" s="101"/>
      <c r="O255" s="101">
        <v>26250000</v>
      </c>
      <c r="P255" s="101">
        <f t="shared" si="107"/>
        <v>26250000</v>
      </c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  <c r="SQ255" s="30"/>
      <c r="SR255" s="30"/>
      <c r="SS255" s="30"/>
      <c r="ST255" s="30"/>
      <c r="SU255" s="30"/>
      <c r="SV255" s="30"/>
      <c r="SW255" s="30"/>
      <c r="SX255" s="30"/>
      <c r="SY255" s="30"/>
      <c r="SZ255" s="30"/>
      <c r="TA255" s="30"/>
      <c r="TB255" s="30"/>
      <c r="TC255" s="30"/>
      <c r="TD255" s="30"/>
      <c r="TE255" s="30"/>
      <c r="TF255" s="30"/>
      <c r="TG255" s="30"/>
    </row>
    <row r="256" spans="1:527" s="22" customFormat="1" ht="126" x14ac:dyDescent="0.25">
      <c r="A256" s="103" t="s">
        <v>300</v>
      </c>
      <c r="B256" s="42">
        <v>7691</v>
      </c>
      <c r="C256" s="42" t="s">
        <v>82</v>
      </c>
      <c r="D256" s="36" t="str">
        <f>'дод 8'!C222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56" s="99">
        <f t="shared" si="106"/>
        <v>0</v>
      </c>
      <c r="F256" s="99"/>
      <c r="G256" s="99"/>
      <c r="H256" s="99"/>
      <c r="I256" s="99"/>
      <c r="J256" s="99">
        <f t="shared" si="108"/>
        <v>2205686.5699999998</v>
      </c>
      <c r="K256" s="99"/>
      <c r="L256" s="99">
        <f>169598+128488.57</f>
        <v>298086.57</v>
      </c>
      <c r="M256" s="99"/>
      <c r="N256" s="99"/>
      <c r="O256" s="99">
        <f>1900000+7600</f>
        <v>1907600</v>
      </c>
      <c r="P256" s="99">
        <f t="shared" si="107"/>
        <v>2205686.5699999998</v>
      </c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</row>
    <row r="257" spans="1:527" s="22" customFormat="1" ht="31.5" x14ac:dyDescent="0.25">
      <c r="A257" s="103" t="s">
        <v>380</v>
      </c>
      <c r="B257" s="42" t="str">
        <f>'дод 8'!A230</f>
        <v>8110</v>
      </c>
      <c r="C257" s="42" t="str">
        <f>'дод 8'!B230</f>
        <v>0320</v>
      </c>
      <c r="D257" s="104" t="str">
        <f>'дод 8'!C230</f>
        <v>Заходи із запобігання та ліквідації надзвичайних ситуацій та наслідків стихійного лиха</v>
      </c>
      <c r="E257" s="99">
        <f t="shared" ref="E257" si="115">F257+I257</f>
        <v>677493.87</v>
      </c>
      <c r="F257" s="99">
        <v>677493.87</v>
      </c>
      <c r="G257" s="99"/>
      <c r="H257" s="99"/>
      <c r="I257" s="99"/>
      <c r="J257" s="99">
        <f t="shared" ref="J257" si="116">L257+O257</f>
        <v>0</v>
      </c>
      <c r="K257" s="99"/>
      <c r="L257" s="99"/>
      <c r="M257" s="99"/>
      <c r="N257" s="99"/>
      <c r="O257" s="99"/>
      <c r="P257" s="99">
        <f t="shared" ref="P257" si="117">E257+J257</f>
        <v>677493.87</v>
      </c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</row>
    <row r="258" spans="1:527" s="22" customFormat="1" ht="15.75" hidden="1" customHeight="1" x14ac:dyDescent="0.25">
      <c r="A258" s="103" t="s">
        <v>379</v>
      </c>
      <c r="B258" s="42" t="str">
        <f>'дод 8'!A234</f>
        <v>8230</v>
      </c>
      <c r="C258" s="42" t="str">
        <f>'дод 8'!B234</f>
        <v>0380</v>
      </c>
      <c r="D258" s="104" t="str">
        <f>'дод 8'!C234</f>
        <v>Інші заходи громадського порядку та безпеки</v>
      </c>
      <c r="E258" s="99">
        <f t="shared" ref="E258" si="118">F258+I258</f>
        <v>0</v>
      </c>
      <c r="F258" s="99"/>
      <c r="G258" s="99"/>
      <c r="H258" s="99"/>
      <c r="I258" s="99"/>
      <c r="J258" s="99">
        <f t="shared" ref="J258" si="119">L258+O258</f>
        <v>0</v>
      </c>
      <c r="K258" s="99"/>
      <c r="L258" s="99"/>
      <c r="M258" s="99"/>
      <c r="N258" s="99"/>
      <c r="O258" s="99"/>
      <c r="P258" s="99">
        <f t="shared" ref="P258" si="120">E258+J258</f>
        <v>0</v>
      </c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</row>
    <row r="259" spans="1:527" s="22" customFormat="1" ht="35.25" customHeight="1" x14ac:dyDescent="0.25">
      <c r="A259" s="59" t="s">
        <v>203</v>
      </c>
      <c r="B259" s="93" t="str">
        <f>'дод 8'!A237</f>
        <v>8340</v>
      </c>
      <c r="C259" s="93" t="str">
        <f>'дод 8'!B237</f>
        <v>0540</v>
      </c>
      <c r="D259" s="60" t="str">
        <f>'дод 8'!C237</f>
        <v>Природоохоронні заходи за рахунок цільових фондів</v>
      </c>
      <c r="E259" s="99">
        <f t="shared" si="106"/>
        <v>0</v>
      </c>
      <c r="F259" s="99"/>
      <c r="G259" s="99"/>
      <c r="H259" s="99"/>
      <c r="I259" s="99"/>
      <c r="J259" s="99">
        <f t="shared" si="108"/>
        <v>2949600</v>
      </c>
      <c r="K259" s="99"/>
      <c r="L259" s="99">
        <f>1442000+186000+21600</f>
        <v>1649600</v>
      </c>
      <c r="M259" s="99"/>
      <c r="N259" s="99"/>
      <c r="O259" s="99">
        <v>1300000</v>
      </c>
      <c r="P259" s="99">
        <f t="shared" si="107"/>
        <v>2949600</v>
      </c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</row>
    <row r="260" spans="1:527" s="22" customFormat="1" ht="78.75" x14ac:dyDescent="0.25">
      <c r="A260" s="59" t="s">
        <v>574</v>
      </c>
      <c r="B260" s="93">
        <v>9730</v>
      </c>
      <c r="C260" s="59" t="s">
        <v>45</v>
      </c>
      <c r="D260" s="60" t="s">
        <v>575</v>
      </c>
      <c r="E260" s="99">
        <f t="shared" si="106"/>
        <v>25000000</v>
      </c>
      <c r="F260" s="99">
        <v>25000000</v>
      </c>
      <c r="G260" s="99"/>
      <c r="H260" s="99"/>
      <c r="I260" s="99"/>
      <c r="J260" s="99">
        <f t="shared" si="108"/>
        <v>0</v>
      </c>
      <c r="K260" s="99"/>
      <c r="L260" s="99"/>
      <c r="M260" s="99"/>
      <c r="N260" s="99"/>
      <c r="O260" s="99"/>
      <c r="P260" s="99">
        <f t="shared" si="107"/>
        <v>25000000</v>
      </c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</row>
    <row r="261" spans="1:527" s="22" customFormat="1" ht="20.25" customHeight="1" x14ac:dyDescent="0.25">
      <c r="A261" s="59" t="s">
        <v>204</v>
      </c>
      <c r="B261" s="93" t="str">
        <f>'дод 8'!A253</f>
        <v>9770</v>
      </c>
      <c r="C261" s="93" t="str">
        <f>'дод 8'!B253</f>
        <v>0180</v>
      </c>
      <c r="D261" s="60" t="str">
        <f>'дод 8'!C253</f>
        <v>Інші субвенції з місцевого бюджету</v>
      </c>
      <c r="E261" s="99">
        <f t="shared" si="106"/>
        <v>8550000</v>
      </c>
      <c r="F261" s="99">
        <f>4000000+4550000</f>
        <v>8550000</v>
      </c>
      <c r="G261" s="99"/>
      <c r="H261" s="99"/>
      <c r="I261" s="99"/>
      <c r="J261" s="99">
        <f t="shared" si="108"/>
        <v>6450000</v>
      </c>
      <c r="K261" s="99">
        <f>7000000-4000000+3450000</f>
        <v>6450000</v>
      </c>
      <c r="L261" s="99"/>
      <c r="M261" s="99"/>
      <c r="N261" s="99"/>
      <c r="O261" s="99">
        <f>7000000-4000000+3450000</f>
        <v>6450000</v>
      </c>
      <c r="P261" s="99">
        <f t="shared" si="107"/>
        <v>15000000</v>
      </c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  <c r="TF261" s="23"/>
      <c r="TG261" s="23"/>
    </row>
    <row r="262" spans="1:527" s="27" customFormat="1" ht="33.75" customHeight="1" x14ac:dyDescent="0.25">
      <c r="A262" s="110" t="s">
        <v>27</v>
      </c>
      <c r="B262" s="112"/>
      <c r="C262" s="112"/>
      <c r="D262" s="107" t="s">
        <v>34</v>
      </c>
      <c r="E262" s="95">
        <f>E263</f>
        <v>6523839</v>
      </c>
      <c r="F262" s="95">
        <f t="shared" ref="F262:J263" si="121">F263</f>
        <v>6523839</v>
      </c>
      <c r="G262" s="95">
        <f t="shared" si="121"/>
        <v>5110800</v>
      </c>
      <c r="H262" s="95">
        <f t="shared" si="121"/>
        <v>102319</v>
      </c>
      <c r="I262" s="95">
        <f t="shared" si="121"/>
        <v>0</v>
      </c>
      <c r="J262" s="95">
        <f t="shared" si="121"/>
        <v>0</v>
      </c>
      <c r="K262" s="95">
        <f t="shared" ref="K262:K263" si="122">K263</f>
        <v>0</v>
      </c>
      <c r="L262" s="95">
        <f t="shared" ref="L262:L263" si="123">L263</f>
        <v>0</v>
      </c>
      <c r="M262" s="95">
        <f t="shared" ref="M262:M263" si="124">M263</f>
        <v>0</v>
      </c>
      <c r="N262" s="95">
        <f t="shared" ref="N262:N263" si="125">N263</f>
        <v>0</v>
      </c>
      <c r="O262" s="95">
        <f t="shared" ref="O262:P263" si="126">O263</f>
        <v>0</v>
      </c>
      <c r="P262" s="95">
        <f t="shared" si="126"/>
        <v>6523839</v>
      </c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  <c r="EH262" s="32"/>
      <c r="EI262" s="32"/>
      <c r="EJ262" s="32"/>
      <c r="EK262" s="32"/>
      <c r="EL262" s="32"/>
      <c r="EM262" s="32"/>
      <c r="EN262" s="32"/>
      <c r="EO262" s="32"/>
      <c r="EP262" s="32"/>
      <c r="EQ262" s="32"/>
      <c r="ER262" s="32"/>
      <c r="ES262" s="32"/>
      <c r="ET262" s="32"/>
      <c r="EU262" s="32"/>
      <c r="EV262" s="32"/>
      <c r="EW262" s="32"/>
      <c r="EX262" s="32"/>
      <c r="EY262" s="32"/>
      <c r="EZ262" s="32"/>
      <c r="FA262" s="32"/>
      <c r="FB262" s="32"/>
      <c r="FC262" s="32"/>
      <c r="FD262" s="32"/>
      <c r="FE262" s="32"/>
      <c r="FF262" s="32"/>
      <c r="FG262" s="32"/>
      <c r="FH262" s="32"/>
      <c r="FI262" s="32"/>
      <c r="FJ262" s="32"/>
      <c r="FK262" s="32"/>
      <c r="FL262" s="32"/>
      <c r="FM262" s="32"/>
      <c r="FN262" s="32"/>
      <c r="FO262" s="32"/>
      <c r="FP262" s="32"/>
      <c r="FQ262" s="32"/>
      <c r="FR262" s="32"/>
      <c r="FS262" s="32"/>
      <c r="FT262" s="32"/>
      <c r="FU262" s="32"/>
      <c r="FV262" s="32"/>
      <c r="FW262" s="32"/>
      <c r="FX262" s="32"/>
      <c r="FY262" s="32"/>
      <c r="FZ262" s="32"/>
      <c r="GA262" s="32"/>
      <c r="GB262" s="32"/>
      <c r="GC262" s="32"/>
      <c r="GD262" s="32"/>
      <c r="GE262" s="32"/>
      <c r="GF262" s="32"/>
      <c r="GG262" s="32"/>
      <c r="GH262" s="32"/>
      <c r="GI262" s="32"/>
      <c r="GJ262" s="32"/>
      <c r="GK262" s="32"/>
      <c r="GL262" s="32"/>
      <c r="GM262" s="32"/>
      <c r="GN262" s="32"/>
      <c r="GO262" s="32"/>
      <c r="GP262" s="32"/>
      <c r="GQ262" s="32"/>
      <c r="GR262" s="32"/>
      <c r="GS262" s="32"/>
      <c r="GT262" s="32"/>
      <c r="GU262" s="32"/>
      <c r="GV262" s="32"/>
      <c r="GW262" s="32"/>
      <c r="GX262" s="32"/>
      <c r="GY262" s="32"/>
      <c r="GZ262" s="32"/>
      <c r="HA262" s="32"/>
      <c r="HB262" s="32"/>
      <c r="HC262" s="32"/>
      <c r="HD262" s="32"/>
      <c r="HE262" s="32"/>
      <c r="HF262" s="32"/>
      <c r="HG262" s="32"/>
      <c r="HH262" s="32"/>
      <c r="HI262" s="32"/>
      <c r="HJ262" s="32"/>
      <c r="HK262" s="32"/>
      <c r="HL262" s="32"/>
      <c r="HM262" s="32"/>
      <c r="HN262" s="32"/>
      <c r="HO262" s="32"/>
      <c r="HP262" s="32"/>
      <c r="HQ262" s="32"/>
      <c r="HR262" s="32"/>
      <c r="HS262" s="32"/>
      <c r="HT262" s="32"/>
      <c r="HU262" s="32"/>
      <c r="HV262" s="32"/>
      <c r="HW262" s="32"/>
      <c r="HX262" s="32"/>
      <c r="HY262" s="32"/>
      <c r="HZ262" s="32"/>
      <c r="IA262" s="32"/>
      <c r="IB262" s="32"/>
      <c r="IC262" s="32"/>
      <c r="ID262" s="32"/>
      <c r="IE262" s="32"/>
      <c r="IF262" s="32"/>
      <c r="IG262" s="32"/>
      <c r="IH262" s="32"/>
      <c r="II262" s="32"/>
      <c r="IJ262" s="32"/>
      <c r="IK262" s="32"/>
      <c r="IL262" s="32"/>
      <c r="IM262" s="32"/>
      <c r="IN262" s="32"/>
      <c r="IO262" s="32"/>
      <c r="IP262" s="32"/>
      <c r="IQ262" s="32"/>
      <c r="IR262" s="32"/>
      <c r="IS262" s="32"/>
      <c r="IT262" s="32"/>
      <c r="IU262" s="32"/>
      <c r="IV262" s="32"/>
      <c r="IW262" s="32"/>
      <c r="IX262" s="32"/>
      <c r="IY262" s="32"/>
      <c r="IZ262" s="32"/>
      <c r="JA262" s="32"/>
      <c r="JB262" s="32"/>
      <c r="JC262" s="32"/>
      <c r="JD262" s="32"/>
      <c r="JE262" s="32"/>
      <c r="JF262" s="32"/>
      <c r="JG262" s="32"/>
      <c r="JH262" s="32"/>
      <c r="JI262" s="32"/>
      <c r="JJ262" s="32"/>
      <c r="JK262" s="32"/>
      <c r="JL262" s="32"/>
      <c r="JM262" s="32"/>
      <c r="JN262" s="32"/>
      <c r="JO262" s="32"/>
      <c r="JP262" s="32"/>
      <c r="JQ262" s="32"/>
      <c r="JR262" s="32"/>
      <c r="JS262" s="32"/>
      <c r="JT262" s="32"/>
      <c r="JU262" s="32"/>
      <c r="JV262" s="32"/>
      <c r="JW262" s="32"/>
      <c r="JX262" s="32"/>
      <c r="JY262" s="32"/>
      <c r="JZ262" s="32"/>
      <c r="KA262" s="32"/>
      <c r="KB262" s="32"/>
      <c r="KC262" s="32"/>
      <c r="KD262" s="32"/>
      <c r="KE262" s="32"/>
      <c r="KF262" s="32"/>
      <c r="KG262" s="32"/>
      <c r="KH262" s="32"/>
      <c r="KI262" s="32"/>
      <c r="KJ262" s="32"/>
      <c r="KK262" s="32"/>
      <c r="KL262" s="32"/>
      <c r="KM262" s="32"/>
      <c r="KN262" s="32"/>
      <c r="KO262" s="32"/>
      <c r="KP262" s="32"/>
      <c r="KQ262" s="32"/>
      <c r="KR262" s="32"/>
      <c r="KS262" s="32"/>
      <c r="KT262" s="32"/>
      <c r="KU262" s="32"/>
      <c r="KV262" s="32"/>
      <c r="KW262" s="32"/>
      <c r="KX262" s="32"/>
      <c r="KY262" s="32"/>
      <c r="KZ262" s="32"/>
      <c r="LA262" s="32"/>
      <c r="LB262" s="32"/>
      <c r="LC262" s="32"/>
      <c r="LD262" s="32"/>
      <c r="LE262" s="32"/>
      <c r="LF262" s="32"/>
      <c r="LG262" s="32"/>
      <c r="LH262" s="32"/>
      <c r="LI262" s="32"/>
      <c r="LJ262" s="32"/>
      <c r="LK262" s="32"/>
      <c r="LL262" s="32"/>
      <c r="LM262" s="32"/>
      <c r="LN262" s="32"/>
      <c r="LO262" s="32"/>
      <c r="LP262" s="32"/>
      <c r="LQ262" s="32"/>
      <c r="LR262" s="32"/>
      <c r="LS262" s="32"/>
      <c r="LT262" s="32"/>
      <c r="LU262" s="32"/>
      <c r="LV262" s="32"/>
      <c r="LW262" s="32"/>
      <c r="LX262" s="32"/>
      <c r="LY262" s="32"/>
      <c r="LZ262" s="32"/>
      <c r="MA262" s="32"/>
      <c r="MB262" s="32"/>
      <c r="MC262" s="32"/>
      <c r="MD262" s="32"/>
      <c r="ME262" s="32"/>
      <c r="MF262" s="32"/>
      <c r="MG262" s="32"/>
      <c r="MH262" s="32"/>
      <c r="MI262" s="32"/>
      <c r="MJ262" s="32"/>
      <c r="MK262" s="32"/>
      <c r="ML262" s="32"/>
      <c r="MM262" s="32"/>
      <c r="MN262" s="32"/>
      <c r="MO262" s="32"/>
      <c r="MP262" s="32"/>
      <c r="MQ262" s="32"/>
      <c r="MR262" s="32"/>
      <c r="MS262" s="32"/>
      <c r="MT262" s="32"/>
      <c r="MU262" s="32"/>
      <c r="MV262" s="32"/>
      <c r="MW262" s="32"/>
      <c r="MX262" s="32"/>
      <c r="MY262" s="32"/>
      <c r="MZ262" s="32"/>
      <c r="NA262" s="32"/>
      <c r="NB262" s="32"/>
      <c r="NC262" s="32"/>
      <c r="ND262" s="32"/>
      <c r="NE262" s="32"/>
      <c r="NF262" s="32"/>
      <c r="NG262" s="32"/>
      <c r="NH262" s="32"/>
      <c r="NI262" s="32"/>
      <c r="NJ262" s="32"/>
      <c r="NK262" s="32"/>
      <c r="NL262" s="32"/>
      <c r="NM262" s="32"/>
      <c r="NN262" s="32"/>
      <c r="NO262" s="32"/>
      <c r="NP262" s="32"/>
      <c r="NQ262" s="32"/>
      <c r="NR262" s="32"/>
      <c r="NS262" s="32"/>
      <c r="NT262" s="32"/>
      <c r="NU262" s="32"/>
      <c r="NV262" s="32"/>
      <c r="NW262" s="32"/>
      <c r="NX262" s="32"/>
      <c r="NY262" s="32"/>
      <c r="NZ262" s="32"/>
      <c r="OA262" s="32"/>
      <c r="OB262" s="32"/>
      <c r="OC262" s="32"/>
      <c r="OD262" s="32"/>
      <c r="OE262" s="32"/>
      <c r="OF262" s="32"/>
      <c r="OG262" s="32"/>
      <c r="OH262" s="32"/>
      <c r="OI262" s="32"/>
      <c r="OJ262" s="32"/>
      <c r="OK262" s="32"/>
      <c r="OL262" s="32"/>
      <c r="OM262" s="32"/>
      <c r="ON262" s="32"/>
      <c r="OO262" s="32"/>
      <c r="OP262" s="32"/>
      <c r="OQ262" s="32"/>
      <c r="OR262" s="32"/>
      <c r="OS262" s="32"/>
      <c r="OT262" s="32"/>
      <c r="OU262" s="32"/>
      <c r="OV262" s="32"/>
      <c r="OW262" s="32"/>
      <c r="OX262" s="32"/>
      <c r="OY262" s="32"/>
      <c r="OZ262" s="32"/>
      <c r="PA262" s="32"/>
      <c r="PB262" s="32"/>
      <c r="PC262" s="32"/>
      <c r="PD262" s="32"/>
      <c r="PE262" s="32"/>
      <c r="PF262" s="32"/>
      <c r="PG262" s="32"/>
      <c r="PH262" s="32"/>
      <c r="PI262" s="32"/>
      <c r="PJ262" s="32"/>
      <c r="PK262" s="32"/>
      <c r="PL262" s="32"/>
      <c r="PM262" s="32"/>
      <c r="PN262" s="32"/>
      <c r="PO262" s="32"/>
      <c r="PP262" s="32"/>
      <c r="PQ262" s="32"/>
      <c r="PR262" s="32"/>
      <c r="PS262" s="32"/>
      <c r="PT262" s="32"/>
      <c r="PU262" s="32"/>
      <c r="PV262" s="32"/>
      <c r="PW262" s="32"/>
      <c r="PX262" s="32"/>
      <c r="PY262" s="32"/>
      <c r="PZ262" s="32"/>
      <c r="QA262" s="32"/>
      <c r="QB262" s="32"/>
      <c r="QC262" s="32"/>
      <c r="QD262" s="32"/>
      <c r="QE262" s="32"/>
      <c r="QF262" s="32"/>
      <c r="QG262" s="32"/>
      <c r="QH262" s="32"/>
      <c r="QI262" s="32"/>
      <c r="QJ262" s="32"/>
      <c r="QK262" s="32"/>
      <c r="QL262" s="32"/>
      <c r="QM262" s="32"/>
      <c r="QN262" s="32"/>
      <c r="QO262" s="32"/>
      <c r="QP262" s="32"/>
      <c r="QQ262" s="32"/>
      <c r="QR262" s="32"/>
      <c r="QS262" s="32"/>
      <c r="QT262" s="32"/>
      <c r="QU262" s="32"/>
      <c r="QV262" s="32"/>
      <c r="QW262" s="32"/>
      <c r="QX262" s="32"/>
      <c r="QY262" s="32"/>
      <c r="QZ262" s="32"/>
      <c r="RA262" s="32"/>
      <c r="RB262" s="32"/>
      <c r="RC262" s="32"/>
      <c r="RD262" s="32"/>
      <c r="RE262" s="32"/>
      <c r="RF262" s="32"/>
      <c r="RG262" s="32"/>
      <c r="RH262" s="32"/>
      <c r="RI262" s="32"/>
      <c r="RJ262" s="32"/>
      <c r="RK262" s="32"/>
      <c r="RL262" s="32"/>
      <c r="RM262" s="32"/>
      <c r="RN262" s="32"/>
      <c r="RO262" s="32"/>
      <c r="RP262" s="32"/>
      <c r="RQ262" s="32"/>
      <c r="RR262" s="32"/>
      <c r="RS262" s="32"/>
      <c r="RT262" s="32"/>
      <c r="RU262" s="32"/>
      <c r="RV262" s="32"/>
      <c r="RW262" s="32"/>
      <c r="RX262" s="32"/>
      <c r="RY262" s="32"/>
      <c r="RZ262" s="32"/>
      <c r="SA262" s="32"/>
      <c r="SB262" s="32"/>
      <c r="SC262" s="32"/>
      <c r="SD262" s="32"/>
      <c r="SE262" s="32"/>
      <c r="SF262" s="32"/>
      <c r="SG262" s="32"/>
      <c r="SH262" s="32"/>
      <c r="SI262" s="32"/>
      <c r="SJ262" s="32"/>
      <c r="SK262" s="32"/>
      <c r="SL262" s="32"/>
      <c r="SM262" s="32"/>
      <c r="SN262" s="32"/>
      <c r="SO262" s="32"/>
      <c r="SP262" s="32"/>
      <c r="SQ262" s="32"/>
      <c r="SR262" s="32"/>
      <c r="SS262" s="32"/>
      <c r="ST262" s="32"/>
      <c r="SU262" s="32"/>
      <c r="SV262" s="32"/>
      <c r="SW262" s="32"/>
      <c r="SX262" s="32"/>
      <c r="SY262" s="32"/>
      <c r="SZ262" s="32"/>
      <c r="TA262" s="32"/>
      <c r="TB262" s="32"/>
      <c r="TC262" s="32"/>
      <c r="TD262" s="32"/>
      <c r="TE262" s="32"/>
      <c r="TF262" s="32"/>
      <c r="TG262" s="32"/>
    </row>
    <row r="263" spans="1:527" s="34" customFormat="1" ht="36.75" customHeight="1" x14ac:dyDescent="0.25">
      <c r="A263" s="96" t="s">
        <v>118</v>
      </c>
      <c r="B263" s="109"/>
      <c r="C263" s="109"/>
      <c r="D263" s="77" t="s">
        <v>34</v>
      </c>
      <c r="E263" s="98">
        <f>E264</f>
        <v>6523839</v>
      </c>
      <c r="F263" s="98">
        <f t="shared" si="121"/>
        <v>6523839</v>
      </c>
      <c r="G263" s="98">
        <f t="shared" si="121"/>
        <v>5110800</v>
      </c>
      <c r="H263" s="98">
        <f t="shared" si="121"/>
        <v>102319</v>
      </c>
      <c r="I263" s="98">
        <f t="shared" si="121"/>
        <v>0</v>
      </c>
      <c r="J263" s="98">
        <f t="shared" si="121"/>
        <v>0</v>
      </c>
      <c r="K263" s="98">
        <f t="shared" si="122"/>
        <v>0</v>
      </c>
      <c r="L263" s="98">
        <f t="shared" si="123"/>
        <v>0</v>
      </c>
      <c r="M263" s="98">
        <f t="shared" si="124"/>
        <v>0</v>
      </c>
      <c r="N263" s="98">
        <f t="shared" si="125"/>
        <v>0</v>
      </c>
      <c r="O263" s="98">
        <f t="shared" si="126"/>
        <v>0</v>
      </c>
      <c r="P263" s="98">
        <f t="shared" si="126"/>
        <v>6523839</v>
      </c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  <c r="FT263" s="33"/>
      <c r="FU263" s="33"/>
      <c r="FV263" s="33"/>
      <c r="FW263" s="33"/>
      <c r="FX263" s="33"/>
      <c r="FY263" s="33"/>
      <c r="FZ263" s="33"/>
      <c r="GA263" s="33"/>
      <c r="GB263" s="33"/>
      <c r="GC263" s="33"/>
      <c r="GD263" s="33"/>
      <c r="GE263" s="33"/>
      <c r="GF263" s="33"/>
      <c r="GG263" s="33"/>
      <c r="GH263" s="33"/>
      <c r="GI263" s="33"/>
      <c r="GJ263" s="33"/>
      <c r="GK263" s="33"/>
      <c r="GL263" s="33"/>
      <c r="GM263" s="33"/>
      <c r="GN263" s="33"/>
      <c r="GO263" s="33"/>
      <c r="GP263" s="33"/>
      <c r="GQ263" s="33"/>
      <c r="GR263" s="33"/>
      <c r="GS263" s="33"/>
      <c r="GT263" s="33"/>
      <c r="GU263" s="33"/>
      <c r="GV263" s="33"/>
      <c r="GW263" s="33"/>
      <c r="GX263" s="33"/>
      <c r="GY263" s="33"/>
      <c r="GZ263" s="33"/>
      <c r="HA263" s="33"/>
      <c r="HB263" s="33"/>
      <c r="HC263" s="33"/>
      <c r="HD263" s="33"/>
      <c r="HE263" s="33"/>
      <c r="HF263" s="33"/>
      <c r="HG263" s="33"/>
      <c r="HH263" s="33"/>
      <c r="HI263" s="33"/>
      <c r="HJ263" s="33"/>
      <c r="HK263" s="33"/>
      <c r="HL263" s="33"/>
      <c r="HM263" s="33"/>
      <c r="HN263" s="33"/>
      <c r="HO263" s="33"/>
      <c r="HP263" s="33"/>
      <c r="HQ263" s="33"/>
      <c r="HR263" s="33"/>
      <c r="HS263" s="33"/>
      <c r="HT263" s="33"/>
      <c r="HU263" s="33"/>
      <c r="HV263" s="33"/>
      <c r="HW263" s="33"/>
      <c r="HX263" s="33"/>
      <c r="HY263" s="33"/>
      <c r="HZ263" s="33"/>
      <c r="IA263" s="33"/>
      <c r="IB263" s="33"/>
      <c r="IC263" s="33"/>
      <c r="ID263" s="33"/>
      <c r="IE263" s="33"/>
      <c r="IF263" s="33"/>
      <c r="IG263" s="33"/>
      <c r="IH263" s="33"/>
      <c r="II263" s="33"/>
      <c r="IJ263" s="33"/>
      <c r="IK263" s="33"/>
      <c r="IL263" s="33"/>
      <c r="IM263" s="33"/>
      <c r="IN263" s="33"/>
      <c r="IO263" s="33"/>
      <c r="IP263" s="33"/>
      <c r="IQ263" s="33"/>
      <c r="IR263" s="33"/>
      <c r="IS263" s="33"/>
      <c r="IT263" s="33"/>
      <c r="IU263" s="33"/>
      <c r="IV263" s="33"/>
      <c r="IW263" s="33"/>
      <c r="IX263" s="33"/>
      <c r="IY263" s="33"/>
      <c r="IZ263" s="33"/>
      <c r="JA263" s="33"/>
      <c r="JB263" s="33"/>
      <c r="JC263" s="33"/>
      <c r="JD263" s="33"/>
      <c r="JE263" s="33"/>
      <c r="JF263" s="33"/>
      <c r="JG263" s="33"/>
      <c r="JH263" s="33"/>
      <c r="JI263" s="33"/>
      <c r="JJ263" s="33"/>
      <c r="JK263" s="33"/>
      <c r="JL263" s="33"/>
      <c r="JM263" s="33"/>
      <c r="JN263" s="33"/>
      <c r="JO263" s="33"/>
      <c r="JP263" s="33"/>
      <c r="JQ263" s="33"/>
      <c r="JR263" s="33"/>
      <c r="JS263" s="33"/>
      <c r="JT263" s="33"/>
      <c r="JU263" s="33"/>
      <c r="JV263" s="33"/>
      <c r="JW263" s="33"/>
      <c r="JX263" s="33"/>
      <c r="JY263" s="33"/>
      <c r="JZ263" s="33"/>
      <c r="KA263" s="33"/>
      <c r="KB263" s="33"/>
      <c r="KC263" s="33"/>
      <c r="KD263" s="33"/>
      <c r="KE263" s="33"/>
      <c r="KF263" s="33"/>
      <c r="KG263" s="33"/>
      <c r="KH263" s="33"/>
      <c r="KI263" s="33"/>
      <c r="KJ263" s="33"/>
      <c r="KK263" s="33"/>
      <c r="KL263" s="33"/>
      <c r="KM263" s="33"/>
      <c r="KN263" s="33"/>
      <c r="KO263" s="33"/>
      <c r="KP263" s="33"/>
      <c r="KQ263" s="33"/>
      <c r="KR263" s="33"/>
      <c r="KS263" s="33"/>
      <c r="KT263" s="33"/>
      <c r="KU263" s="33"/>
      <c r="KV263" s="33"/>
      <c r="KW263" s="33"/>
      <c r="KX263" s="33"/>
      <c r="KY263" s="33"/>
      <c r="KZ263" s="33"/>
      <c r="LA263" s="33"/>
      <c r="LB263" s="33"/>
      <c r="LC263" s="33"/>
      <c r="LD263" s="33"/>
      <c r="LE263" s="33"/>
      <c r="LF263" s="33"/>
      <c r="LG263" s="33"/>
      <c r="LH263" s="33"/>
      <c r="LI263" s="33"/>
      <c r="LJ263" s="33"/>
      <c r="LK263" s="33"/>
      <c r="LL263" s="33"/>
      <c r="LM263" s="33"/>
      <c r="LN263" s="33"/>
      <c r="LO263" s="33"/>
      <c r="LP263" s="33"/>
      <c r="LQ263" s="33"/>
      <c r="LR263" s="33"/>
      <c r="LS263" s="33"/>
      <c r="LT263" s="33"/>
      <c r="LU263" s="33"/>
      <c r="LV263" s="33"/>
      <c r="LW263" s="33"/>
      <c r="LX263" s="33"/>
      <c r="LY263" s="33"/>
      <c r="LZ263" s="33"/>
      <c r="MA263" s="33"/>
      <c r="MB263" s="33"/>
      <c r="MC263" s="33"/>
      <c r="MD263" s="33"/>
      <c r="ME263" s="33"/>
      <c r="MF263" s="33"/>
      <c r="MG263" s="33"/>
      <c r="MH263" s="33"/>
      <c r="MI263" s="33"/>
      <c r="MJ263" s="33"/>
      <c r="MK263" s="33"/>
      <c r="ML263" s="33"/>
      <c r="MM263" s="33"/>
      <c r="MN263" s="33"/>
      <c r="MO263" s="33"/>
      <c r="MP263" s="33"/>
      <c r="MQ263" s="33"/>
      <c r="MR263" s="33"/>
      <c r="MS263" s="33"/>
      <c r="MT263" s="33"/>
      <c r="MU263" s="33"/>
      <c r="MV263" s="33"/>
      <c r="MW263" s="33"/>
      <c r="MX263" s="33"/>
      <c r="MY263" s="33"/>
      <c r="MZ263" s="33"/>
      <c r="NA263" s="33"/>
      <c r="NB263" s="33"/>
      <c r="NC263" s="33"/>
      <c r="ND263" s="33"/>
      <c r="NE263" s="33"/>
      <c r="NF263" s="33"/>
      <c r="NG263" s="33"/>
      <c r="NH263" s="33"/>
      <c r="NI263" s="33"/>
      <c r="NJ263" s="33"/>
      <c r="NK263" s="33"/>
      <c r="NL263" s="33"/>
      <c r="NM263" s="33"/>
      <c r="NN263" s="33"/>
      <c r="NO263" s="33"/>
      <c r="NP263" s="33"/>
      <c r="NQ263" s="33"/>
      <c r="NR263" s="33"/>
      <c r="NS263" s="33"/>
      <c r="NT263" s="33"/>
      <c r="NU263" s="33"/>
      <c r="NV263" s="33"/>
      <c r="NW263" s="33"/>
      <c r="NX263" s="33"/>
      <c r="NY263" s="33"/>
      <c r="NZ263" s="33"/>
      <c r="OA263" s="33"/>
      <c r="OB263" s="33"/>
      <c r="OC263" s="33"/>
      <c r="OD263" s="33"/>
      <c r="OE263" s="33"/>
      <c r="OF263" s="33"/>
      <c r="OG263" s="33"/>
      <c r="OH263" s="33"/>
      <c r="OI263" s="33"/>
      <c r="OJ263" s="33"/>
      <c r="OK263" s="33"/>
      <c r="OL263" s="33"/>
      <c r="OM263" s="33"/>
      <c r="ON263" s="33"/>
      <c r="OO263" s="33"/>
      <c r="OP263" s="33"/>
      <c r="OQ263" s="33"/>
      <c r="OR263" s="33"/>
      <c r="OS263" s="33"/>
      <c r="OT263" s="33"/>
      <c r="OU263" s="33"/>
      <c r="OV263" s="33"/>
      <c r="OW263" s="33"/>
      <c r="OX263" s="33"/>
      <c r="OY263" s="33"/>
      <c r="OZ263" s="33"/>
      <c r="PA263" s="33"/>
      <c r="PB263" s="33"/>
      <c r="PC263" s="33"/>
      <c r="PD263" s="33"/>
      <c r="PE263" s="33"/>
      <c r="PF263" s="33"/>
      <c r="PG263" s="33"/>
      <c r="PH263" s="33"/>
      <c r="PI263" s="33"/>
      <c r="PJ263" s="33"/>
      <c r="PK263" s="33"/>
      <c r="PL263" s="33"/>
      <c r="PM263" s="33"/>
      <c r="PN263" s="33"/>
      <c r="PO263" s="33"/>
      <c r="PP263" s="33"/>
      <c r="PQ263" s="33"/>
      <c r="PR263" s="33"/>
      <c r="PS263" s="33"/>
      <c r="PT263" s="33"/>
      <c r="PU263" s="33"/>
      <c r="PV263" s="33"/>
      <c r="PW263" s="33"/>
      <c r="PX263" s="33"/>
      <c r="PY263" s="33"/>
      <c r="PZ263" s="33"/>
      <c r="QA263" s="33"/>
      <c r="QB263" s="33"/>
      <c r="QC263" s="33"/>
      <c r="QD263" s="33"/>
      <c r="QE263" s="33"/>
      <c r="QF263" s="33"/>
      <c r="QG263" s="33"/>
      <c r="QH263" s="33"/>
      <c r="QI263" s="33"/>
      <c r="QJ263" s="33"/>
      <c r="QK263" s="33"/>
      <c r="QL263" s="33"/>
      <c r="QM263" s="33"/>
      <c r="QN263" s="33"/>
      <c r="QO263" s="33"/>
      <c r="QP263" s="33"/>
      <c r="QQ263" s="33"/>
      <c r="QR263" s="33"/>
      <c r="QS263" s="33"/>
      <c r="QT263" s="33"/>
      <c r="QU263" s="33"/>
      <c r="QV263" s="33"/>
      <c r="QW263" s="33"/>
      <c r="QX263" s="33"/>
      <c r="QY263" s="33"/>
      <c r="QZ263" s="33"/>
      <c r="RA263" s="33"/>
      <c r="RB263" s="33"/>
      <c r="RC263" s="33"/>
      <c r="RD263" s="33"/>
      <c r="RE263" s="33"/>
      <c r="RF263" s="33"/>
      <c r="RG263" s="33"/>
      <c r="RH263" s="33"/>
      <c r="RI263" s="33"/>
      <c r="RJ263" s="33"/>
      <c r="RK263" s="33"/>
      <c r="RL263" s="33"/>
      <c r="RM263" s="33"/>
      <c r="RN263" s="33"/>
      <c r="RO263" s="33"/>
      <c r="RP263" s="33"/>
      <c r="RQ263" s="33"/>
      <c r="RR263" s="33"/>
      <c r="RS263" s="33"/>
      <c r="RT263" s="33"/>
      <c r="RU263" s="33"/>
      <c r="RV263" s="33"/>
      <c r="RW263" s="33"/>
      <c r="RX263" s="33"/>
      <c r="RY263" s="33"/>
      <c r="RZ263" s="33"/>
      <c r="SA263" s="33"/>
      <c r="SB263" s="33"/>
      <c r="SC263" s="33"/>
      <c r="SD263" s="33"/>
      <c r="SE263" s="33"/>
      <c r="SF263" s="33"/>
      <c r="SG263" s="33"/>
      <c r="SH263" s="33"/>
      <c r="SI263" s="33"/>
      <c r="SJ263" s="33"/>
      <c r="SK263" s="33"/>
      <c r="SL263" s="33"/>
      <c r="SM263" s="33"/>
      <c r="SN263" s="33"/>
      <c r="SO263" s="33"/>
      <c r="SP263" s="33"/>
      <c r="SQ263" s="33"/>
      <c r="SR263" s="33"/>
      <c r="SS263" s="33"/>
      <c r="ST263" s="33"/>
      <c r="SU263" s="33"/>
      <c r="SV263" s="33"/>
      <c r="SW263" s="33"/>
      <c r="SX263" s="33"/>
      <c r="SY263" s="33"/>
      <c r="SZ263" s="33"/>
      <c r="TA263" s="33"/>
      <c r="TB263" s="33"/>
      <c r="TC263" s="33"/>
      <c r="TD263" s="33"/>
      <c r="TE263" s="33"/>
      <c r="TF263" s="33"/>
      <c r="TG263" s="33"/>
    </row>
    <row r="264" spans="1:527" s="22" customFormat="1" ht="47.25" x14ac:dyDescent="0.25">
      <c r="A264" s="59" t="s">
        <v>0</v>
      </c>
      <c r="B264" s="93" t="str">
        <f>'дод 8'!A19</f>
        <v>0160</v>
      </c>
      <c r="C264" s="93" t="str">
        <f>'дод 8'!B19</f>
        <v>0111</v>
      </c>
      <c r="D264" s="36" t="s">
        <v>494</v>
      </c>
      <c r="E264" s="99">
        <f>F264+I264</f>
        <v>6523839</v>
      </c>
      <c r="F264" s="99">
        <f>6378200+8000+26619+111020</f>
        <v>6523839</v>
      </c>
      <c r="G264" s="99">
        <f>5019800+91000</f>
        <v>5110800</v>
      </c>
      <c r="H264" s="99">
        <f>75700+26619</f>
        <v>102319</v>
      </c>
      <c r="I264" s="99"/>
      <c r="J264" s="99">
        <f>L264+O264</f>
        <v>0</v>
      </c>
      <c r="K264" s="99">
        <f>8000-8000</f>
        <v>0</v>
      </c>
      <c r="L264" s="99"/>
      <c r="M264" s="99"/>
      <c r="N264" s="99"/>
      <c r="O264" s="99">
        <f>8000-8000</f>
        <v>0</v>
      </c>
      <c r="P264" s="99">
        <f>E264+J264</f>
        <v>6523839</v>
      </c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</row>
    <row r="265" spans="1:527" s="27" customFormat="1" ht="52.5" customHeight="1" x14ac:dyDescent="0.25">
      <c r="A265" s="110" t="s">
        <v>28</v>
      </c>
      <c r="B265" s="112"/>
      <c r="C265" s="112"/>
      <c r="D265" s="107" t="s">
        <v>33</v>
      </c>
      <c r="E265" s="95">
        <f>E266</f>
        <v>3705719.1500000004</v>
      </c>
      <c r="F265" s="95">
        <f t="shared" ref="F265:J265" si="127">F266</f>
        <v>3705719.1500000004</v>
      </c>
      <c r="G265" s="95">
        <f t="shared" si="127"/>
        <v>2146200</v>
      </c>
      <c r="H265" s="95">
        <f t="shared" si="127"/>
        <v>0</v>
      </c>
      <c r="I265" s="95">
        <f t="shared" si="127"/>
        <v>0</v>
      </c>
      <c r="J265" s="95">
        <f t="shared" si="127"/>
        <v>281144912.5</v>
      </c>
      <c r="K265" s="95">
        <f t="shared" ref="K265" si="128">K266</f>
        <v>267699629.85000002</v>
      </c>
      <c r="L265" s="95">
        <f t="shared" ref="L265" si="129">L266</f>
        <v>1900000</v>
      </c>
      <c r="M265" s="95">
        <f t="shared" ref="M265" si="130">M266</f>
        <v>1332000</v>
      </c>
      <c r="N265" s="95">
        <f t="shared" ref="N265" si="131">N266</f>
        <v>71500</v>
      </c>
      <c r="O265" s="95">
        <f t="shared" ref="O265:P265" si="132">O266</f>
        <v>279244912.5</v>
      </c>
      <c r="P265" s="95">
        <f t="shared" si="132"/>
        <v>284850631.64999998</v>
      </c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  <c r="IP265" s="32"/>
      <c r="IQ265" s="32"/>
      <c r="IR265" s="32"/>
      <c r="IS265" s="32"/>
      <c r="IT265" s="32"/>
      <c r="IU265" s="32"/>
      <c r="IV265" s="32"/>
      <c r="IW265" s="32"/>
      <c r="IX265" s="32"/>
      <c r="IY265" s="32"/>
      <c r="IZ265" s="32"/>
      <c r="JA265" s="32"/>
      <c r="JB265" s="32"/>
      <c r="JC265" s="32"/>
      <c r="JD265" s="32"/>
      <c r="JE265" s="32"/>
      <c r="JF265" s="32"/>
      <c r="JG265" s="32"/>
      <c r="JH265" s="32"/>
      <c r="JI265" s="32"/>
      <c r="JJ265" s="32"/>
      <c r="JK265" s="32"/>
      <c r="JL265" s="32"/>
      <c r="JM265" s="32"/>
      <c r="JN265" s="32"/>
      <c r="JO265" s="32"/>
      <c r="JP265" s="32"/>
      <c r="JQ265" s="32"/>
      <c r="JR265" s="32"/>
      <c r="JS265" s="32"/>
      <c r="JT265" s="32"/>
      <c r="JU265" s="32"/>
      <c r="JV265" s="32"/>
      <c r="JW265" s="32"/>
      <c r="JX265" s="32"/>
      <c r="JY265" s="32"/>
      <c r="JZ265" s="32"/>
      <c r="KA265" s="32"/>
      <c r="KB265" s="32"/>
      <c r="KC265" s="32"/>
      <c r="KD265" s="32"/>
      <c r="KE265" s="32"/>
      <c r="KF265" s="32"/>
      <c r="KG265" s="32"/>
      <c r="KH265" s="32"/>
      <c r="KI265" s="32"/>
      <c r="KJ265" s="32"/>
      <c r="KK265" s="32"/>
      <c r="KL265" s="32"/>
      <c r="KM265" s="32"/>
      <c r="KN265" s="32"/>
      <c r="KO265" s="32"/>
      <c r="KP265" s="32"/>
      <c r="KQ265" s="32"/>
      <c r="KR265" s="32"/>
      <c r="KS265" s="32"/>
      <c r="KT265" s="32"/>
      <c r="KU265" s="32"/>
      <c r="KV265" s="32"/>
      <c r="KW265" s="32"/>
      <c r="KX265" s="32"/>
      <c r="KY265" s="32"/>
      <c r="KZ265" s="32"/>
      <c r="LA265" s="32"/>
      <c r="LB265" s="32"/>
      <c r="LC265" s="32"/>
      <c r="LD265" s="32"/>
      <c r="LE265" s="32"/>
      <c r="LF265" s="32"/>
      <c r="LG265" s="32"/>
      <c r="LH265" s="32"/>
      <c r="LI265" s="32"/>
      <c r="LJ265" s="32"/>
      <c r="LK265" s="32"/>
      <c r="LL265" s="32"/>
      <c r="LM265" s="32"/>
      <c r="LN265" s="32"/>
      <c r="LO265" s="32"/>
      <c r="LP265" s="32"/>
      <c r="LQ265" s="32"/>
      <c r="LR265" s="32"/>
      <c r="LS265" s="32"/>
      <c r="LT265" s="32"/>
      <c r="LU265" s="32"/>
      <c r="LV265" s="32"/>
      <c r="LW265" s="32"/>
      <c r="LX265" s="32"/>
      <c r="LY265" s="32"/>
      <c r="LZ265" s="32"/>
      <c r="MA265" s="32"/>
      <c r="MB265" s="32"/>
      <c r="MC265" s="32"/>
      <c r="MD265" s="32"/>
      <c r="ME265" s="32"/>
      <c r="MF265" s="32"/>
      <c r="MG265" s="32"/>
      <c r="MH265" s="32"/>
      <c r="MI265" s="32"/>
      <c r="MJ265" s="32"/>
      <c r="MK265" s="32"/>
      <c r="ML265" s="32"/>
      <c r="MM265" s="32"/>
      <c r="MN265" s="32"/>
      <c r="MO265" s="32"/>
      <c r="MP265" s="32"/>
      <c r="MQ265" s="32"/>
      <c r="MR265" s="32"/>
      <c r="MS265" s="32"/>
      <c r="MT265" s="32"/>
      <c r="MU265" s="32"/>
      <c r="MV265" s="32"/>
      <c r="MW265" s="32"/>
      <c r="MX265" s="32"/>
      <c r="MY265" s="32"/>
      <c r="MZ265" s="32"/>
      <c r="NA265" s="32"/>
      <c r="NB265" s="32"/>
      <c r="NC265" s="32"/>
      <c r="ND265" s="32"/>
      <c r="NE265" s="32"/>
      <c r="NF265" s="32"/>
      <c r="NG265" s="32"/>
      <c r="NH265" s="32"/>
      <c r="NI265" s="32"/>
      <c r="NJ265" s="32"/>
      <c r="NK265" s="32"/>
      <c r="NL265" s="32"/>
      <c r="NM265" s="32"/>
      <c r="NN265" s="32"/>
      <c r="NO265" s="32"/>
      <c r="NP265" s="32"/>
      <c r="NQ265" s="32"/>
      <c r="NR265" s="32"/>
      <c r="NS265" s="32"/>
      <c r="NT265" s="32"/>
      <c r="NU265" s="32"/>
      <c r="NV265" s="32"/>
      <c r="NW265" s="32"/>
      <c r="NX265" s="32"/>
      <c r="NY265" s="32"/>
      <c r="NZ265" s="32"/>
      <c r="OA265" s="32"/>
      <c r="OB265" s="32"/>
      <c r="OC265" s="32"/>
      <c r="OD265" s="32"/>
      <c r="OE265" s="32"/>
      <c r="OF265" s="32"/>
      <c r="OG265" s="32"/>
      <c r="OH265" s="32"/>
      <c r="OI265" s="32"/>
      <c r="OJ265" s="32"/>
      <c r="OK265" s="32"/>
      <c r="OL265" s="32"/>
      <c r="OM265" s="32"/>
      <c r="ON265" s="32"/>
      <c r="OO265" s="32"/>
      <c r="OP265" s="32"/>
      <c r="OQ265" s="32"/>
      <c r="OR265" s="32"/>
      <c r="OS265" s="32"/>
      <c r="OT265" s="32"/>
      <c r="OU265" s="32"/>
      <c r="OV265" s="32"/>
      <c r="OW265" s="32"/>
      <c r="OX265" s="32"/>
      <c r="OY265" s="32"/>
      <c r="OZ265" s="32"/>
      <c r="PA265" s="32"/>
      <c r="PB265" s="32"/>
      <c r="PC265" s="32"/>
      <c r="PD265" s="32"/>
      <c r="PE265" s="32"/>
      <c r="PF265" s="32"/>
      <c r="PG265" s="32"/>
      <c r="PH265" s="32"/>
      <c r="PI265" s="32"/>
      <c r="PJ265" s="32"/>
      <c r="PK265" s="32"/>
      <c r="PL265" s="32"/>
      <c r="PM265" s="32"/>
      <c r="PN265" s="32"/>
      <c r="PO265" s="32"/>
      <c r="PP265" s="32"/>
      <c r="PQ265" s="32"/>
      <c r="PR265" s="32"/>
      <c r="PS265" s="32"/>
      <c r="PT265" s="32"/>
      <c r="PU265" s="32"/>
      <c r="PV265" s="32"/>
      <c r="PW265" s="32"/>
      <c r="PX265" s="32"/>
      <c r="PY265" s="32"/>
      <c r="PZ265" s="32"/>
      <c r="QA265" s="32"/>
      <c r="QB265" s="32"/>
      <c r="QC265" s="32"/>
      <c r="QD265" s="32"/>
      <c r="QE265" s="32"/>
      <c r="QF265" s="32"/>
      <c r="QG265" s="32"/>
      <c r="QH265" s="32"/>
      <c r="QI265" s="32"/>
      <c r="QJ265" s="32"/>
      <c r="QK265" s="32"/>
      <c r="QL265" s="32"/>
      <c r="QM265" s="32"/>
      <c r="QN265" s="32"/>
      <c r="QO265" s="32"/>
      <c r="QP265" s="32"/>
      <c r="QQ265" s="32"/>
      <c r="QR265" s="32"/>
      <c r="QS265" s="32"/>
      <c r="QT265" s="32"/>
      <c r="QU265" s="32"/>
      <c r="QV265" s="32"/>
      <c r="QW265" s="32"/>
      <c r="QX265" s="32"/>
      <c r="QY265" s="32"/>
      <c r="QZ265" s="32"/>
      <c r="RA265" s="32"/>
      <c r="RB265" s="32"/>
      <c r="RC265" s="32"/>
      <c r="RD265" s="32"/>
      <c r="RE265" s="32"/>
      <c r="RF265" s="32"/>
      <c r="RG265" s="32"/>
      <c r="RH265" s="32"/>
      <c r="RI265" s="32"/>
      <c r="RJ265" s="32"/>
      <c r="RK265" s="32"/>
      <c r="RL265" s="32"/>
      <c r="RM265" s="32"/>
      <c r="RN265" s="32"/>
      <c r="RO265" s="32"/>
      <c r="RP265" s="32"/>
      <c r="RQ265" s="32"/>
      <c r="RR265" s="32"/>
      <c r="RS265" s="32"/>
      <c r="RT265" s="32"/>
      <c r="RU265" s="32"/>
      <c r="RV265" s="32"/>
      <c r="RW265" s="32"/>
      <c r="RX265" s="32"/>
      <c r="RY265" s="32"/>
      <c r="RZ265" s="32"/>
      <c r="SA265" s="32"/>
      <c r="SB265" s="32"/>
      <c r="SC265" s="32"/>
      <c r="SD265" s="32"/>
      <c r="SE265" s="32"/>
      <c r="SF265" s="32"/>
      <c r="SG265" s="32"/>
      <c r="SH265" s="32"/>
      <c r="SI265" s="32"/>
      <c r="SJ265" s="32"/>
      <c r="SK265" s="32"/>
      <c r="SL265" s="32"/>
      <c r="SM265" s="32"/>
      <c r="SN265" s="32"/>
      <c r="SO265" s="32"/>
      <c r="SP265" s="32"/>
      <c r="SQ265" s="32"/>
      <c r="SR265" s="32"/>
      <c r="SS265" s="32"/>
      <c r="ST265" s="32"/>
      <c r="SU265" s="32"/>
      <c r="SV265" s="32"/>
      <c r="SW265" s="32"/>
      <c r="SX265" s="32"/>
      <c r="SY265" s="32"/>
      <c r="SZ265" s="32"/>
      <c r="TA265" s="32"/>
      <c r="TB265" s="32"/>
      <c r="TC265" s="32"/>
      <c r="TD265" s="32"/>
      <c r="TE265" s="32"/>
      <c r="TF265" s="32"/>
      <c r="TG265" s="32"/>
    </row>
    <row r="266" spans="1:527" s="34" customFormat="1" ht="47.25" x14ac:dyDescent="0.25">
      <c r="A266" s="96" t="s">
        <v>29</v>
      </c>
      <c r="B266" s="109"/>
      <c r="C266" s="109"/>
      <c r="D266" s="77" t="s">
        <v>420</v>
      </c>
      <c r="E266" s="98">
        <f>SUM(E268+E269+E270+E271+E272+E273+E274+E276+E277+E278+E279+E280+E281+E275+E283+E284)</f>
        <v>3705719.1500000004</v>
      </c>
      <c r="F266" s="98">
        <f t="shared" ref="F266:P266" si="133">SUM(F268+F269+F270+F271+F272+F273+F274+F276+F277+F278+F279+F280+F281+F275+F283+F284)</f>
        <v>3705719.1500000004</v>
      </c>
      <c r="G266" s="98">
        <f t="shared" si="133"/>
        <v>2146200</v>
      </c>
      <c r="H266" s="98">
        <f t="shared" si="133"/>
        <v>0</v>
      </c>
      <c r="I266" s="98">
        <f t="shared" si="133"/>
        <v>0</v>
      </c>
      <c r="J266" s="98">
        <f t="shared" si="133"/>
        <v>281144912.5</v>
      </c>
      <c r="K266" s="98">
        <f t="shared" si="133"/>
        <v>267699629.85000002</v>
      </c>
      <c r="L266" s="98">
        <f t="shared" si="133"/>
        <v>1900000</v>
      </c>
      <c r="M266" s="98">
        <f t="shared" si="133"/>
        <v>1332000</v>
      </c>
      <c r="N266" s="98">
        <f t="shared" si="133"/>
        <v>71500</v>
      </c>
      <c r="O266" s="98">
        <f t="shared" si="133"/>
        <v>279244912.5</v>
      </c>
      <c r="P266" s="98">
        <f t="shared" si="133"/>
        <v>284850631.64999998</v>
      </c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3"/>
      <c r="GE266" s="33"/>
      <c r="GF266" s="33"/>
      <c r="GG266" s="33"/>
      <c r="GH266" s="33"/>
      <c r="GI266" s="33"/>
      <c r="GJ266" s="33"/>
      <c r="GK266" s="33"/>
      <c r="GL266" s="33"/>
      <c r="GM266" s="33"/>
      <c r="GN266" s="33"/>
      <c r="GO266" s="33"/>
      <c r="GP266" s="33"/>
      <c r="GQ266" s="33"/>
      <c r="GR266" s="33"/>
      <c r="GS266" s="33"/>
      <c r="GT266" s="33"/>
      <c r="GU266" s="33"/>
      <c r="GV266" s="33"/>
      <c r="GW266" s="33"/>
      <c r="GX266" s="33"/>
      <c r="GY266" s="33"/>
      <c r="GZ266" s="33"/>
      <c r="HA266" s="33"/>
      <c r="HB266" s="33"/>
      <c r="HC266" s="33"/>
      <c r="HD266" s="33"/>
      <c r="HE266" s="33"/>
      <c r="HF266" s="33"/>
      <c r="HG266" s="33"/>
      <c r="HH266" s="33"/>
      <c r="HI266" s="33"/>
      <c r="HJ266" s="33"/>
      <c r="HK266" s="33"/>
      <c r="HL266" s="33"/>
      <c r="HM266" s="33"/>
      <c r="HN266" s="33"/>
      <c r="HO266" s="33"/>
      <c r="HP266" s="33"/>
      <c r="HQ266" s="33"/>
      <c r="HR266" s="33"/>
      <c r="HS266" s="33"/>
      <c r="HT266" s="33"/>
      <c r="HU266" s="33"/>
      <c r="HV266" s="33"/>
      <c r="HW266" s="33"/>
      <c r="HX266" s="33"/>
      <c r="HY266" s="33"/>
      <c r="HZ266" s="33"/>
      <c r="IA266" s="33"/>
      <c r="IB266" s="33"/>
      <c r="IC266" s="33"/>
      <c r="ID266" s="33"/>
      <c r="IE266" s="33"/>
      <c r="IF266" s="33"/>
      <c r="IG266" s="33"/>
      <c r="IH266" s="33"/>
      <c r="II266" s="33"/>
      <c r="IJ266" s="33"/>
      <c r="IK266" s="33"/>
      <c r="IL266" s="33"/>
      <c r="IM266" s="33"/>
      <c r="IN266" s="33"/>
      <c r="IO266" s="33"/>
      <c r="IP266" s="33"/>
      <c r="IQ266" s="33"/>
      <c r="IR266" s="33"/>
      <c r="IS266" s="33"/>
      <c r="IT266" s="33"/>
      <c r="IU266" s="33"/>
      <c r="IV266" s="33"/>
      <c r="IW266" s="33"/>
      <c r="IX266" s="33"/>
      <c r="IY266" s="33"/>
      <c r="IZ266" s="33"/>
      <c r="JA266" s="33"/>
      <c r="JB266" s="33"/>
      <c r="JC266" s="33"/>
      <c r="JD266" s="33"/>
      <c r="JE266" s="33"/>
      <c r="JF266" s="33"/>
      <c r="JG266" s="33"/>
      <c r="JH266" s="33"/>
      <c r="JI266" s="33"/>
      <c r="JJ266" s="33"/>
      <c r="JK266" s="33"/>
      <c r="JL266" s="33"/>
      <c r="JM266" s="33"/>
      <c r="JN266" s="33"/>
      <c r="JO266" s="33"/>
      <c r="JP266" s="33"/>
      <c r="JQ266" s="33"/>
      <c r="JR266" s="33"/>
      <c r="JS266" s="33"/>
      <c r="JT266" s="33"/>
      <c r="JU266" s="33"/>
      <c r="JV266" s="33"/>
      <c r="JW266" s="33"/>
      <c r="JX266" s="33"/>
      <c r="JY266" s="33"/>
      <c r="JZ266" s="33"/>
      <c r="KA266" s="33"/>
      <c r="KB266" s="33"/>
      <c r="KC266" s="33"/>
      <c r="KD266" s="33"/>
      <c r="KE266" s="33"/>
      <c r="KF266" s="33"/>
      <c r="KG266" s="33"/>
      <c r="KH266" s="33"/>
      <c r="KI266" s="33"/>
      <c r="KJ266" s="33"/>
      <c r="KK266" s="33"/>
      <c r="KL266" s="33"/>
      <c r="KM266" s="33"/>
      <c r="KN266" s="33"/>
      <c r="KO266" s="33"/>
      <c r="KP266" s="33"/>
      <c r="KQ266" s="33"/>
      <c r="KR266" s="33"/>
      <c r="KS266" s="33"/>
      <c r="KT266" s="33"/>
      <c r="KU266" s="33"/>
      <c r="KV266" s="33"/>
      <c r="KW266" s="33"/>
      <c r="KX266" s="33"/>
      <c r="KY266" s="33"/>
      <c r="KZ266" s="33"/>
      <c r="LA266" s="33"/>
      <c r="LB266" s="33"/>
      <c r="LC266" s="33"/>
      <c r="LD266" s="33"/>
      <c r="LE266" s="33"/>
      <c r="LF266" s="33"/>
      <c r="LG266" s="33"/>
      <c r="LH266" s="33"/>
      <c r="LI266" s="33"/>
      <c r="LJ266" s="33"/>
      <c r="LK266" s="33"/>
      <c r="LL266" s="33"/>
      <c r="LM266" s="33"/>
      <c r="LN266" s="33"/>
      <c r="LO266" s="33"/>
      <c r="LP266" s="33"/>
      <c r="LQ266" s="33"/>
      <c r="LR266" s="33"/>
      <c r="LS266" s="33"/>
      <c r="LT266" s="33"/>
      <c r="LU266" s="33"/>
      <c r="LV266" s="33"/>
      <c r="LW266" s="33"/>
      <c r="LX266" s="33"/>
      <c r="LY266" s="33"/>
      <c r="LZ266" s="33"/>
      <c r="MA266" s="33"/>
      <c r="MB266" s="33"/>
      <c r="MC266" s="33"/>
      <c r="MD266" s="33"/>
      <c r="ME266" s="33"/>
      <c r="MF266" s="33"/>
      <c r="MG266" s="33"/>
      <c r="MH266" s="33"/>
      <c r="MI266" s="33"/>
      <c r="MJ266" s="33"/>
      <c r="MK266" s="33"/>
      <c r="ML266" s="33"/>
      <c r="MM266" s="33"/>
      <c r="MN266" s="33"/>
      <c r="MO266" s="33"/>
      <c r="MP266" s="33"/>
      <c r="MQ266" s="33"/>
      <c r="MR266" s="33"/>
      <c r="MS266" s="33"/>
      <c r="MT266" s="33"/>
      <c r="MU266" s="33"/>
      <c r="MV266" s="33"/>
      <c r="MW266" s="33"/>
      <c r="MX266" s="33"/>
      <c r="MY266" s="33"/>
      <c r="MZ266" s="33"/>
      <c r="NA266" s="33"/>
      <c r="NB266" s="33"/>
      <c r="NC266" s="33"/>
      <c r="ND266" s="33"/>
      <c r="NE266" s="33"/>
      <c r="NF266" s="33"/>
      <c r="NG266" s="33"/>
      <c r="NH266" s="33"/>
      <c r="NI266" s="33"/>
      <c r="NJ266" s="33"/>
      <c r="NK266" s="33"/>
      <c r="NL266" s="33"/>
      <c r="NM266" s="33"/>
      <c r="NN266" s="33"/>
      <c r="NO266" s="33"/>
      <c r="NP266" s="33"/>
      <c r="NQ266" s="33"/>
      <c r="NR266" s="33"/>
      <c r="NS266" s="33"/>
      <c r="NT266" s="33"/>
      <c r="NU266" s="33"/>
      <c r="NV266" s="33"/>
      <c r="NW266" s="33"/>
      <c r="NX266" s="33"/>
      <c r="NY266" s="33"/>
      <c r="NZ266" s="33"/>
      <c r="OA266" s="33"/>
      <c r="OB266" s="33"/>
      <c r="OC266" s="33"/>
      <c r="OD266" s="33"/>
      <c r="OE266" s="33"/>
      <c r="OF266" s="33"/>
      <c r="OG266" s="33"/>
      <c r="OH266" s="33"/>
      <c r="OI266" s="33"/>
      <c r="OJ266" s="33"/>
      <c r="OK266" s="33"/>
      <c r="OL266" s="33"/>
      <c r="OM266" s="33"/>
      <c r="ON266" s="33"/>
      <c r="OO266" s="33"/>
      <c r="OP266" s="33"/>
      <c r="OQ266" s="33"/>
      <c r="OR266" s="33"/>
      <c r="OS266" s="33"/>
      <c r="OT266" s="33"/>
      <c r="OU266" s="33"/>
      <c r="OV266" s="33"/>
      <c r="OW266" s="33"/>
      <c r="OX266" s="33"/>
      <c r="OY266" s="33"/>
      <c r="OZ266" s="33"/>
      <c r="PA266" s="33"/>
      <c r="PB266" s="33"/>
      <c r="PC266" s="33"/>
      <c r="PD266" s="33"/>
      <c r="PE266" s="33"/>
      <c r="PF266" s="33"/>
      <c r="PG266" s="33"/>
      <c r="PH266" s="33"/>
      <c r="PI266" s="33"/>
      <c r="PJ266" s="33"/>
      <c r="PK266" s="33"/>
      <c r="PL266" s="33"/>
      <c r="PM266" s="33"/>
      <c r="PN266" s="33"/>
      <c r="PO266" s="33"/>
      <c r="PP266" s="33"/>
      <c r="PQ266" s="33"/>
      <c r="PR266" s="33"/>
      <c r="PS266" s="33"/>
      <c r="PT266" s="33"/>
      <c r="PU266" s="33"/>
      <c r="PV266" s="33"/>
      <c r="PW266" s="33"/>
      <c r="PX266" s="33"/>
      <c r="PY266" s="33"/>
      <c r="PZ266" s="33"/>
      <c r="QA266" s="33"/>
      <c r="QB266" s="33"/>
      <c r="QC266" s="33"/>
      <c r="QD266" s="33"/>
      <c r="QE266" s="33"/>
      <c r="QF266" s="33"/>
      <c r="QG266" s="33"/>
      <c r="QH266" s="33"/>
      <c r="QI266" s="33"/>
      <c r="QJ266" s="33"/>
      <c r="QK266" s="33"/>
      <c r="QL266" s="33"/>
      <c r="QM266" s="33"/>
      <c r="QN266" s="33"/>
      <c r="QO266" s="33"/>
      <c r="QP266" s="33"/>
      <c r="QQ266" s="33"/>
      <c r="QR266" s="33"/>
      <c r="QS266" s="33"/>
      <c r="QT266" s="33"/>
      <c r="QU266" s="33"/>
      <c r="QV266" s="33"/>
      <c r="QW266" s="33"/>
      <c r="QX266" s="33"/>
      <c r="QY266" s="33"/>
      <c r="QZ266" s="33"/>
      <c r="RA266" s="33"/>
      <c r="RB266" s="33"/>
      <c r="RC266" s="33"/>
      <c r="RD266" s="33"/>
      <c r="RE266" s="33"/>
      <c r="RF266" s="33"/>
      <c r="RG266" s="33"/>
      <c r="RH266" s="33"/>
      <c r="RI266" s="33"/>
      <c r="RJ266" s="33"/>
      <c r="RK266" s="33"/>
      <c r="RL266" s="33"/>
      <c r="RM266" s="33"/>
      <c r="RN266" s="33"/>
      <c r="RO266" s="33"/>
      <c r="RP266" s="33"/>
      <c r="RQ266" s="33"/>
      <c r="RR266" s="33"/>
      <c r="RS266" s="33"/>
      <c r="RT266" s="33"/>
      <c r="RU266" s="33"/>
      <c r="RV266" s="33"/>
      <c r="RW266" s="33"/>
      <c r="RX266" s="33"/>
      <c r="RY266" s="33"/>
      <c r="RZ266" s="33"/>
      <c r="SA266" s="33"/>
      <c r="SB266" s="33"/>
      <c r="SC266" s="33"/>
      <c r="SD266" s="33"/>
      <c r="SE266" s="33"/>
      <c r="SF266" s="33"/>
      <c r="SG266" s="33"/>
      <c r="SH266" s="33"/>
      <c r="SI266" s="33"/>
      <c r="SJ266" s="33"/>
      <c r="SK266" s="33"/>
      <c r="SL266" s="33"/>
      <c r="SM266" s="33"/>
      <c r="SN266" s="33"/>
      <c r="SO266" s="33"/>
      <c r="SP266" s="33"/>
      <c r="SQ266" s="33"/>
      <c r="SR266" s="33"/>
      <c r="SS266" s="33"/>
      <c r="ST266" s="33"/>
      <c r="SU266" s="33"/>
      <c r="SV266" s="33"/>
      <c r="SW266" s="33"/>
      <c r="SX266" s="33"/>
      <c r="SY266" s="33"/>
      <c r="SZ266" s="33"/>
      <c r="TA266" s="33"/>
      <c r="TB266" s="33"/>
      <c r="TC266" s="33"/>
      <c r="TD266" s="33"/>
      <c r="TE266" s="33"/>
      <c r="TF266" s="33"/>
      <c r="TG266" s="33"/>
    </row>
    <row r="267" spans="1:527" s="34" customFormat="1" ht="17.25" customHeight="1" x14ac:dyDescent="0.25">
      <c r="A267" s="96"/>
      <c r="B267" s="109"/>
      <c r="C267" s="109"/>
      <c r="D267" s="83" t="s">
        <v>419</v>
      </c>
      <c r="E267" s="98">
        <f>E282</f>
        <v>0</v>
      </c>
      <c r="F267" s="98">
        <f t="shared" ref="F267:P267" si="134">F282</f>
        <v>0</v>
      </c>
      <c r="G267" s="98">
        <f t="shared" si="134"/>
        <v>0</v>
      </c>
      <c r="H267" s="98">
        <f t="shared" si="134"/>
        <v>0</v>
      </c>
      <c r="I267" s="98">
        <f t="shared" si="134"/>
        <v>0</v>
      </c>
      <c r="J267" s="98">
        <f t="shared" si="134"/>
        <v>96859595</v>
      </c>
      <c r="K267" s="98">
        <f t="shared" si="134"/>
        <v>96859595</v>
      </c>
      <c r="L267" s="98">
        <f t="shared" si="134"/>
        <v>0</v>
      </c>
      <c r="M267" s="98">
        <f t="shared" si="134"/>
        <v>0</v>
      </c>
      <c r="N267" s="98">
        <f t="shared" si="134"/>
        <v>0</v>
      </c>
      <c r="O267" s="98">
        <f t="shared" si="134"/>
        <v>96859595</v>
      </c>
      <c r="P267" s="98">
        <f t="shared" si="134"/>
        <v>96859595</v>
      </c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  <c r="GE267" s="33"/>
      <c r="GF267" s="33"/>
      <c r="GG267" s="33"/>
      <c r="GH267" s="33"/>
      <c r="GI267" s="33"/>
      <c r="GJ267" s="33"/>
      <c r="GK267" s="33"/>
      <c r="GL267" s="33"/>
      <c r="GM267" s="33"/>
      <c r="GN267" s="33"/>
      <c r="GO267" s="33"/>
      <c r="GP267" s="33"/>
      <c r="GQ267" s="33"/>
      <c r="GR267" s="33"/>
      <c r="GS267" s="33"/>
      <c r="GT267" s="33"/>
      <c r="GU267" s="33"/>
      <c r="GV267" s="33"/>
      <c r="GW267" s="33"/>
      <c r="GX267" s="33"/>
      <c r="GY267" s="33"/>
      <c r="GZ267" s="33"/>
      <c r="HA267" s="33"/>
      <c r="HB267" s="33"/>
      <c r="HC267" s="33"/>
      <c r="HD267" s="33"/>
      <c r="HE267" s="33"/>
      <c r="HF267" s="33"/>
      <c r="HG267" s="33"/>
      <c r="HH267" s="33"/>
      <c r="HI267" s="33"/>
      <c r="HJ267" s="33"/>
      <c r="HK267" s="33"/>
      <c r="HL267" s="33"/>
      <c r="HM267" s="33"/>
      <c r="HN267" s="33"/>
      <c r="HO267" s="33"/>
      <c r="HP267" s="33"/>
      <c r="HQ267" s="33"/>
      <c r="HR267" s="33"/>
      <c r="HS267" s="33"/>
      <c r="HT267" s="33"/>
      <c r="HU267" s="33"/>
      <c r="HV267" s="33"/>
      <c r="HW267" s="33"/>
      <c r="HX267" s="33"/>
      <c r="HY267" s="33"/>
      <c r="HZ267" s="33"/>
      <c r="IA267" s="33"/>
      <c r="IB267" s="33"/>
      <c r="IC267" s="33"/>
      <c r="ID267" s="33"/>
      <c r="IE267" s="33"/>
      <c r="IF267" s="33"/>
      <c r="IG267" s="33"/>
      <c r="IH267" s="33"/>
      <c r="II267" s="33"/>
      <c r="IJ267" s="33"/>
      <c r="IK267" s="33"/>
      <c r="IL267" s="33"/>
      <c r="IM267" s="33"/>
      <c r="IN267" s="33"/>
      <c r="IO267" s="33"/>
      <c r="IP267" s="33"/>
      <c r="IQ267" s="33"/>
      <c r="IR267" s="33"/>
      <c r="IS267" s="33"/>
      <c r="IT267" s="33"/>
      <c r="IU267" s="33"/>
      <c r="IV267" s="33"/>
      <c r="IW267" s="33"/>
      <c r="IX267" s="33"/>
      <c r="IY267" s="33"/>
      <c r="IZ267" s="33"/>
      <c r="JA267" s="33"/>
      <c r="JB267" s="33"/>
      <c r="JC267" s="33"/>
      <c r="JD267" s="33"/>
      <c r="JE267" s="33"/>
      <c r="JF267" s="33"/>
      <c r="JG267" s="33"/>
      <c r="JH267" s="33"/>
      <c r="JI267" s="33"/>
      <c r="JJ267" s="33"/>
      <c r="JK267" s="33"/>
      <c r="JL267" s="33"/>
      <c r="JM267" s="33"/>
      <c r="JN267" s="33"/>
      <c r="JO267" s="33"/>
      <c r="JP267" s="33"/>
      <c r="JQ267" s="33"/>
      <c r="JR267" s="33"/>
      <c r="JS267" s="33"/>
      <c r="JT267" s="33"/>
      <c r="JU267" s="33"/>
      <c r="JV267" s="33"/>
      <c r="JW267" s="33"/>
      <c r="JX267" s="33"/>
      <c r="JY267" s="33"/>
      <c r="JZ267" s="33"/>
      <c r="KA267" s="33"/>
      <c r="KB267" s="33"/>
      <c r="KC267" s="33"/>
      <c r="KD267" s="33"/>
      <c r="KE267" s="33"/>
      <c r="KF267" s="33"/>
      <c r="KG267" s="33"/>
      <c r="KH267" s="33"/>
      <c r="KI267" s="33"/>
      <c r="KJ267" s="33"/>
      <c r="KK267" s="33"/>
      <c r="KL267" s="33"/>
      <c r="KM267" s="33"/>
      <c r="KN267" s="33"/>
      <c r="KO267" s="33"/>
      <c r="KP267" s="33"/>
      <c r="KQ267" s="33"/>
      <c r="KR267" s="33"/>
      <c r="KS267" s="33"/>
      <c r="KT267" s="33"/>
      <c r="KU267" s="33"/>
      <c r="KV267" s="33"/>
      <c r="KW267" s="33"/>
      <c r="KX267" s="33"/>
      <c r="KY267" s="33"/>
      <c r="KZ267" s="33"/>
      <c r="LA267" s="33"/>
      <c r="LB267" s="33"/>
      <c r="LC267" s="33"/>
      <c r="LD267" s="33"/>
      <c r="LE267" s="33"/>
      <c r="LF267" s="33"/>
      <c r="LG267" s="33"/>
      <c r="LH267" s="33"/>
      <c r="LI267" s="33"/>
      <c r="LJ267" s="33"/>
      <c r="LK267" s="33"/>
      <c r="LL267" s="33"/>
      <c r="LM267" s="33"/>
      <c r="LN267" s="33"/>
      <c r="LO267" s="33"/>
      <c r="LP267" s="33"/>
      <c r="LQ267" s="33"/>
      <c r="LR267" s="33"/>
      <c r="LS267" s="33"/>
      <c r="LT267" s="33"/>
      <c r="LU267" s="33"/>
      <c r="LV267" s="33"/>
      <c r="LW267" s="33"/>
      <c r="LX267" s="33"/>
      <c r="LY267" s="33"/>
      <c r="LZ267" s="33"/>
      <c r="MA267" s="33"/>
      <c r="MB267" s="33"/>
      <c r="MC267" s="33"/>
      <c r="MD267" s="33"/>
      <c r="ME267" s="33"/>
      <c r="MF267" s="33"/>
      <c r="MG267" s="33"/>
      <c r="MH267" s="33"/>
      <c r="MI267" s="33"/>
      <c r="MJ267" s="33"/>
      <c r="MK267" s="33"/>
      <c r="ML267" s="33"/>
      <c r="MM267" s="33"/>
      <c r="MN267" s="33"/>
      <c r="MO267" s="33"/>
      <c r="MP267" s="33"/>
      <c r="MQ267" s="33"/>
      <c r="MR267" s="33"/>
      <c r="MS267" s="33"/>
      <c r="MT267" s="33"/>
      <c r="MU267" s="33"/>
      <c r="MV267" s="33"/>
      <c r="MW267" s="33"/>
      <c r="MX267" s="33"/>
      <c r="MY267" s="33"/>
      <c r="MZ267" s="33"/>
      <c r="NA267" s="33"/>
      <c r="NB267" s="33"/>
      <c r="NC267" s="33"/>
      <c r="ND267" s="33"/>
      <c r="NE267" s="33"/>
      <c r="NF267" s="33"/>
      <c r="NG267" s="33"/>
      <c r="NH267" s="33"/>
      <c r="NI267" s="33"/>
      <c r="NJ267" s="33"/>
      <c r="NK267" s="33"/>
      <c r="NL267" s="33"/>
      <c r="NM267" s="33"/>
      <c r="NN267" s="33"/>
      <c r="NO267" s="33"/>
      <c r="NP267" s="33"/>
      <c r="NQ267" s="33"/>
      <c r="NR267" s="33"/>
      <c r="NS267" s="33"/>
      <c r="NT267" s="33"/>
      <c r="NU267" s="33"/>
      <c r="NV267" s="33"/>
      <c r="NW267" s="33"/>
      <c r="NX267" s="33"/>
      <c r="NY267" s="33"/>
      <c r="NZ267" s="33"/>
      <c r="OA267" s="33"/>
      <c r="OB267" s="33"/>
      <c r="OC267" s="33"/>
      <c r="OD267" s="33"/>
      <c r="OE267" s="33"/>
      <c r="OF267" s="33"/>
      <c r="OG267" s="33"/>
      <c r="OH267" s="33"/>
      <c r="OI267" s="33"/>
      <c r="OJ267" s="33"/>
      <c r="OK267" s="33"/>
      <c r="OL267" s="33"/>
      <c r="OM267" s="33"/>
      <c r="ON267" s="33"/>
      <c r="OO267" s="33"/>
      <c r="OP267" s="33"/>
      <c r="OQ267" s="33"/>
      <c r="OR267" s="33"/>
      <c r="OS267" s="33"/>
      <c r="OT267" s="33"/>
      <c r="OU267" s="33"/>
      <c r="OV267" s="33"/>
      <c r="OW267" s="33"/>
      <c r="OX267" s="33"/>
      <c r="OY267" s="33"/>
      <c r="OZ267" s="33"/>
      <c r="PA267" s="33"/>
      <c r="PB267" s="33"/>
      <c r="PC267" s="33"/>
      <c r="PD267" s="33"/>
      <c r="PE267" s="33"/>
      <c r="PF267" s="33"/>
      <c r="PG267" s="33"/>
      <c r="PH267" s="33"/>
      <c r="PI267" s="33"/>
      <c r="PJ267" s="33"/>
      <c r="PK267" s="33"/>
      <c r="PL267" s="33"/>
      <c r="PM267" s="33"/>
      <c r="PN267" s="33"/>
      <c r="PO267" s="33"/>
      <c r="PP267" s="33"/>
      <c r="PQ267" s="33"/>
      <c r="PR267" s="33"/>
      <c r="PS267" s="33"/>
      <c r="PT267" s="33"/>
      <c r="PU267" s="33"/>
      <c r="PV267" s="33"/>
      <c r="PW267" s="33"/>
      <c r="PX267" s="33"/>
      <c r="PY267" s="33"/>
      <c r="PZ267" s="33"/>
      <c r="QA267" s="33"/>
      <c r="QB267" s="33"/>
      <c r="QC267" s="33"/>
      <c r="QD267" s="33"/>
      <c r="QE267" s="33"/>
      <c r="QF267" s="33"/>
      <c r="QG267" s="33"/>
      <c r="QH267" s="33"/>
      <c r="QI267" s="33"/>
      <c r="QJ267" s="33"/>
      <c r="QK267" s="33"/>
      <c r="QL267" s="33"/>
      <c r="QM267" s="33"/>
      <c r="QN267" s="33"/>
      <c r="QO267" s="33"/>
      <c r="QP267" s="33"/>
      <c r="QQ267" s="33"/>
      <c r="QR267" s="33"/>
      <c r="QS267" s="33"/>
      <c r="QT267" s="33"/>
      <c r="QU267" s="33"/>
      <c r="QV267" s="33"/>
      <c r="QW267" s="33"/>
      <c r="QX267" s="33"/>
      <c r="QY267" s="33"/>
      <c r="QZ267" s="33"/>
      <c r="RA267" s="33"/>
      <c r="RB267" s="33"/>
      <c r="RC267" s="33"/>
      <c r="RD267" s="33"/>
      <c r="RE267" s="33"/>
      <c r="RF267" s="33"/>
      <c r="RG267" s="33"/>
      <c r="RH267" s="33"/>
      <c r="RI267" s="33"/>
      <c r="RJ267" s="33"/>
      <c r="RK267" s="33"/>
      <c r="RL267" s="33"/>
      <c r="RM267" s="33"/>
      <c r="RN267" s="33"/>
      <c r="RO267" s="33"/>
      <c r="RP267" s="33"/>
      <c r="RQ267" s="33"/>
      <c r="RR267" s="33"/>
      <c r="RS267" s="33"/>
      <c r="RT267" s="33"/>
      <c r="RU267" s="33"/>
      <c r="RV267" s="33"/>
      <c r="RW267" s="33"/>
      <c r="RX267" s="33"/>
      <c r="RY267" s="33"/>
      <c r="RZ267" s="33"/>
      <c r="SA267" s="33"/>
      <c r="SB267" s="33"/>
      <c r="SC267" s="33"/>
      <c r="SD267" s="33"/>
      <c r="SE267" s="33"/>
      <c r="SF267" s="33"/>
      <c r="SG267" s="33"/>
      <c r="SH267" s="33"/>
      <c r="SI267" s="33"/>
      <c r="SJ267" s="33"/>
      <c r="SK267" s="33"/>
      <c r="SL267" s="33"/>
      <c r="SM267" s="33"/>
      <c r="SN267" s="33"/>
      <c r="SO267" s="33"/>
      <c r="SP267" s="33"/>
      <c r="SQ267" s="33"/>
      <c r="SR267" s="33"/>
      <c r="SS267" s="33"/>
      <c r="ST267" s="33"/>
      <c r="SU267" s="33"/>
      <c r="SV267" s="33"/>
      <c r="SW267" s="33"/>
      <c r="SX267" s="33"/>
      <c r="SY267" s="33"/>
      <c r="SZ267" s="33"/>
      <c r="TA267" s="33"/>
      <c r="TB267" s="33"/>
      <c r="TC267" s="33"/>
      <c r="TD267" s="33"/>
      <c r="TE267" s="33"/>
      <c r="TF267" s="33"/>
      <c r="TG267" s="33"/>
    </row>
    <row r="268" spans="1:527" s="22" customFormat="1" ht="47.25" x14ac:dyDescent="0.25">
      <c r="A268" s="59" t="s">
        <v>140</v>
      </c>
      <c r="B268" s="93" t="str">
        <f>'дод 8'!A19</f>
        <v>0160</v>
      </c>
      <c r="C268" s="93" t="str">
        <f>'дод 8'!B19</f>
        <v>0111</v>
      </c>
      <c r="D268" s="36" t="s">
        <v>494</v>
      </c>
      <c r="E268" s="99">
        <f t="shared" ref="E268:E283" si="135">F268+I268</f>
        <v>2609000</v>
      </c>
      <c r="F268" s="99">
        <f>3609000-1000000</f>
        <v>2609000</v>
      </c>
      <c r="G268" s="99">
        <f>2958200-812000</f>
        <v>2146200</v>
      </c>
      <c r="H268" s="99"/>
      <c r="I268" s="99"/>
      <c r="J268" s="99">
        <f>L268+O268</f>
        <v>1900000</v>
      </c>
      <c r="K268" s="99"/>
      <c r="L268" s="99">
        <v>1900000</v>
      </c>
      <c r="M268" s="99">
        <v>1332000</v>
      </c>
      <c r="N268" s="99">
        <v>71500</v>
      </c>
      <c r="O268" s="99"/>
      <c r="P268" s="99">
        <f t="shared" ref="P268:P283" si="136">E268+J268</f>
        <v>4509000</v>
      </c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</row>
    <row r="269" spans="1:527" s="22" customFormat="1" ht="18" customHeight="1" x14ac:dyDescent="0.25">
      <c r="A269" s="59" t="s">
        <v>205</v>
      </c>
      <c r="B269" s="93" t="str">
        <f>'дод 8'!A162</f>
        <v>6030</v>
      </c>
      <c r="C269" s="93" t="str">
        <f>'дод 8'!B162</f>
        <v>0620</v>
      </c>
      <c r="D269" s="60" t="str">
        <f>'дод 8'!C162</f>
        <v>Організація благоустрою населених пунктів</v>
      </c>
      <c r="E269" s="99">
        <f t="shared" si="135"/>
        <v>0</v>
      </c>
      <c r="F269" s="99"/>
      <c r="G269" s="99"/>
      <c r="H269" s="99"/>
      <c r="I269" s="99"/>
      <c r="J269" s="99">
        <f t="shared" ref="J269:J291" si="137">L269+O269</f>
        <v>58645128</v>
      </c>
      <c r="K269" s="99">
        <f>50000000+200000+100000+49000+50000+1764511+50000+381259-3407127+9457485</f>
        <v>58645128</v>
      </c>
      <c r="L269" s="99"/>
      <c r="M269" s="99"/>
      <c r="N269" s="99"/>
      <c r="O269" s="99">
        <f>50000000+200000+100000+49000+50000+1764511+50000+381259-3407127+9457485</f>
        <v>58645128</v>
      </c>
      <c r="P269" s="99">
        <f t="shared" si="136"/>
        <v>58645128</v>
      </c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</row>
    <row r="270" spans="1:527" s="22" customFormat="1" ht="65.25" customHeight="1" x14ac:dyDescent="0.25">
      <c r="A270" s="59" t="s">
        <v>206</v>
      </c>
      <c r="B270" s="93" t="str">
        <f>'дод 8'!A165</f>
        <v>6084</v>
      </c>
      <c r="C270" s="93" t="str">
        <f>'дод 8'!B165</f>
        <v>0610</v>
      </c>
      <c r="D270" s="60" t="s">
        <v>531</v>
      </c>
      <c r="E270" s="99">
        <f t="shared" si="135"/>
        <v>0</v>
      </c>
      <c r="F270" s="99"/>
      <c r="G270" s="99"/>
      <c r="H270" s="99"/>
      <c r="I270" s="99"/>
      <c r="J270" s="99">
        <f t="shared" si="137"/>
        <v>71348.649999999994</v>
      </c>
      <c r="K270" s="99"/>
      <c r="L270" s="113"/>
      <c r="M270" s="99"/>
      <c r="N270" s="99"/>
      <c r="O270" s="99">
        <f>70060+1288.65</f>
        <v>71348.649999999994</v>
      </c>
      <c r="P270" s="99">
        <f t="shared" si="136"/>
        <v>71348.649999999994</v>
      </c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</row>
    <row r="271" spans="1:527" s="22" customFormat="1" ht="31.5" x14ac:dyDescent="0.25">
      <c r="A271" s="59" t="s">
        <v>275</v>
      </c>
      <c r="B271" s="93" t="str">
        <f>'дод 8'!A177</f>
        <v>7310</v>
      </c>
      <c r="C271" s="93" t="str">
        <f>'дод 8'!B177</f>
        <v>0443</v>
      </c>
      <c r="D271" s="60" t="str">
        <f>'дод 8'!C177</f>
        <v>Будівництво1 об'єктів житлово-комунального господарства</v>
      </c>
      <c r="E271" s="99">
        <f t="shared" si="135"/>
        <v>0</v>
      </c>
      <c r="F271" s="99"/>
      <c r="G271" s="99"/>
      <c r="H271" s="99"/>
      <c r="I271" s="99"/>
      <c r="J271" s="99">
        <f t="shared" si="137"/>
        <v>23385.4</v>
      </c>
      <c r="K271" s="99">
        <v>23385.4</v>
      </c>
      <c r="L271" s="99"/>
      <c r="M271" s="99"/>
      <c r="N271" s="99"/>
      <c r="O271" s="99">
        <v>23385.4</v>
      </c>
      <c r="P271" s="99">
        <f t="shared" si="136"/>
        <v>23385.4</v>
      </c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  <c r="TF271" s="23"/>
      <c r="TG271" s="23"/>
    </row>
    <row r="272" spans="1:527" s="22" customFormat="1" ht="18.75" x14ac:dyDescent="0.25">
      <c r="A272" s="59" t="s">
        <v>276</v>
      </c>
      <c r="B272" s="93" t="str">
        <f>'дод 8'!A178</f>
        <v>7321</v>
      </c>
      <c r="C272" s="93" t="str">
        <f>'дод 8'!B178</f>
        <v>0443</v>
      </c>
      <c r="D272" s="6" t="s">
        <v>548</v>
      </c>
      <c r="E272" s="99">
        <f t="shared" si="135"/>
        <v>0</v>
      </c>
      <c r="F272" s="99"/>
      <c r="G272" s="99"/>
      <c r="H272" s="99"/>
      <c r="I272" s="99"/>
      <c r="J272" s="99">
        <f t="shared" si="137"/>
        <v>1120560</v>
      </c>
      <c r="K272" s="99">
        <f>42471+46089+10000+22000+1000000</f>
        <v>1120560</v>
      </c>
      <c r="L272" s="99"/>
      <c r="M272" s="99"/>
      <c r="N272" s="99"/>
      <c r="O272" s="99">
        <f>42471+46089+10000+22000+1000000</f>
        <v>1120560</v>
      </c>
      <c r="P272" s="99">
        <f t="shared" si="136"/>
        <v>1120560</v>
      </c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  <c r="TF272" s="23"/>
      <c r="TG272" s="23"/>
    </row>
    <row r="273" spans="1:527" s="22" customFormat="1" ht="18.75" x14ac:dyDescent="0.25">
      <c r="A273" s="59" t="s">
        <v>278</v>
      </c>
      <c r="B273" s="93" t="str">
        <f>'дод 8'!A180</f>
        <v>7322</v>
      </c>
      <c r="C273" s="93" t="str">
        <f>'дод 8'!B180</f>
        <v>0443</v>
      </c>
      <c r="D273" s="6" t="s">
        <v>549</v>
      </c>
      <c r="E273" s="99">
        <f t="shared" si="135"/>
        <v>0</v>
      </c>
      <c r="F273" s="99"/>
      <c r="G273" s="99"/>
      <c r="H273" s="99"/>
      <c r="I273" s="99"/>
      <c r="J273" s="99">
        <f t="shared" si="137"/>
        <v>6800000</v>
      </c>
      <c r="K273" s="99">
        <f>3000000+1800000+2000000</f>
        <v>6800000</v>
      </c>
      <c r="L273" s="99"/>
      <c r="M273" s="99"/>
      <c r="N273" s="99"/>
      <c r="O273" s="99">
        <f>3000000+1800000+2000000</f>
        <v>6800000</v>
      </c>
      <c r="P273" s="99">
        <f t="shared" si="136"/>
        <v>6800000</v>
      </c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</row>
    <row r="274" spans="1:527" s="22" customFormat="1" ht="18.75" x14ac:dyDescent="0.25">
      <c r="A274" s="59" t="s">
        <v>563</v>
      </c>
      <c r="B274" s="93">
        <v>7324</v>
      </c>
      <c r="C274" s="93"/>
      <c r="D274" s="6" t="s">
        <v>551</v>
      </c>
      <c r="E274" s="99">
        <f t="shared" si="135"/>
        <v>0</v>
      </c>
      <c r="F274" s="99"/>
      <c r="G274" s="99"/>
      <c r="H274" s="99"/>
      <c r="I274" s="99"/>
      <c r="J274" s="99">
        <f t="shared" si="137"/>
        <v>400000</v>
      </c>
      <c r="K274" s="99">
        <v>400000</v>
      </c>
      <c r="L274" s="99"/>
      <c r="M274" s="99"/>
      <c r="N274" s="99"/>
      <c r="O274" s="99">
        <v>400000</v>
      </c>
      <c r="P274" s="99">
        <f t="shared" si="136"/>
        <v>400000</v>
      </c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</row>
    <row r="275" spans="1:527" s="22" customFormat="1" ht="34.5" x14ac:dyDescent="0.25">
      <c r="A275" s="59" t="s">
        <v>359</v>
      </c>
      <c r="B275" s="93">
        <f>'дод 8'!A183</f>
        <v>7325</v>
      </c>
      <c r="C275" s="59" t="s">
        <v>111</v>
      </c>
      <c r="D275" s="6" t="s">
        <v>546</v>
      </c>
      <c r="E275" s="99">
        <f t="shared" si="135"/>
        <v>0</v>
      </c>
      <c r="F275" s="99"/>
      <c r="G275" s="99"/>
      <c r="H275" s="99"/>
      <c r="I275" s="99"/>
      <c r="J275" s="99">
        <f t="shared" si="137"/>
        <v>1799440</v>
      </c>
      <c r="K275" s="99">
        <f>199440+1000000+600000</f>
        <v>1799440</v>
      </c>
      <c r="L275" s="99"/>
      <c r="M275" s="99"/>
      <c r="N275" s="99"/>
      <c r="O275" s="99">
        <f>199440+1000000+600000</f>
        <v>1799440</v>
      </c>
      <c r="P275" s="99">
        <f t="shared" si="136"/>
        <v>1799440</v>
      </c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  <c r="TF275" s="23"/>
      <c r="TG275" s="23"/>
    </row>
    <row r="276" spans="1:527" s="22" customFormat="1" ht="18" customHeight="1" x14ac:dyDescent="0.25">
      <c r="A276" s="59" t="s">
        <v>280</v>
      </c>
      <c r="B276" s="93" t="str">
        <f>'дод 8'!A184</f>
        <v>7330</v>
      </c>
      <c r="C276" s="93" t="str">
        <f>'дод 8'!B184</f>
        <v>0443</v>
      </c>
      <c r="D276" s="6" t="s">
        <v>547</v>
      </c>
      <c r="E276" s="99">
        <f t="shared" si="135"/>
        <v>0</v>
      </c>
      <c r="F276" s="99"/>
      <c r="G276" s="99"/>
      <c r="H276" s="99"/>
      <c r="I276" s="99"/>
      <c r="J276" s="99">
        <f t="shared" si="137"/>
        <v>11510539</v>
      </c>
      <c r="K276" s="99">
        <f>39750000+1567447+258138-1800000+200000+135000+200000+95995-28000000+240000-70000+60000+30000-30000+49900+1000000-2814608-60000+698667</f>
        <v>11510539</v>
      </c>
      <c r="L276" s="99"/>
      <c r="M276" s="99"/>
      <c r="N276" s="99"/>
      <c r="O276" s="99">
        <f>39750000+1567447+258138-1800000+200000+135000+200000+95995-28000000+240000-70000+60000+30000-30000+49900+1000000-2814608-60000+698667</f>
        <v>11510539</v>
      </c>
      <c r="P276" s="99">
        <f t="shared" si="136"/>
        <v>11510539</v>
      </c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  <c r="TF276" s="23"/>
      <c r="TG276" s="23"/>
    </row>
    <row r="277" spans="1:527" s="22" customFormat="1" ht="31.5" x14ac:dyDescent="0.25">
      <c r="A277" s="59" t="s">
        <v>428</v>
      </c>
      <c r="B277" s="93">
        <v>7340</v>
      </c>
      <c r="C277" s="59" t="s">
        <v>111</v>
      </c>
      <c r="D277" s="60" t="s">
        <v>1</v>
      </c>
      <c r="E277" s="99">
        <f t="shared" si="135"/>
        <v>0</v>
      </c>
      <c r="F277" s="99"/>
      <c r="G277" s="99"/>
      <c r="H277" s="99"/>
      <c r="I277" s="99"/>
      <c r="J277" s="99">
        <f t="shared" si="137"/>
        <v>1000000</v>
      </c>
      <c r="K277" s="99">
        <f>6000000-2067496-104420-86000-2742084</f>
        <v>1000000</v>
      </c>
      <c r="L277" s="99"/>
      <c r="M277" s="99"/>
      <c r="N277" s="99"/>
      <c r="O277" s="99">
        <f>6000000-2067496-104420-86000-2742084</f>
        <v>1000000</v>
      </c>
      <c r="P277" s="99">
        <f t="shared" si="136"/>
        <v>1000000</v>
      </c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</row>
    <row r="278" spans="1:527" s="22" customFormat="1" ht="53.25" customHeight="1" x14ac:dyDescent="0.25">
      <c r="A278" s="59" t="s">
        <v>371</v>
      </c>
      <c r="B278" s="93">
        <f>'дод 8'!A187</f>
        <v>7361</v>
      </c>
      <c r="C278" s="93" t="str">
        <f>'дод 8'!B187</f>
        <v>0490</v>
      </c>
      <c r="D278" s="60" t="str">
        <f>'дод 8'!C187</f>
        <v>Співфінансування інвестиційних проектів, що реалізуються за рахунок коштів державного фонду регіонального розвитку</v>
      </c>
      <c r="E278" s="99">
        <f t="shared" ref="E278" si="138">F278+I278</f>
        <v>0</v>
      </c>
      <c r="F278" s="99"/>
      <c r="G278" s="99"/>
      <c r="H278" s="99"/>
      <c r="I278" s="99"/>
      <c r="J278" s="99">
        <f t="shared" ref="J278" si="139">L278+O278</f>
        <v>58172673</v>
      </c>
      <c r="K278" s="99">
        <f>10172673+28000000+15000000+924549+4075451</f>
        <v>58172673</v>
      </c>
      <c r="L278" s="99"/>
      <c r="M278" s="99"/>
      <c r="N278" s="99"/>
      <c r="O278" s="99">
        <f>10172673+28000000+15000000+924549+4075451</f>
        <v>58172673</v>
      </c>
      <c r="P278" s="99">
        <f t="shared" si="136"/>
        <v>58172673</v>
      </c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22" customFormat="1" ht="47.25" hidden="1" customHeight="1" x14ac:dyDescent="0.25">
      <c r="A279" s="59" t="s">
        <v>366</v>
      </c>
      <c r="B279" s="93">
        <v>7363</v>
      </c>
      <c r="C279" s="59" t="s">
        <v>82</v>
      </c>
      <c r="D279" s="60" t="s">
        <v>398</v>
      </c>
      <c r="E279" s="99">
        <f t="shared" si="135"/>
        <v>0</v>
      </c>
      <c r="F279" s="99"/>
      <c r="G279" s="99"/>
      <c r="H279" s="99"/>
      <c r="I279" s="99"/>
      <c r="J279" s="99">
        <f t="shared" si="137"/>
        <v>0</v>
      </c>
      <c r="K279" s="99"/>
      <c r="L279" s="99"/>
      <c r="M279" s="99"/>
      <c r="N279" s="99"/>
      <c r="O279" s="99"/>
      <c r="P279" s="99">
        <f t="shared" si="136"/>
        <v>0</v>
      </c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</row>
    <row r="280" spans="1:527" s="22" customFormat="1" ht="31.5" x14ac:dyDescent="0.25">
      <c r="A280" s="59" t="s">
        <v>430</v>
      </c>
      <c r="B280" s="93">
        <v>7370</v>
      </c>
      <c r="C280" s="59" t="s">
        <v>82</v>
      </c>
      <c r="D280" s="60" t="s">
        <v>431</v>
      </c>
      <c r="E280" s="99">
        <f>F280+I280</f>
        <v>81034.600000000006</v>
      </c>
      <c r="F280" s="99">
        <f>104420-23385.4</f>
        <v>81034.600000000006</v>
      </c>
      <c r="G280" s="99"/>
      <c r="H280" s="99"/>
      <c r="I280" s="99"/>
      <c r="J280" s="99">
        <f t="shared" si="137"/>
        <v>0</v>
      </c>
      <c r="K280" s="99"/>
      <c r="L280" s="99"/>
      <c r="M280" s="99"/>
      <c r="N280" s="99"/>
      <c r="O280" s="99"/>
      <c r="P280" s="99">
        <f t="shared" si="136"/>
        <v>81034.600000000006</v>
      </c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2" customFormat="1" ht="21.75" customHeight="1" x14ac:dyDescent="0.25">
      <c r="A281" s="59" t="s">
        <v>146</v>
      </c>
      <c r="B281" s="93" t="str">
        <f>'дод 8'!A215</f>
        <v>7640</v>
      </c>
      <c r="C281" s="93" t="str">
        <f>'дод 8'!B215</f>
        <v>0470</v>
      </c>
      <c r="D281" s="60" t="s">
        <v>468</v>
      </c>
      <c r="E281" s="99">
        <f t="shared" si="135"/>
        <v>1015684.55</v>
      </c>
      <c r="F281" s="99">
        <f>1763607-797422.45+49500</f>
        <v>1015684.55</v>
      </c>
      <c r="G281" s="99"/>
      <c r="H281" s="99"/>
      <c r="I281" s="99"/>
      <c r="J281" s="99">
        <f t="shared" si="137"/>
        <v>139615838.44999999</v>
      </c>
      <c r="K281" s="99">
        <f>124644482+797422.45+2700000</f>
        <v>128141904.45</v>
      </c>
      <c r="L281" s="113"/>
      <c r="M281" s="99"/>
      <c r="N281" s="99"/>
      <c r="O281" s="99">
        <f>136118416+797422.45+2700000</f>
        <v>139615838.44999999</v>
      </c>
      <c r="P281" s="99">
        <f t="shared" si="136"/>
        <v>140631523</v>
      </c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</row>
    <row r="282" spans="1:527" s="24" customFormat="1" ht="17.25" customHeight="1" x14ac:dyDescent="0.25">
      <c r="A282" s="84"/>
      <c r="B282" s="111"/>
      <c r="C282" s="111"/>
      <c r="D282" s="85" t="s">
        <v>419</v>
      </c>
      <c r="E282" s="101">
        <f t="shared" si="135"/>
        <v>0</v>
      </c>
      <c r="F282" s="101"/>
      <c r="G282" s="101"/>
      <c r="H282" s="101"/>
      <c r="I282" s="101"/>
      <c r="J282" s="101">
        <f t="shared" si="137"/>
        <v>96859595</v>
      </c>
      <c r="K282" s="101">
        <v>96859595</v>
      </c>
      <c r="L282" s="114"/>
      <c r="M282" s="101"/>
      <c r="N282" s="101"/>
      <c r="O282" s="101">
        <v>96859595</v>
      </c>
      <c r="P282" s="101">
        <f t="shared" si="136"/>
        <v>96859595</v>
      </c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0"/>
      <c r="DQ282" s="30"/>
      <c r="DR282" s="30"/>
      <c r="DS282" s="30"/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  <c r="EF282" s="30"/>
      <c r="EG282" s="30"/>
      <c r="EH282" s="30"/>
      <c r="EI282" s="30"/>
      <c r="EJ282" s="30"/>
      <c r="EK282" s="30"/>
      <c r="EL282" s="30"/>
      <c r="EM282" s="30"/>
      <c r="EN282" s="30"/>
      <c r="EO282" s="30"/>
      <c r="EP282" s="30"/>
      <c r="EQ282" s="30"/>
      <c r="ER282" s="30"/>
      <c r="ES282" s="30"/>
      <c r="ET282" s="30"/>
      <c r="EU282" s="30"/>
      <c r="EV282" s="30"/>
      <c r="EW282" s="30"/>
      <c r="EX282" s="30"/>
      <c r="EY282" s="30"/>
      <c r="EZ282" s="30"/>
      <c r="FA282" s="30"/>
      <c r="FB282" s="30"/>
      <c r="FC282" s="30"/>
      <c r="FD282" s="30"/>
      <c r="FE282" s="30"/>
      <c r="FF282" s="30"/>
      <c r="FG282" s="30"/>
      <c r="FH282" s="30"/>
      <c r="FI282" s="30"/>
      <c r="FJ282" s="30"/>
      <c r="FK282" s="30"/>
      <c r="FL282" s="30"/>
      <c r="FM282" s="30"/>
      <c r="FN282" s="30"/>
      <c r="FO282" s="30"/>
      <c r="FP282" s="30"/>
      <c r="FQ282" s="30"/>
      <c r="FR282" s="30"/>
      <c r="FS282" s="30"/>
      <c r="FT282" s="30"/>
      <c r="FU282" s="30"/>
      <c r="FV282" s="30"/>
      <c r="FW282" s="30"/>
      <c r="FX282" s="30"/>
      <c r="FY282" s="30"/>
      <c r="FZ282" s="30"/>
      <c r="GA282" s="30"/>
      <c r="GB282" s="30"/>
      <c r="GC282" s="30"/>
      <c r="GD282" s="30"/>
      <c r="GE282" s="30"/>
      <c r="GF282" s="30"/>
      <c r="GG282" s="30"/>
      <c r="GH282" s="30"/>
      <c r="GI282" s="30"/>
      <c r="GJ282" s="30"/>
      <c r="GK282" s="30"/>
      <c r="GL282" s="30"/>
      <c r="GM282" s="30"/>
      <c r="GN282" s="30"/>
      <c r="GO282" s="30"/>
      <c r="GP282" s="30"/>
      <c r="GQ282" s="30"/>
      <c r="GR282" s="30"/>
      <c r="GS282" s="30"/>
      <c r="GT282" s="30"/>
      <c r="GU282" s="30"/>
      <c r="GV282" s="30"/>
      <c r="GW282" s="30"/>
      <c r="GX282" s="30"/>
      <c r="GY282" s="30"/>
      <c r="GZ282" s="30"/>
      <c r="HA282" s="30"/>
      <c r="HB282" s="30"/>
      <c r="HC282" s="30"/>
      <c r="HD282" s="30"/>
      <c r="HE282" s="30"/>
      <c r="HF282" s="30"/>
      <c r="HG282" s="30"/>
      <c r="HH282" s="30"/>
      <c r="HI282" s="30"/>
      <c r="HJ282" s="30"/>
      <c r="HK282" s="30"/>
      <c r="HL282" s="30"/>
      <c r="HM282" s="30"/>
      <c r="HN282" s="30"/>
      <c r="HO282" s="30"/>
      <c r="HP282" s="30"/>
      <c r="HQ282" s="30"/>
      <c r="HR282" s="30"/>
      <c r="HS282" s="30"/>
      <c r="HT282" s="30"/>
      <c r="HU282" s="30"/>
      <c r="HV282" s="30"/>
      <c r="HW282" s="30"/>
      <c r="HX282" s="30"/>
      <c r="HY282" s="30"/>
      <c r="HZ282" s="30"/>
      <c r="IA282" s="30"/>
      <c r="IB282" s="30"/>
      <c r="IC282" s="30"/>
      <c r="ID282" s="30"/>
      <c r="IE282" s="30"/>
      <c r="IF282" s="30"/>
      <c r="IG282" s="30"/>
      <c r="IH282" s="30"/>
      <c r="II282" s="30"/>
      <c r="IJ282" s="30"/>
      <c r="IK282" s="30"/>
      <c r="IL282" s="30"/>
      <c r="IM282" s="30"/>
      <c r="IN282" s="30"/>
      <c r="IO282" s="30"/>
      <c r="IP282" s="30"/>
      <c r="IQ282" s="30"/>
      <c r="IR282" s="30"/>
      <c r="IS282" s="30"/>
      <c r="IT282" s="30"/>
      <c r="IU282" s="30"/>
      <c r="IV282" s="30"/>
      <c r="IW282" s="30"/>
      <c r="IX282" s="30"/>
      <c r="IY282" s="30"/>
      <c r="IZ282" s="30"/>
      <c r="JA282" s="30"/>
      <c r="JB282" s="30"/>
      <c r="JC282" s="30"/>
      <c r="JD282" s="30"/>
      <c r="JE282" s="30"/>
      <c r="JF282" s="30"/>
      <c r="JG282" s="30"/>
      <c r="JH282" s="30"/>
      <c r="JI282" s="30"/>
      <c r="JJ282" s="30"/>
      <c r="JK282" s="30"/>
      <c r="JL282" s="30"/>
      <c r="JM282" s="30"/>
      <c r="JN282" s="30"/>
      <c r="JO282" s="30"/>
      <c r="JP282" s="30"/>
      <c r="JQ282" s="30"/>
      <c r="JR282" s="30"/>
      <c r="JS282" s="30"/>
      <c r="JT282" s="30"/>
      <c r="JU282" s="30"/>
      <c r="JV282" s="30"/>
      <c r="JW282" s="30"/>
      <c r="JX282" s="30"/>
      <c r="JY282" s="30"/>
      <c r="JZ282" s="30"/>
      <c r="KA282" s="30"/>
      <c r="KB282" s="30"/>
      <c r="KC282" s="30"/>
      <c r="KD282" s="30"/>
      <c r="KE282" s="30"/>
      <c r="KF282" s="30"/>
      <c r="KG282" s="30"/>
      <c r="KH282" s="30"/>
      <c r="KI282" s="30"/>
      <c r="KJ282" s="30"/>
      <c r="KK282" s="30"/>
      <c r="KL282" s="30"/>
      <c r="KM282" s="30"/>
      <c r="KN282" s="30"/>
      <c r="KO282" s="30"/>
      <c r="KP282" s="30"/>
      <c r="KQ282" s="30"/>
      <c r="KR282" s="30"/>
      <c r="KS282" s="30"/>
      <c r="KT282" s="30"/>
      <c r="KU282" s="30"/>
      <c r="KV282" s="30"/>
      <c r="KW282" s="30"/>
      <c r="KX282" s="30"/>
      <c r="KY282" s="30"/>
      <c r="KZ282" s="30"/>
      <c r="LA282" s="30"/>
      <c r="LB282" s="30"/>
      <c r="LC282" s="30"/>
      <c r="LD282" s="30"/>
      <c r="LE282" s="30"/>
      <c r="LF282" s="30"/>
      <c r="LG282" s="30"/>
      <c r="LH282" s="30"/>
      <c r="LI282" s="30"/>
      <c r="LJ282" s="30"/>
      <c r="LK282" s="30"/>
      <c r="LL282" s="30"/>
      <c r="LM282" s="30"/>
      <c r="LN282" s="30"/>
      <c r="LO282" s="30"/>
      <c r="LP282" s="30"/>
      <c r="LQ282" s="30"/>
      <c r="LR282" s="30"/>
      <c r="LS282" s="30"/>
      <c r="LT282" s="30"/>
      <c r="LU282" s="30"/>
      <c r="LV282" s="30"/>
      <c r="LW282" s="30"/>
      <c r="LX282" s="30"/>
      <c r="LY282" s="30"/>
      <c r="LZ282" s="30"/>
      <c r="MA282" s="30"/>
      <c r="MB282" s="30"/>
      <c r="MC282" s="30"/>
      <c r="MD282" s="30"/>
      <c r="ME282" s="30"/>
      <c r="MF282" s="30"/>
      <c r="MG282" s="30"/>
      <c r="MH282" s="30"/>
      <c r="MI282" s="30"/>
      <c r="MJ282" s="30"/>
      <c r="MK282" s="30"/>
      <c r="ML282" s="30"/>
      <c r="MM282" s="30"/>
      <c r="MN282" s="30"/>
      <c r="MO282" s="30"/>
      <c r="MP282" s="30"/>
      <c r="MQ282" s="30"/>
      <c r="MR282" s="30"/>
      <c r="MS282" s="30"/>
      <c r="MT282" s="30"/>
      <c r="MU282" s="30"/>
      <c r="MV282" s="30"/>
      <c r="MW282" s="30"/>
      <c r="MX282" s="30"/>
      <c r="MY282" s="30"/>
      <c r="MZ282" s="30"/>
      <c r="NA282" s="30"/>
      <c r="NB282" s="30"/>
      <c r="NC282" s="30"/>
      <c r="ND282" s="30"/>
      <c r="NE282" s="30"/>
      <c r="NF282" s="30"/>
      <c r="NG282" s="30"/>
      <c r="NH282" s="30"/>
      <c r="NI282" s="30"/>
      <c r="NJ282" s="30"/>
      <c r="NK282" s="30"/>
      <c r="NL282" s="30"/>
      <c r="NM282" s="30"/>
      <c r="NN282" s="30"/>
      <c r="NO282" s="30"/>
      <c r="NP282" s="30"/>
      <c r="NQ282" s="30"/>
      <c r="NR282" s="30"/>
      <c r="NS282" s="30"/>
      <c r="NT282" s="30"/>
      <c r="NU282" s="30"/>
      <c r="NV282" s="30"/>
      <c r="NW282" s="30"/>
      <c r="NX282" s="30"/>
      <c r="NY282" s="30"/>
      <c r="NZ282" s="30"/>
      <c r="OA282" s="30"/>
      <c r="OB282" s="30"/>
      <c r="OC282" s="30"/>
      <c r="OD282" s="30"/>
      <c r="OE282" s="30"/>
      <c r="OF282" s="30"/>
      <c r="OG282" s="30"/>
      <c r="OH282" s="30"/>
      <c r="OI282" s="30"/>
      <c r="OJ282" s="30"/>
      <c r="OK282" s="30"/>
      <c r="OL282" s="30"/>
      <c r="OM282" s="30"/>
      <c r="ON282" s="30"/>
      <c r="OO282" s="30"/>
      <c r="OP282" s="30"/>
      <c r="OQ282" s="30"/>
      <c r="OR282" s="30"/>
      <c r="OS282" s="30"/>
      <c r="OT282" s="30"/>
      <c r="OU282" s="30"/>
      <c r="OV282" s="30"/>
      <c r="OW282" s="30"/>
      <c r="OX282" s="30"/>
      <c r="OY282" s="30"/>
      <c r="OZ282" s="30"/>
      <c r="PA282" s="30"/>
      <c r="PB282" s="30"/>
      <c r="PC282" s="30"/>
      <c r="PD282" s="30"/>
      <c r="PE282" s="30"/>
      <c r="PF282" s="30"/>
      <c r="PG282" s="30"/>
      <c r="PH282" s="30"/>
      <c r="PI282" s="30"/>
      <c r="PJ282" s="30"/>
      <c r="PK282" s="30"/>
      <c r="PL282" s="30"/>
      <c r="PM282" s="30"/>
      <c r="PN282" s="30"/>
      <c r="PO282" s="30"/>
      <c r="PP282" s="30"/>
      <c r="PQ282" s="30"/>
      <c r="PR282" s="30"/>
      <c r="PS282" s="30"/>
      <c r="PT282" s="30"/>
      <c r="PU282" s="30"/>
      <c r="PV282" s="30"/>
      <c r="PW282" s="30"/>
      <c r="PX282" s="30"/>
      <c r="PY282" s="30"/>
      <c r="PZ282" s="30"/>
      <c r="QA282" s="30"/>
      <c r="QB282" s="30"/>
      <c r="QC282" s="30"/>
      <c r="QD282" s="30"/>
      <c r="QE282" s="30"/>
      <c r="QF282" s="30"/>
      <c r="QG282" s="30"/>
      <c r="QH282" s="30"/>
      <c r="QI282" s="30"/>
      <c r="QJ282" s="30"/>
      <c r="QK282" s="30"/>
      <c r="QL282" s="30"/>
      <c r="QM282" s="30"/>
      <c r="QN282" s="30"/>
      <c r="QO282" s="30"/>
      <c r="QP282" s="30"/>
      <c r="QQ282" s="30"/>
      <c r="QR282" s="30"/>
      <c r="QS282" s="30"/>
      <c r="QT282" s="30"/>
      <c r="QU282" s="30"/>
      <c r="QV282" s="30"/>
      <c r="QW282" s="30"/>
      <c r="QX282" s="30"/>
      <c r="QY282" s="30"/>
      <c r="QZ282" s="30"/>
      <c r="RA282" s="30"/>
      <c r="RB282" s="30"/>
      <c r="RC282" s="30"/>
      <c r="RD282" s="30"/>
      <c r="RE282" s="30"/>
      <c r="RF282" s="30"/>
      <c r="RG282" s="30"/>
      <c r="RH282" s="30"/>
      <c r="RI282" s="30"/>
      <c r="RJ282" s="30"/>
      <c r="RK282" s="30"/>
      <c r="RL282" s="30"/>
      <c r="RM282" s="30"/>
      <c r="RN282" s="30"/>
      <c r="RO282" s="30"/>
      <c r="RP282" s="30"/>
      <c r="RQ282" s="30"/>
      <c r="RR282" s="30"/>
      <c r="RS282" s="30"/>
      <c r="RT282" s="30"/>
      <c r="RU282" s="30"/>
      <c r="RV282" s="30"/>
      <c r="RW282" s="30"/>
      <c r="RX282" s="30"/>
      <c r="RY282" s="30"/>
      <c r="RZ282" s="30"/>
      <c r="SA282" s="30"/>
      <c r="SB282" s="30"/>
      <c r="SC282" s="30"/>
      <c r="SD282" s="30"/>
      <c r="SE282" s="30"/>
      <c r="SF282" s="30"/>
      <c r="SG282" s="30"/>
      <c r="SH282" s="30"/>
      <c r="SI282" s="30"/>
      <c r="SJ282" s="30"/>
      <c r="SK282" s="30"/>
      <c r="SL282" s="30"/>
      <c r="SM282" s="30"/>
      <c r="SN282" s="30"/>
      <c r="SO282" s="30"/>
      <c r="SP282" s="30"/>
      <c r="SQ282" s="30"/>
      <c r="SR282" s="30"/>
      <c r="SS282" s="30"/>
      <c r="ST282" s="30"/>
      <c r="SU282" s="30"/>
      <c r="SV282" s="30"/>
      <c r="SW282" s="30"/>
      <c r="SX282" s="30"/>
      <c r="SY282" s="30"/>
      <c r="SZ282" s="30"/>
      <c r="TA282" s="30"/>
      <c r="TB282" s="30"/>
      <c r="TC282" s="30"/>
      <c r="TD282" s="30"/>
      <c r="TE282" s="30"/>
      <c r="TF282" s="30"/>
      <c r="TG282" s="30"/>
    </row>
    <row r="283" spans="1:527" s="22" customFormat="1" ht="126" hidden="1" customHeight="1" x14ac:dyDescent="0.25">
      <c r="A283" s="59" t="s">
        <v>369</v>
      </c>
      <c r="B283" s="93">
        <v>7691</v>
      </c>
      <c r="C283" s="37" t="s">
        <v>82</v>
      </c>
      <c r="D283" s="60" t="s">
        <v>314</v>
      </c>
      <c r="E283" s="99">
        <f t="shared" si="135"/>
        <v>0</v>
      </c>
      <c r="F283" s="99"/>
      <c r="G283" s="99"/>
      <c r="H283" s="99"/>
      <c r="I283" s="99"/>
      <c r="J283" s="99">
        <f t="shared" si="137"/>
        <v>0</v>
      </c>
      <c r="K283" s="99"/>
      <c r="L283" s="113"/>
      <c r="M283" s="99"/>
      <c r="N283" s="99"/>
      <c r="O283" s="99"/>
      <c r="P283" s="99">
        <f t="shared" si="136"/>
        <v>0</v>
      </c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  <c r="TG283" s="23"/>
    </row>
    <row r="284" spans="1:527" s="22" customFormat="1" ht="33.75" customHeight="1" x14ac:dyDescent="0.25">
      <c r="A284" s="59" t="s">
        <v>528</v>
      </c>
      <c r="B284" s="93">
        <v>9750</v>
      </c>
      <c r="C284" s="59" t="s">
        <v>45</v>
      </c>
      <c r="D284" s="60" t="s">
        <v>529</v>
      </c>
      <c r="E284" s="99">
        <f t="shared" ref="E284" si="140">F284+I284</f>
        <v>0</v>
      </c>
      <c r="F284" s="99"/>
      <c r="G284" s="99"/>
      <c r="H284" s="99"/>
      <c r="I284" s="99"/>
      <c r="J284" s="99">
        <f t="shared" ref="J284" si="141">L284+O284</f>
        <v>86000</v>
      </c>
      <c r="K284" s="99">
        <v>86000</v>
      </c>
      <c r="L284" s="113"/>
      <c r="M284" s="99"/>
      <c r="N284" s="99"/>
      <c r="O284" s="99">
        <v>86000</v>
      </c>
      <c r="P284" s="99">
        <f t="shared" ref="P284" si="142">E284+J284</f>
        <v>86000</v>
      </c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</row>
    <row r="285" spans="1:527" s="27" customFormat="1" ht="30.75" customHeight="1" x14ac:dyDescent="0.25">
      <c r="A285" s="110" t="s">
        <v>207</v>
      </c>
      <c r="B285" s="112"/>
      <c r="C285" s="112"/>
      <c r="D285" s="107" t="s">
        <v>40</v>
      </c>
      <c r="E285" s="95">
        <f>E286</f>
        <v>11944507</v>
      </c>
      <c r="F285" s="95">
        <f t="shared" ref="F285:J285" si="143">F286</f>
        <v>11944507</v>
      </c>
      <c r="G285" s="95">
        <f t="shared" si="143"/>
        <v>7405200</v>
      </c>
      <c r="H285" s="95">
        <f t="shared" si="143"/>
        <v>126922</v>
      </c>
      <c r="I285" s="95">
        <f t="shared" si="143"/>
        <v>0</v>
      </c>
      <c r="J285" s="95">
        <f t="shared" si="143"/>
        <v>2596250.2999999998</v>
      </c>
      <c r="K285" s="95">
        <f t="shared" ref="K285" si="144">K286</f>
        <v>0</v>
      </c>
      <c r="L285" s="95">
        <f t="shared" ref="L285" si="145">L286</f>
        <v>2596250.2999999998</v>
      </c>
      <c r="M285" s="95">
        <f t="shared" ref="M285" si="146">M286</f>
        <v>0</v>
      </c>
      <c r="N285" s="95">
        <f t="shared" ref="N285" si="147">N286</f>
        <v>0</v>
      </c>
      <c r="O285" s="95">
        <f t="shared" ref="O285:P285" si="148">O286</f>
        <v>0</v>
      </c>
      <c r="P285" s="95">
        <f t="shared" si="148"/>
        <v>14540757.300000001</v>
      </c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/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  <c r="FK285" s="32"/>
      <c r="FL285" s="32"/>
      <c r="FM285" s="32"/>
      <c r="FN285" s="32"/>
      <c r="FO285" s="32"/>
      <c r="FP285" s="32"/>
      <c r="FQ285" s="32"/>
      <c r="FR285" s="32"/>
      <c r="FS285" s="32"/>
      <c r="FT285" s="32"/>
      <c r="FU285" s="32"/>
      <c r="FV285" s="32"/>
      <c r="FW285" s="32"/>
      <c r="FX285" s="32"/>
      <c r="FY285" s="32"/>
      <c r="FZ285" s="32"/>
      <c r="GA285" s="32"/>
      <c r="GB285" s="32"/>
      <c r="GC285" s="32"/>
      <c r="GD285" s="32"/>
      <c r="GE285" s="32"/>
      <c r="GF285" s="32"/>
      <c r="GG285" s="32"/>
      <c r="GH285" s="32"/>
      <c r="GI285" s="32"/>
      <c r="GJ285" s="32"/>
      <c r="GK285" s="32"/>
      <c r="GL285" s="32"/>
      <c r="GM285" s="32"/>
      <c r="GN285" s="32"/>
      <c r="GO285" s="32"/>
      <c r="GP285" s="32"/>
      <c r="GQ285" s="32"/>
      <c r="GR285" s="32"/>
      <c r="GS285" s="32"/>
      <c r="GT285" s="32"/>
      <c r="GU285" s="32"/>
      <c r="GV285" s="32"/>
      <c r="GW285" s="32"/>
      <c r="GX285" s="32"/>
      <c r="GY285" s="32"/>
      <c r="GZ285" s="32"/>
      <c r="HA285" s="32"/>
      <c r="HB285" s="32"/>
      <c r="HC285" s="32"/>
      <c r="HD285" s="32"/>
      <c r="HE285" s="32"/>
      <c r="HF285" s="32"/>
      <c r="HG285" s="32"/>
      <c r="HH285" s="32"/>
      <c r="HI285" s="32"/>
      <c r="HJ285" s="32"/>
      <c r="HK285" s="32"/>
      <c r="HL285" s="32"/>
      <c r="HM285" s="32"/>
      <c r="HN285" s="32"/>
      <c r="HO285" s="32"/>
      <c r="HP285" s="32"/>
      <c r="HQ285" s="32"/>
      <c r="HR285" s="32"/>
      <c r="HS285" s="32"/>
      <c r="HT285" s="32"/>
      <c r="HU285" s="32"/>
      <c r="HV285" s="32"/>
      <c r="HW285" s="32"/>
      <c r="HX285" s="32"/>
      <c r="HY285" s="32"/>
      <c r="HZ285" s="32"/>
      <c r="IA285" s="32"/>
      <c r="IB285" s="32"/>
      <c r="IC285" s="32"/>
      <c r="ID285" s="32"/>
      <c r="IE285" s="32"/>
      <c r="IF285" s="32"/>
      <c r="IG285" s="32"/>
      <c r="IH285" s="32"/>
      <c r="II285" s="32"/>
      <c r="IJ285" s="32"/>
      <c r="IK285" s="32"/>
      <c r="IL285" s="32"/>
      <c r="IM285" s="32"/>
      <c r="IN285" s="32"/>
      <c r="IO285" s="32"/>
      <c r="IP285" s="32"/>
      <c r="IQ285" s="32"/>
      <c r="IR285" s="32"/>
      <c r="IS285" s="32"/>
      <c r="IT285" s="32"/>
      <c r="IU285" s="32"/>
      <c r="IV285" s="32"/>
      <c r="IW285" s="32"/>
      <c r="IX285" s="32"/>
      <c r="IY285" s="32"/>
      <c r="IZ285" s="32"/>
      <c r="JA285" s="32"/>
      <c r="JB285" s="32"/>
      <c r="JC285" s="32"/>
      <c r="JD285" s="32"/>
      <c r="JE285" s="32"/>
      <c r="JF285" s="32"/>
      <c r="JG285" s="32"/>
      <c r="JH285" s="32"/>
      <c r="JI285" s="32"/>
      <c r="JJ285" s="32"/>
      <c r="JK285" s="32"/>
      <c r="JL285" s="32"/>
      <c r="JM285" s="32"/>
      <c r="JN285" s="32"/>
      <c r="JO285" s="32"/>
      <c r="JP285" s="32"/>
      <c r="JQ285" s="32"/>
      <c r="JR285" s="32"/>
      <c r="JS285" s="32"/>
      <c r="JT285" s="32"/>
      <c r="JU285" s="32"/>
      <c r="JV285" s="32"/>
      <c r="JW285" s="32"/>
      <c r="JX285" s="32"/>
      <c r="JY285" s="32"/>
      <c r="JZ285" s="32"/>
      <c r="KA285" s="32"/>
      <c r="KB285" s="32"/>
      <c r="KC285" s="32"/>
      <c r="KD285" s="32"/>
      <c r="KE285" s="32"/>
      <c r="KF285" s="32"/>
      <c r="KG285" s="32"/>
      <c r="KH285" s="32"/>
      <c r="KI285" s="32"/>
      <c r="KJ285" s="32"/>
      <c r="KK285" s="32"/>
      <c r="KL285" s="32"/>
      <c r="KM285" s="32"/>
      <c r="KN285" s="32"/>
      <c r="KO285" s="32"/>
      <c r="KP285" s="32"/>
      <c r="KQ285" s="32"/>
      <c r="KR285" s="32"/>
      <c r="KS285" s="32"/>
      <c r="KT285" s="32"/>
      <c r="KU285" s="32"/>
      <c r="KV285" s="32"/>
      <c r="KW285" s="32"/>
      <c r="KX285" s="32"/>
      <c r="KY285" s="32"/>
      <c r="KZ285" s="32"/>
      <c r="LA285" s="32"/>
      <c r="LB285" s="32"/>
      <c r="LC285" s="32"/>
      <c r="LD285" s="32"/>
      <c r="LE285" s="32"/>
      <c r="LF285" s="32"/>
      <c r="LG285" s="32"/>
      <c r="LH285" s="32"/>
      <c r="LI285" s="32"/>
      <c r="LJ285" s="32"/>
      <c r="LK285" s="32"/>
      <c r="LL285" s="32"/>
      <c r="LM285" s="32"/>
      <c r="LN285" s="32"/>
      <c r="LO285" s="32"/>
      <c r="LP285" s="32"/>
      <c r="LQ285" s="32"/>
      <c r="LR285" s="32"/>
      <c r="LS285" s="32"/>
      <c r="LT285" s="32"/>
      <c r="LU285" s="32"/>
      <c r="LV285" s="32"/>
      <c r="LW285" s="32"/>
      <c r="LX285" s="32"/>
      <c r="LY285" s="32"/>
      <c r="LZ285" s="32"/>
      <c r="MA285" s="32"/>
      <c r="MB285" s="32"/>
      <c r="MC285" s="32"/>
      <c r="MD285" s="32"/>
      <c r="ME285" s="32"/>
      <c r="MF285" s="32"/>
      <c r="MG285" s="32"/>
      <c r="MH285" s="32"/>
      <c r="MI285" s="32"/>
      <c r="MJ285" s="32"/>
      <c r="MK285" s="32"/>
      <c r="ML285" s="32"/>
      <c r="MM285" s="32"/>
      <c r="MN285" s="32"/>
      <c r="MO285" s="32"/>
      <c r="MP285" s="32"/>
      <c r="MQ285" s="32"/>
      <c r="MR285" s="32"/>
      <c r="MS285" s="32"/>
      <c r="MT285" s="32"/>
      <c r="MU285" s="32"/>
      <c r="MV285" s="32"/>
      <c r="MW285" s="32"/>
      <c r="MX285" s="32"/>
      <c r="MY285" s="32"/>
      <c r="MZ285" s="32"/>
      <c r="NA285" s="32"/>
      <c r="NB285" s="32"/>
      <c r="NC285" s="32"/>
      <c r="ND285" s="32"/>
      <c r="NE285" s="32"/>
      <c r="NF285" s="32"/>
      <c r="NG285" s="32"/>
      <c r="NH285" s="32"/>
      <c r="NI285" s="32"/>
      <c r="NJ285" s="32"/>
      <c r="NK285" s="32"/>
      <c r="NL285" s="32"/>
      <c r="NM285" s="32"/>
      <c r="NN285" s="32"/>
      <c r="NO285" s="32"/>
      <c r="NP285" s="32"/>
      <c r="NQ285" s="32"/>
      <c r="NR285" s="32"/>
      <c r="NS285" s="32"/>
      <c r="NT285" s="32"/>
      <c r="NU285" s="32"/>
      <c r="NV285" s="32"/>
      <c r="NW285" s="32"/>
      <c r="NX285" s="32"/>
      <c r="NY285" s="32"/>
      <c r="NZ285" s="32"/>
      <c r="OA285" s="32"/>
      <c r="OB285" s="32"/>
      <c r="OC285" s="32"/>
      <c r="OD285" s="32"/>
      <c r="OE285" s="32"/>
      <c r="OF285" s="32"/>
      <c r="OG285" s="32"/>
      <c r="OH285" s="32"/>
      <c r="OI285" s="32"/>
      <c r="OJ285" s="32"/>
      <c r="OK285" s="32"/>
      <c r="OL285" s="32"/>
      <c r="OM285" s="32"/>
      <c r="ON285" s="32"/>
      <c r="OO285" s="32"/>
      <c r="OP285" s="32"/>
      <c r="OQ285" s="32"/>
      <c r="OR285" s="32"/>
      <c r="OS285" s="32"/>
      <c r="OT285" s="32"/>
      <c r="OU285" s="32"/>
      <c r="OV285" s="32"/>
      <c r="OW285" s="32"/>
      <c r="OX285" s="32"/>
      <c r="OY285" s="32"/>
      <c r="OZ285" s="32"/>
      <c r="PA285" s="32"/>
      <c r="PB285" s="32"/>
      <c r="PC285" s="32"/>
      <c r="PD285" s="32"/>
      <c r="PE285" s="32"/>
      <c r="PF285" s="32"/>
      <c r="PG285" s="32"/>
      <c r="PH285" s="32"/>
      <c r="PI285" s="32"/>
      <c r="PJ285" s="32"/>
      <c r="PK285" s="32"/>
      <c r="PL285" s="32"/>
      <c r="PM285" s="32"/>
      <c r="PN285" s="32"/>
      <c r="PO285" s="32"/>
      <c r="PP285" s="32"/>
      <c r="PQ285" s="32"/>
      <c r="PR285" s="32"/>
      <c r="PS285" s="32"/>
      <c r="PT285" s="32"/>
      <c r="PU285" s="32"/>
      <c r="PV285" s="32"/>
      <c r="PW285" s="32"/>
      <c r="PX285" s="32"/>
      <c r="PY285" s="32"/>
      <c r="PZ285" s="32"/>
      <c r="QA285" s="32"/>
      <c r="QB285" s="32"/>
      <c r="QC285" s="32"/>
      <c r="QD285" s="32"/>
      <c r="QE285" s="32"/>
      <c r="QF285" s="32"/>
      <c r="QG285" s="32"/>
      <c r="QH285" s="32"/>
      <c r="QI285" s="32"/>
      <c r="QJ285" s="32"/>
      <c r="QK285" s="32"/>
      <c r="QL285" s="32"/>
      <c r="QM285" s="32"/>
      <c r="QN285" s="32"/>
      <c r="QO285" s="32"/>
      <c r="QP285" s="32"/>
      <c r="QQ285" s="32"/>
      <c r="QR285" s="32"/>
      <c r="QS285" s="32"/>
      <c r="QT285" s="32"/>
      <c r="QU285" s="32"/>
      <c r="QV285" s="32"/>
      <c r="QW285" s="32"/>
      <c r="QX285" s="32"/>
      <c r="QY285" s="32"/>
      <c r="QZ285" s="32"/>
      <c r="RA285" s="32"/>
      <c r="RB285" s="32"/>
      <c r="RC285" s="32"/>
      <c r="RD285" s="32"/>
      <c r="RE285" s="32"/>
      <c r="RF285" s="32"/>
      <c r="RG285" s="32"/>
      <c r="RH285" s="32"/>
      <c r="RI285" s="32"/>
      <c r="RJ285" s="32"/>
      <c r="RK285" s="32"/>
      <c r="RL285" s="32"/>
      <c r="RM285" s="32"/>
      <c r="RN285" s="32"/>
      <c r="RO285" s="32"/>
      <c r="RP285" s="32"/>
      <c r="RQ285" s="32"/>
      <c r="RR285" s="32"/>
      <c r="RS285" s="32"/>
      <c r="RT285" s="32"/>
      <c r="RU285" s="32"/>
      <c r="RV285" s="32"/>
      <c r="RW285" s="32"/>
      <c r="RX285" s="32"/>
      <c r="RY285" s="32"/>
      <c r="RZ285" s="32"/>
      <c r="SA285" s="32"/>
      <c r="SB285" s="32"/>
      <c r="SC285" s="32"/>
      <c r="SD285" s="32"/>
      <c r="SE285" s="32"/>
      <c r="SF285" s="32"/>
      <c r="SG285" s="32"/>
      <c r="SH285" s="32"/>
      <c r="SI285" s="32"/>
      <c r="SJ285" s="32"/>
      <c r="SK285" s="32"/>
      <c r="SL285" s="32"/>
      <c r="SM285" s="32"/>
      <c r="SN285" s="32"/>
      <c r="SO285" s="32"/>
      <c r="SP285" s="32"/>
      <c r="SQ285" s="32"/>
      <c r="SR285" s="32"/>
      <c r="SS285" s="32"/>
      <c r="ST285" s="32"/>
      <c r="SU285" s="32"/>
      <c r="SV285" s="32"/>
      <c r="SW285" s="32"/>
      <c r="SX285" s="32"/>
      <c r="SY285" s="32"/>
      <c r="SZ285" s="32"/>
      <c r="TA285" s="32"/>
      <c r="TB285" s="32"/>
      <c r="TC285" s="32"/>
      <c r="TD285" s="32"/>
      <c r="TE285" s="32"/>
      <c r="TF285" s="32"/>
      <c r="TG285" s="32"/>
    </row>
    <row r="286" spans="1:527" s="34" customFormat="1" ht="35.25" customHeight="1" x14ac:dyDescent="0.25">
      <c r="A286" s="96" t="s">
        <v>208</v>
      </c>
      <c r="B286" s="109"/>
      <c r="C286" s="109"/>
      <c r="D286" s="77" t="s">
        <v>40</v>
      </c>
      <c r="E286" s="98">
        <f>E287+E288+E289+E290+E291</f>
        <v>11944507</v>
      </c>
      <c r="F286" s="98">
        <f>F287+F288+F289+F290+F291</f>
        <v>11944507</v>
      </c>
      <c r="G286" s="98">
        <f t="shared" ref="G286:P286" si="149">G287+G288+G289+G290+G291</f>
        <v>7405200</v>
      </c>
      <c r="H286" s="98">
        <f t="shared" si="149"/>
        <v>126922</v>
      </c>
      <c r="I286" s="98">
        <f t="shared" si="149"/>
        <v>0</v>
      </c>
      <c r="J286" s="98">
        <f t="shared" si="149"/>
        <v>2596250.2999999998</v>
      </c>
      <c r="K286" s="98">
        <f t="shared" si="149"/>
        <v>0</v>
      </c>
      <c r="L286" s="98">
        <f t="shared" si="149"/>
        <v>2596250.2999999998</v>
      </c>
      <c r="M286" s="98">
        <f t="shared" si="149"/>
        <v>0</v>
      </c>
      <c r="N286" s="98">
        <f t="shared" si="149"/>
        <v>0</v>
      </c>
      <c r="O286" s="98">
        <f t="shared" si="149"/>
        <v>0</v>
      </c>
      <c r="P286" s="98">
        <f t="shared" si="149"/>
        <v>14540757.300000001</v>
      </c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  <c r="GE286" s="33"/>
      <c r="GF286" s="33"/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33"/>
      <c r="GZ286" s="33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  <c r="IU286" s="33"/>
      <c r="IV286" s="33"/>
      <c r="IW286" s="33"/>
      <c r="IX286" s="33"/>
      <c r="IY286" s="33"/>
      <c r="IZ286" s="33"/>
      <c r="JA286" s="33"/>
      <c r="JB286" s="33"/>
      <c r="JC286" s="33"/>
      <c r="JD286" s="33"/>
      <c r="JE286" s="33"/>
      <c r="JF286" s="33"/>
      <c r="JG286" s="33"/>
      <c r="JH286" s="33"/>
      <c r="JI286" s="33"/>
      <c r="JJ286" s="33"/>
      <c r="JK286" s="33"/>
      <c r="JL286" s="33"/>
      <c r="JM286" s="33"/>
      <c r="JN286" s="33"/>
      <c r="JO286" s="33"/>
      <c r="JP286" s="33"/>
      <c r="JQ286" s="33"/>
      <c r="JR286" s="33"/>
      <c r="JS286" s="33"/>
      <c r="JT286" s="33"/>
      <c r="JU286" s="33"/>
      <c r="JV286" s="33"/>
      <c r="JW286" s="33"/>
      <c r="JX286" s="33"/>
      <c r="JY286" s="33"/>
      <c r="JZ286" s="33"/>
      <c r="KA286" s="33"/>
      <c r="KB286" s="33"/>
      <c r="KC286" s="33"/>
      <c r="KD286" s="33"/>
      <c r="KE286" s="33"/>
      <c r="KF286" s="33"/>
      <c r="KG286" s="33"/>
      <c r="KH286" s="33"/>
      <c r="KI286" s="33"/>
      <c r="KJ286" s="33"/>
      <c r="KK286" s="33"/>
      <c r="KL286" s="33"/>
      <c r="KM286" s="33"/>
      <c r="KN286" s="33"/>
      <c r="KO286" s="33"/>
      <c r="KP286" s="33"/>
      <c r="KQ286" s="33"/>
      <c r="KR286" s="33"/>
      <c r="KS286" s="33"/>
      <c r="KT286" s="33"/>
      <c r="KU286" s="33"/>
      <c r="KV286" s="33"/>
      <c r="KW286" s="33"/>
      <c r="KX286" s="33"/>
      <c r="KY286" s="33"/>
      <c r="KZ286" s="33"/>
      <c r="LA286" s="33"/>
      <c r="LB286" s="33"/>
      <c r="LC286" s="33"/>
      <c r="LD286" s="33"/>
      <c r="LE286" s="33"/>
      <c r="LF286" s="33"/>
      <c r="LG286" s="33"/>
      <c r="LH286" s="33"/>
      <c r="LI286" s="33"/>
      <c r="LJ286" s="33"/>
      <c r="LK286" s="33"/>
      <c r="LL286" s="33"/>
      <c r="LM286" s="33"/>
      <c r="LN286" s="33"/>
      <c r="LO286" s="33"/>
      <c r="LP286" s="33"/>
      <c r="LQ286" s="33"/>
      <c r="LR286" s="33"/>
      <c r="LS286" s="33"/>
      <c r="LT286" s="33"/>
      <c r="LU286" s="33"/>
      <c r="LV286" s="33"/>
      <c r="LW286" s="33"/>
      <c r="LX286" s="33"/>
      <c r="LY286" s="33"/>
      <c r="LZ286" s="33"/>
      <c r="MA286" s="33"/>
      <c r="MB286" s="33"/>
      <c r="MC286" s="33"/>
      <c r="MD286" s="33"/>
      <c r="ME286" s="33"/>
      <c r="MF286" s="33"/>
      <c r="MG286" s="33"/>
      <c r="MH286" s="33"/>
      <c r="MI286" s="33"/>
      <c r="MJ286" s="33"/>
      <c r="MK286" s="33"/>
      <c r="ML286" s="33"/>
      <c r="MM286" s="33"/>
      <c r="MN286" s="33"/>
      <c r="MO286" s="33"/>
      <c r="MP286" s="33"/>
      <c r="MQ286" s="33"/>
      <c r="MR286" s="33"/>
      <c r="MS286" s="33"/>
      <c r="MT286" s="33"/>
      <c r="MU286" s="33"/>
      <c r="MV286" s="33"/>
      <c r="MW286" s="33"/>
      <c r="MX286" s="33"/>
      <c r="MY286" s="33"/>
      <c r="MZ286" s="33"/>
      <c r="NA286" s="33"/>
      <c r="NB286" s="33"/>
      <c r="NC286" s="33"/>
      <c r="ND286" s="33"/>
      <c r="NE286" s="33"/>
      <c r="NF286" s="33"/>
      <c r="NG286" s="33"/>
      <c r="NH286" s="33"/>
      <c r="NI286" s="33"/>
      <c r="NJ286" s="33"/>
      <c r="NK286" s="33"/>
      <c r="NL286" s="33"/>
      <c r="NM286" s="33"/>
      <c r="NN286" s="33"/>
      <c r="NO286" s="33"/>
      <c r="NP286" s="33"/>
      <c r="NQ286" s="33"/>
      <c r="NR286" s="33"/>
      <c r="NS286" s="33"/>
      <c r="NT286" s="33"/>
      <c r="NU286" s="33"/>
      <c r="NV286" s="33"/>
      <c r="NW286" s="33"/>
      <c r="NX286" s="33"/>
      <c r="NY286" s="33"/>
      <c r="NZ286" s="33"/>
      <c r="OA286" s="33"/>
      <c r="OB286" s="33"/>
      <c r="OC286" s="33"/>
      <c r="OD286" s="33"/>
      <c r="OE286" s="33"/>
      <c r="OF286" s="33"/>
      <c r="OG286" s="33"/>
      <c r="OH286" s="33"/>
      <c r="OI286" s="33"/>
      <c r="OJ286" s="33"/>
      <c r="OK286" s="33"/>
      <c r="OL286" s="33"/>
      <c r="OM286" s="33"/>
      <c r="ON286" s="33"/>
      <c r="OO286" s="33"/>
      <c r="OP286" s="33"/>
      <c r="OQ286" s="33"/>
      <c r="OR286" s="33"/>
      <c r="OS286" s="33"/>
      <c r="OT286" s="33"/>
      <c r="OU286" s="33"/>
      <c r="OV286" s="33"/>
      <c r="OW286" s="33"/>
      <c r="OX286" s="33"/>
      <c r="OY286" s="33"/>
      <c r="OZ286" s="33"/>
      <c r="PA286" s="33"/>
      <c r="PB286" s="33"/>
      <c r="PC286" s="33"/>
      <c r="PD286" s="33"/>
      <c r="PE286" s="33"/>
      <c r="PF286" s="33"/>
      <c r="PG286" s="33"/>
      <c r="PH286" s="33"/>
      <c r="PI286" s="33"/>
      <c r="PJ286" s="33"/>
      <c r="PK286" s="33"/>
      <c r="PL286" s="33"/>
      <c r="PM286" s="33"/>
      <c r="PN286" s="33"/>
      <c r="PO286" s="33"/>
      <c r="PP286" s="33"/>
      <c r="PQ286" s="33"/>
      <c r="PR286" s="33"/>
      <c r="PS286" s="33"/>
      <c r="PT286" s="33"/>
      <c r="PU286" s="33"/>
      <c r="PV286" s="33"/>
      <c r="PW286" s="33"/>
      <c r="PX286" s="33"/>
      <c r="PY286" s="33"/>
      <c r="PZ286" s="33"/>
      <c r="QA286" s="33"/>
      <c r="QB286" s="33"/>
      <c r="QC286" s="33"/>
      <c r="QD286" s="33"/>
      <c r="QE286" s="33"/>
      <c r="QF286" s="33"/>
      <c r="QG286" s="33"/>
      <c r="QH286" s="33"/>
      <c r="QI286" s="33"/>
      <c r="QJ286" s="33"/>
      <c r="QK286" s="33"/>
      <c r="QL286" s="33"/>
      <c r="QM286" s="33"/>
      <c r="QN286" s="33"/>
      <c r="QO286" s="33"/>
      <c r="QP286" s="33"/>
      <c r="QQ286" s="33"/>
      <c r="QR286" s="33"/>
      <c r="QS286" s="33"/>
      <c r="QT286" s="33"/>
      <c r="QU286" s="33"/>
      <c r="QV286" s="33"/>
      <c r="QW286" s="33"/>
      <c r="QX286" s="33"/>
      <c r="QY286" s="33"/>
      <c r="QZ286" s="33"/>
      <c r="RA286" s="33"/>
      <c r="RB286" s="33"/>
      <c r="RC286" s="33"/>
      <c r="RD286" s="33"/>
      <c r="RE286" s="33"/>
      <c r="RF286" s="33"/>
      <c r="RG286" s="33"/>
      <c r="RH286" s="33"/>
      <c r="RI286" s="33"/>
      <c r="RJ286" s="33"/>
      <c r="RK286" s="33"/>
      <c r="RL286" s="33"/>
      <c r="RM286" s="33"/>
      <c r="RN286" s="33"/>
      <c r="RO286" s="33"/>
      <c r="RP286" s="33"/>
      <c r="RQ286" s="33"/>
      <c r="RR286" s="33"/>
      <c r="RS286" s="33"/>
      <c r="RT286" s="33"/>
      <c r="RU286" s="33"/>
      <c r="RV286" s="33"/>
      <c r="RW286" s="33"/>
      <c r="RX286" s="33"/>
      <c r="RY286" s="33"/>
      <c r="RZ286" s="33"/>
      <c r="SA286" s="33"/>
      <c r="SB286" s="33"/>
      <c r="SC286" s="33"/>
      <c r="SD286" s="33"/>
      <c r="SE286" s="33"/>
      <c r="SF286" s="33"/>
      <c r="SG286" s="33"/>
      <c r="SH286" s="33"/>
      <c r="SI286" s="33"/>
      <c r="SJ286" s="33"/>
      <c r="SK286" s="33"/>
      <c r="SL286" s="33"/>
      <c r="SM286" s="33"/>
      <c r="SN286" s="33"/>
      <c r="SO286" s="33"/>
      <c r="SP286" s="33"/>
      <c r="SQ286" s="33"/>
      <c r="SR286" s="33"/>
      <c r="SS286" s="33"/>
      <c r="ST286" s="33"/>
      <c r="SU286" s="33"/>
      <c r="SV286" s="33"/>
      <c r="SW286" s="33"/>
      <c r="SX286" s="33"/>
      <c r="SY286" s="33"/>
      <c r="SZ286" s="33"/>
      <c r="TA286" s="33"/>
      <c r="TB286" s="33"/>
      <c r="TC286" s="33"/>
      <c r="TD286" s="33"/>
      <c r="TE286" s="33"/>
      <c r="TF286" s="33"/>
      <c r="TG286" s="33"/>
    </row>
    <row r="287" spans="1:527" s="22" customFormat="1" ht="47.25" x14ac:dyDescent="0.25">
      <c r="A287" s="59" t="s">
        <v>209</v>
      </c>
      <c r="B287" s="93" t="str">
        <f>'дод 8'!A19</f>
        <v>0160</v>
      </c>
      <c r="C287" s="93" t="str">
        <f>'дод 8'!B19</f>
        <v>0111</v>
      </c>
      <c r="D287" s="36" t="s">
        <v>494</v>
      </c>
      <c r="E287" s="99">
        <f>F287+I287</f>
        <v>9509241</v>
      </c>
      <c r="F287" s="99">
        <f>9390500+40922+48490+29329</f>
        <v>9509241</v>
      </c>
      <c r="G287" s="99">
        <v>7405200</v>
      </c>
      <c r="H287" s="99">
        <f>86000+40922</f>
        <v>126922</v>
      </c>
      <c r="I287" s="99"/>
      <c r="J287" s="99">
        <f t="shared" si="137"/>
        <v>0</v>
      </c>
      <c r="K287" s="99"/>
      <c r="L287" s="99"/>
      <c r="M287" s="99"/>
      <c r="N287" s="99"/>
      <c r="O287" s="99"/>
      <c r="P287" s="99">
        <f>E287+J287</f>
        <v>9509241</v>
      </c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</row>
    <row r="288" spans="1:527" s="22" customFormat="1" ht="31.5" x14ac:dyDescent="0.25">
      <c r="A288" s="59" t="s">
        <v>311</v>
      </c>
      <c r="B288" s="93" t="str">
        <f>'дод 8'!A166</f>
        <v>6090</v>
      </c>
      <c r="C288" s="93" t="str">
        <f>'дод 8'!B166</f>
        <v>0640</v>
      </c>
      <c r="D288" s="60" t="str">
        <f>'дод 8'!C166</f>
        <v>Інша діяльність у сфері житлово-комунального господарства</v>
      </c>
      <c r="E288" s="99">
        <f>F288+I288</f>
        <v>175000</v>
      </c>
      <c r="F288" s="99">
        <v>175000</v>
      </c>
      <c r="G288" s="99"/>
      <c r="H288" s="99"/>
      <c r="I288" s="99"/>
      <c r="J288" s="99">
        <f t="shared" si="137"/>
        <v>0</v>
      </c>
      <c r="K288" s="99"/>
      <c r="L288" s="99"/>
      <c r="M288" s="99"/>
      <c r="N288" s="99"/>
      <c r="O288" s="99"/>
      <c r="P288" s="99">
        <f>E288+J288</f>
        <v>175000</v>
      </c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  <c r="TG288" s="23"/>
    </row>
    <row r="289" spans="1:527" s="22" customFormat="1" ht="31.5" hidden="1" x14ac:dyDescent="0.25">
      <c r="A289" s="59" t="s">
        <v>458</v>
      </c>
      <c r="B289" s="59" t="s">
        <v>459</v>
      </c>
      <c r="C289" s="59" t="s">
        <v>111</v>
      </c>
      <c r="D289" s="60" t="s">
        <v>460</v>
      </c>
      <c r="E289" s="99">
        <f>F289+I289</f>
        <v>0</v>
      </c>
      <c r="F289" s="99"/>
      <c r="G289" s="99"/>
      <c r="H289" s="99"/>
      <c r="I289" s="99"/>
      <c r="J289" s="99">
        <f t="shared" si="137"/>
        <v>0</v>
      </c>
      <c r="K289" s="99">
        <f>900000-900000</f>
        <v>0</v>
      </c>
      <c r="L289" s="99"/>
      <c r="M289" s="99"/>
      <c r="N289" s="99"/>
      <c r="O289" s="99">
        <f>900000-900000</f>
        <v>0</v>
      </c>
      <c r="P289" s="99">
        <f>E289+J289</f>
        <v>0</v>
      </c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</row>
    <row r="290" spans="1:527" s="22" customFormat="1" ht="31.5" x14ac:dyDescent="0.25">
      <c r="A290" s="59" t="s">
        <v>555</v>
      </c>
      <c r="B290" s="59" t="s">
        <v>556</v>
      </c>
      <c r="C290" s="59" t="s">
        <v>82</v>
      </c>
      <c r="D290" s="60" t="s">
        <v>431</v>
      </c>
      <c r="E290" s="99">
        <f>F290+I290</f>
        <v>2260266</v>
      </c>
      <c r="F290" s="99">
        <f>1360266+900000</f>
        <v>2260266</v>
      </c>
      <c r="G290" s="99"/>
      <c r="H290" s="99"/>
      <c r="I290" s="99"/>
      <c r="J290" s="99">
        <f t="shared" ref="J290" si="150">L290+O290</f>
        <v>0</v>
      </c>
      <c r="K290" s="99"/>
      <c r="L290" s="99"/>
      <c r="M290" s="99"/>
      <c r="N290" s="99"/>
      <c r="O290" s="99"/>
      <c r="P290" s="99">
        <f>E290+J290</f>
        <v>2260266</v>
      </c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  <c r="TG290" s="23"/>
    </row>
    <row r="291" spans="1:527" s="22" customFormat="1" ht="112.5" customHeight="1" x14ac:dyDescent="0.25">
      <c r="A291" s="103" t="s">
        <v>299</v>
      </c>
      <c r="B291" s="42" t="str">
        <f>'дод 8'!A222</f>
        <v>7691</v>
      </c>
      <c r="C291" s="42" t="str">
        <f>'дод 8'!B222</f>
        <v>0490</v>
      </c>
      <c r="D291" s="36" t="str">
        <f>'дод 8'!C222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1" s="99">
        <f>F291+I291</f>
        <v>0</v>
      </c>
      <c r="F291" s="99"/>
      <c r="G291" s="99"/>
      <c r="H291" s="99"/>
      <c r="I291" s="99"/>
      <c r="J291" s="99">
        <f t="shared" si="137"/>
        <v>2596250.2999999998</v>
      </c>
      <c r="K291" s="99"/>
      <c r="L291" s="99">
        <f>1060391+1535859.3</f>
        <v>2596250.2999999998</v>
      </c>
      <c r="M291" s="99"/>
      <c r="N291" s="99"/>
      <c r="O291" s="99"/>
      <c r="P291" s="99">
        <f>E291+J291</f>
        <v>2596250.2999999998</v>
      </c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</row>
    <row r="292" spans="1:527" s="27" customFormat="1" ht="34.5" customHeight="1" x14ac:dyDescent="0.25">
      <c r="A292" s="110" t="s">
        <v>212</v>
      </c>
      <c r="B292" s="112"/>
      <c r="C292" s="112"/>
      <c r="D292" s="107" t="s">
        <v>42</v>
      </c>
      <c r="E292" s="95">
        <f>E293</f>
        <v>4340725</v>
      </c>
      <c r="F292" s="95">
        <f t="shared" ref="F292:J293" si="151">F293</f>
        <v>4340725</v>
      </c>
      <c r="G292" s="95">
        <f t="shared" si="151"/>
        <v>3301600</v>
      </c>
      <c r="H292" s="95">
        <f t="shared" si="151"/>
        <v>65425</v>
      </c>
      <c r="I292" s="95">
        <f t="shared" si="151"/>
        <v>0</v>
      </c>
      <c r="J292" s="95">
        <f t="shared" si="151"/>
        <v>0</v>
      </c>
      <c r="K292" s="95">
        <f t="shared" ref="K292:K293" si="152">K293</f>
        <v>0</v>
      </c>
      <c r="L292" s="95">
        <f t="shared" ref="L292:L293" si="153">L293</f>
        <v>0</v>
      </c>
      <c r="M292" s="95">
        <f t="shared" ref="M292:M293" si="154">M293</f>
        <v>0</v>
      </c>
      <c r="N292" s="95">
        <f t="shared" ref="N292:N293" si="155">N293</f>
        <v>0</v>
      </c>
      <c r="O292" s="95">
        <f t="shared" ref="O292:P293" si="156">O293</f>
        <v>0</v>
      </c>
      <c r="P292" s="95">
        <f t="shared" si="156"/>
        <v>4340725</v>
      </c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  <c r="IP292" s="32"/>
      <c r="IQ292" s="32"/>
      <c r="IR292" s="32"/>
      <c r="IS292" s="32"/>
      <c r="IT292" s="32"/>
      <c r="IU292" s="32"/>
      <c r="IV292" s="32"/>
      <c r="IW292" s="32"/>
      <c r="IX292" s="32"/>
      <c r="IY292" s="32"/>
      <c r="IZ292" s="32"/>
      <c r="JA292" s="32"/>
      <c r="JB292" s="32"/>
      <c r="JC292" s="32"/>
      <c r="JD292" s="32"/>
      <c r="JE292" s="32"/>
      <c r="JF292" s="32"/>
      <c r="JG292" s="32"/>
      <c r="JH292" s="32"/>
      <c r="JI292" s="32"/>
      <c r="JJ292" s="32"/>
      <c r="JK292" s="32"/>
      <c r="JL292" s="32"/>
      <c r="JM292" s="32"/>
      <c r="JN292" s="32"/>
      <c r="JO292" s="32"/>
      <c r="JP292" s="32"/>
      <c r="JQ292" s="32"/>
      <c r="JR292" s="32"/>
      <c r="JS292" s="32"/>
      <c r="JT292" s="32"/>
      <c r="JU292" s="32"/>
      <c r="JV292" s="32"/>
      <c r="JW292" s="32"/>
      <c r="JX292" s="32"/>
      <c r="JY292" s="32"/>
      <c r="JZ292" s="32"/>
      <c r="KA292" s="32"/>
      <c r="KB292" s="32"/>
      <c r="KC292" s="32"/>
      <c r="KD292" s="32"/>
      <c r="KE292" s="32"/>
      <c r="KF292" s="32"/>
      <c r="KG292" s="32"/>
      <c r="KH292" s="32"/>
      <c r="KI292" s="32"/>
      <c r="KJ292" s="32"/>
      <c r="KK292" s="32"/>
      <c r="KL292" s="32"/>
      <c r="KM292" s="32"/>
      <c r="KN292" s="32"/>
      <c r="KO292" s="32"/>
      <c r="KP292" s="32"/>
      <c r="KQ292" s="32"/>
      <c r="KR292" s="32"/>
      <c r="KS292" s="32"/>
      <c r="KT292" s="32"/>
      <c r="KU292" s="32"/>
      <c r="KV292" s="32"/>
      <c r="KW292" s="32"/>
      <c r="KX292" s="32"/>
      <c r="KY292" s="32"/>
      <c r="KZ292" s="32"/>
      <c r="LA292" s="32"/>
      <c r="LB292" s="32"/>
      <c r="LC292" s="32"/>
      <c r="LD292" s="32"/>
      <c r="LE292" s="32"/>
      <c r="LF292" s="32"/>
      <c r="LG292" s="32"/>
      <c r="LH292" s="32"/>
      <c r="LI292" s="32"/>
      <c r="LJ292" s="32"/>
      <c r="LK292" s="32"/>
      <c r="LL292" s="32"/>
      <c r="LM292" s="32"/>
      <c r="LN292" s="32"/>
      <c r="LO292" s="32"/>
      <c r="LP292" s="32"/>
      <c r="LQ292" s="32"/>
      <c r="LR292" s="32"/>
      <c r="LS292" s="32"/>
      <c r="LT292" s="32"/>
      <c r="LU292" s="32"/>
      <c r="LV292" s="32"/>
      <c r="LW292" s="32"/>
      <c r="LX292" s="32"/>
      <c r="LY292" s="32"/>
      <c r="LZ292" s="32"/>
      <c r="MA292" s="32"/>
      <c r="MB292" s="32"/>
      <c r="MC292" s="32"/>
      <c r="MD292" s="32"/>
      <c r="ME292" s="32"/>
      <c r="MF292" s="32"/>
      <c r="MG292" s="32"/>
      <c r="MH292" s="32"/>
      <c r="MI292" s="32"/>
      <c r="MJ292" s="32"/>
      <c r="MK292" s="32"/>
      <c r="ML292" s="32"/>
      <c r="MM292" s="32"/>
      <c r="MN292" s="32"/>
      <c r="MO292" s="32"/>
      <c r="MP292" s="32"/>
      <c r="MQ292" s="32"/>
      <c r="MR292" s="32"/>
      <c r="MS292" s="32"/>
      <c r="MT292" s="32"/>
      <c r="MU292" s="32"/>
      <c r="MV292" s="32"/>
      <c r="MW292" s="32"/>
      <c r="MX292" s="32"/>
      <c r="MY292" s="32"/>
      <c r="MZ292" s="32"/>
      <c r="NA292" s="32"/>
      <c r="NB292" s="32"/>
      <c r="NC292" s="32"/>
      <c r="ND292" s="32"/>
      <c r="NE292" s="32"/>
      <c r="NF292" s="32"/>
      <c r="NG292" s="32"/>
      <c r="NH292" s="32"/>
      <c r="NI292" s="32"/>
      <c r="NJ292" s="32"/>
      <c r="NK292" s="32"/>
      <c r="NL292" s="32"/>
      <c r="NM292" s="32"/>
      <c r="NN292" s="32"/>
      <c r="NO292" s="32"/>
      <c r="NP292" s="32"/>
      <c r="NQ292" s="32"/>
      <c r="NR292" s="32"/>
      <c r="NS292" s="32"/>
      <c r="NT292" s="32"/>
      <c r="NU292" s="32"/>
      <c r="NV292" s="32"/>
      <c r="NW292" s="32"/>
      <c r="NX292" s="32"/>
      <c r="NY292" s="32"/>
      <c r="NZ292" s="32"/>
      <c r="OA292" s="32"/>
      <c r="OB292" s="32"/>
      <c r="OC292" s="32"/>
      <c r="OD292" s="32"/>
      <c r="OE292" s="32"/>
      <c r="OF292" s="32"/>
      <c r="OG292" s="32"/>
      <c r="OH292" s="32"/>
      <c r="OI292" s="32"/>
      <c r="OJ292" s="32"/>
      <c r="OK292" s="32"/>
      <c r="OL292" s="32"/>
      <c r="OM292" s="32"/>
      <c r="ON292" s="32"/>
      <c r="OO292" s="32"/>
      <c r="OP292" s="32"/>
      <c r="OQ292" s="32"/>
      <c r="OR292" s="32"/>
      <c r="OS292" s="32"/>
      <c r="OT292" s="32"/>
      <c r="OU292" s="32"/>
      <c r="OV292" s="32"/>
      <c r="OW292" s="32"/>
      <c r="OX292" s="32"/>
      <c r="OY292" s="32"/>
      <c r="OZ292" s="32"/>
      <c r="PA292" s="32"/>
      <c r="PB292" s="32"/>
      <c r="PC292" s="32"/>
      <c r="PD292" s="32"/>
      <c r="PE292" s="32"/>
      <c r="PF292" s="32"/>
      <c r="PG292" s="32"/>
      <c r="PH292" s="32"/>
      <c r="PI292" s="32"/>
      <c r="PJ292" s="32"/>
      <c r="PK292" s="32"/>
      <c r="PL292" s="32"/>
      <c r="PM292" s="32"/>
      <c r="PN292" s="32"/>
      <c r="PO292" s="32"/>
      <c r="PP292" s="32"/>
      <c r="PQ292" s="32"/>
      <c r="PR292" s="32"/>
      <c r="PS292" s="32"/>
      <c r="PT292" s="32"/>
      <c r="PU292" s="32"/>
      <c r="PV292" s="32"/>
      <c r="PW292" s="32"/>
      <c r="PX292" s="32"/>
      <c r="PY292" s="32"/>
      <c r="PZ292" s="32"/>
      <c r="QA292" s="32"/>
      <c r="QB292" s="32"/>
      <c r="QC292" s="32"/>
      <c r="QD292" s="32"/>
      <c r="QE292" s="32"/>
      <c r="QF292" s="32"/>
      <c r="QG292" s="32"/>
      <c r="QH292" s="32"/>
      <c r="QI292" s="32"/>
      <c r="QJ292" s="32"/>
      <c r="QK292" s="32"/>
      <c r="QL292" s="32"/>
      <c r="QM292" s="32"/>
      <c r="QN292" s="32"/>
      <c r="QO292" s="32"/>
      <c r="QP292" s="32"/>
      <c r="QQ292" s="32"/>
      <c r="QR292" s="32"/>
      <c r="QS292" s="32"/>
      <c r="QT292" s="32"/>
      <c r="QU292" s="32"/>
      <c r="QV292" s="32"/>
      <c r="QW292" s="32"/>
      <c r="QX292" s="32"/>
      <c r="QY292" s="32"/>
      <c r="QZ292" s="32"/>
      <c r="RA292" s="32"/>
      <c r="RB292" s="32"/>
      <c r="RC292" s="32"/>
      <c r="RD292" s="32"/>
      <c r="RE292" s="32"/>
      <c r="RF292" s="32"/>
      <c r="RG292" s="32"/>
      <c r="RH292" s="32"/>
      <c r="RI292" s="32"/>
      <c r="RJ292" s="32"/>
      <c r="RK292" s="32"/>
      <c r="RL292" s="32"/>
      <c r="RM292" s="32"/>
      <c r="RN292" s="32"/>
      <c r="RO292" s="32"/>
      <c r="RP292" s="32"/>
      <c r="RQ292" s="32"/>
      <c r="RR292" s="32"/>
      <c r="RS292" s="32"/>
      <c r="RT292" s="32"/>
      <c r="RU292" s="32"/>
      <c r="RV292" s="32"/>
      <c r="RW292" s="32"/>
      <c r="RX292" s="32"/>
      <c r="RY292" s="32"/>
      <c r="RZ292" s="32"/>
      <c r="SA292" s="32"/>
      <c r="SB292" s="32"/>
      <c r="SC292" s="32"/>
      <c r="SD292" s="32"/>
      <c r="SE292" s="32"/>
      <c r="SF292" s="32"/>
      <c r="SG292" s="32"/>
      <c r="SH292" s="32"/>
      <c r="SI292" s="32"/>
      <c r="SJ292" s="32"/>
      <c r="SK292" s="32"/>
      <c r="SL292" s="32"/>
      <c r="SM292" s="32"/>
      <c r="SN292" s="32"/>
      <c r="SO292" s="32"/>
      <c r="SP292" s="32"/>
      <c r="SQ292" s="32"/>
      <c r="SR292" s="32"/>
      <c r="SS292" s="32"/>
      <c r="ST292" s="32"/>
      <c r="SU292" s="32"/>
      <c r="SV292" s="32"/>
      <c r="SW292" s="32"/>
      <c r="SX292" s="32"/>
      <c r="SY292" s="32"/>
      <c r="SZ292" s="32"/>
      <c r="TA292" s="32"/>
      <c r="TB292" s="32"/>
      <c r="TC292" s="32"/>
      <c r="TD292" s="32"/>
      <c r="TE292" s="32"/>
      <c r="TF292" s="32"/>
      <c r="TG292" s="32"/>
    </row>
    <row r="293" spans="1:527" s="34" customFormat="1" ht="35.25" customHeight="1" x14ac:dyDescent="0.25">
      <c r="A293" s="96" t="s">
        <v>210</v>
      </c>
      <c r="B293" s="109"/>
      <c r="C293" s="109"/>
      <c r="D293" s="77" t="s">
        <v>42</v>
      </c>
      <c r="E293" s="98">
        <f>E294</f>
        <v>4340725</v>
      </c>
      <c r="F293" s="98">
        <f t="shared" si="151"/>
        <v>4340725</v>
      </c>
      <c r="G293" s="98">
        <f t="shared" si="151"/>
        <v>3301600</v>
      </c>
      <c r="H293" s="98">
        <f t="shared" si="151"/>
        <v>65425</v>
      </c>
      <c r="I293" s="98">
        <f t="shared" si="151"/>
        <v>0</v>
      </c>
      <c r="J293" s="98">
        <f t="shared" si="151"/>
        <v>0</v>
      </c>
      <c r="K293" s="98">
        <f t="shared" si="152"/>
        <v>0</v>
      </c>
      <c r="L293" s="98">
        <f t="shared" si="153"/>
        <v>0</v>
      </c>
      <c r="M293" s="98">
        <f t="shared" si="154"/>
        <v>0</v>
      </c>
      <c r="N293" s="98">
        <f t="shared" si="155"/>
        <v>0</v>
      </c>
      <c r="O293" s="98">
        <f t="shared" si="156"/>
        <v>0</v>
      </c>
      <c r="P293" s="98">
        <f t="shared" si="156"/>
        <v>4340725</v>
      </c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  <c r="GE293" s="33"/>
      <c r="GF293" s="33"/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33"/>
      <c r="GZ293" s="33"/>
      <c r="HA293" s="33"/>
      <c r="HB293" s="33"/>
      <c r="HC293" s="33"/>
      <c r="HD293" s="33"/>
      <c r="HE293" s="33"/>
      <c r="HF293" s="33"/>
      <c r="HG293" s="33"/>
      <c r="HH293" s="33"/>
      <c r="HI293" s="33"/>
      <c r="HJ293" s="33"/>
      <c r="HK293" s="33"/>
      <c r="HL293" s="33"/>
      <c r="HM293" s="33"/>
      <c r="HN293" s="33"/>
      <c r="HO293" s="33"/>
      <c r="HP293" s="33"/>
      <c r="HQ293" s="33"/>
      <c r="HR293" s="33"/>
      <c r="HS293" s="33"/>
      <c r="HT293" s="33"/>
      <c r="HU293" s="33"/>
      <c r="HV293" s="33"/>
      <c r="HW293" s="33"/>
      <c r="HX293" s="33"/>
      <c r="HY293" s="33"/>
      <c r="HZ293" s="33"/>
      <c r="IA293" s="33"/>
      <c r="IB293" s="33"/>
      <c r="IC293" s="33"/>
      <c r="ID293" s="33"/>
      <c r="IE293" s="33"/>
      <c r="IF293" s="33"/>
      <c r="IG293" s="33"/>
      <c r="IH293" s="33"/>
      <c r="II293" s="33"/>
      <c r="IJ293" s="33"/>
      <c r="IK293" s="33"/>
      <c r="IL293" s="33"/>
      <c r="IM293" s="33"/>
      <c r="IN293" s="33"/>
      <c r="IO293" s="33"/>
      <c r="IP293" s="33"/>
      <c r="IQ293" s="33"/>
      <c r="IR293" s="33"/>
      <c r="IS293" s="33"/>
      <c r="IT293" s="33"/>
      <c r="IU293" s="33"/>
      <c r="IV293" s="33"/>
      <c r="IW293" s="33"/>
      <c r="IX293" s="33"/>
      <c r="IY293" s="33"/>
      <c r="IZ293" s="33"/>
      <c r="JA293" s="33"/>
      <c r="JB293" s="33"/>
      <c r="JC293" s="33"/>
      <c r="JD293" s="33"/>
      <c r="JE293" s="33"/>
      <c r="JF293" s="33"/>
      <c r="JG293" s="33"/>
      <c r="JH293" s="33"/>
      <c r="JI293" s="33"/>
      <c r="JJ293" s="33"/>
      <c r="JK293" s="33"/>
      <c r="JL293" s="33"/>
      <c r="JM293" s="33"/>
      <c r="JN293" s="33"/>
      <c r="JO293" s="33"/>
      <c r="JP293" s="33"/>
      <c r="JQ293" s="33"/>
      <c r="JR293" s="33"/>
      <c r="JS293" s="33"/>
      <c r="JT293" s="33"/>
      <c r="JU293" s="33"/>
      <c r="JV293" s="33"/>
      <c r="JW293" s="33"/>
      <c r="JX293" s="33"/>
      <c r="JY293" s="33"/>
      <c r="JZ293" s="33"/>
      <c r="KA293" s="33"/>
      <c r="KB293" s="33"/>
      <c r="KC293" s="33"/>
      <c r="KD293" s="33"/>
      <c r="KE293" s="33"/>
      <c r="KF293" s="33"/>
      <c r="KG293" s="33"/>
      <c r="KH293" s="33"/>
      <c r="KI293" s="33"/>
      <c r="KJ293" s="33"/>
      <c r="KK293" s="33"/>
      <c r="KL293" s="33"/>
      <c r="KM293" s="33"/>
      <c r="KN293" s="33"/>
      <c r="KO293" s="33"/>
      <c r="KP293" s="33"/>
      <c r="KQ293" s="33"/>
      <c r="KR293" s="33"/>
      <c r="KS293" s="33"/>
      <c r="KT293" s="33"/>
      <c r="KU293" s="33"/>
      <c r="KV293" s="33"/>
      <c r="KW293" s="33"/>
      <c r="KX293" s="33"/>
      <c r="KY293" s="33"/>
      <c r="KZ293" s="33"/>
      <c r="LA293" s="33"/>
      <c r="LB293" s="33"/>
      <c r="LC293" s="33"/>
      <c r="LD293" s="33"/>
      <c r="LE293" s="33"/>
      <c r="LF293" s="33"/>
      <c r="LG293" s="33"/>
      <c r="LH293" s="33"/>
      <c r="LI293" s="33"/>
      <c r="LJ293" s="33"/>
      <c r="LK293" s="33"/>
      <c r="LL293" s="33"/>
      <c r="LM293" s="33"/>
      <c r="LN293" s="33"/>
      <c r="LO293" s="33"/>
      <c r="LP293" s="33"/>
      <c r="LQ293" s="33"/>
      <c r="LR293" s="33"/>
      <c r="LS293" s="33"/>
      <c r="LT293" s="33"/>
      <c r="LU293" s="33"/>
      <c r="LV293" s="33"/>
      <c r="LW293" s="33"/>
      <c r="LX293" s="33"/>
      <c r="LY293" s="33"/>
      <c r="LZ293" s="33"/>
      <c r="MA293" s="33"/>
      <c r="MB293" s="33"/>
      <c r="MC293" s="33"/>
      <c r="MD293" s="33"/>
      <c r="ME293" s="33"/>
      <c r="MF293" s="33"/>
      <c r="MG293" s="33"/>
      <c r="MH293" s="33"/>
      <c r="MI293" s="33"/>
      <c r="MJ293" s="33"/>
      <c r="MK293" s="33"/>
      <c r="ML293" s="33"/>
      <c r="MM293" s="33"/>
      <c r="MN293" s="33"/>
      <c r="MO293" s="33"/>
      <c r="MP293" s="33"/>
      <c r="MQ293" s="33"/>
      <c r="MR293" s="33"/>
      <c r="MS293" s="33"/>
      <c r="MT293" s="33"/>
      <c r="MU293" s="33"/>
      <c r="MV293" s="33"/>
      <c r="MW293" s="33"/>
      <c r="MX293" s="33"/>
      <c r="MY293" s="33"/>
      <c r="MZ293" s="33"/>
      <c r="NA293" s="33"/>
      <c r="NB293" s="33"/>
      <c r="NC293" s="33"/>
      <c r="ND293" s="33"/>
      <c r="NE293" s="33"/>
      <c r="NF293" s="33"/>
      <c r="NG293" s="33"/>
      <c r="NH293" s="33"/>
      <c r="NI293" s="33"/>
      <c r="NJ293" s="33"/>
      <c r="NK293" s="33"/>
      <c r="NL293" s="33"/>
      <c r="NM293" s="33"/>
      <c r="NN293" s="33"/>
      <c r="NO293" s="33"/>
      <c r="NP293" s="33"/>
      <c r="NQ293" s="33"/>
      <c r="NR293" s="33"/>
      <c r="NS293" s="33"/>
      <c r="NT293" s="33"/>
      <c r="NU293" s="33"/>
      <c r="NV293" s="33"/>
      <c r="NW293" s="33"/>
      <c r="NX293" s="33"/>
      <c r="NY293" s="33"/>
      <c r="NZ293" s="33"/>
      <c r="OA293" s="33"/>
      <c r="OB293" s="33"/>
      <c r="OC293" s="33"/>
      <c r="OD293" s="33"/>
      <c r="OE293" s="33"/>
      <c r="OF293" s="33"/>
      <c r="OG293" s="33"/>
      <c r="OH293" s="33"/>
      <c r="OI293" s="33"/>
      <c r="OJ293" s="33"/>
      <c r="OK293" s="33"/>
      <c r="OL293" s="33"/>
      <c r="OM293" s="33"/>
      <c r="ON293" s="33"/>
      <c r="OO293" s="33"/>
      <c r="OP293" s="33"/>
      <c r="OQ293" s="33"/>
      <c r="OR293" s="33"/>
      <c r="OS293" s="33"/>
      <c r="OT293" s="33"/>
      <c r="OU293" s="33"/>
      <c r="OV293" s="33"/>
      <c r="OW293" s="33"/>
      <c r="OX293" s="33"/>
      <c r="OY293" s="33"/>
      <c r="OZ293" s="33"/>
      <c r="PA293" s="33"/>
      <c r="PB293" s="33"/>
      <c r="PC293" s="33"/>
      <c r="PD293" s="33"/>
      <c r="PE293" s="33"/>
      <c r="PF293" s="33"/>
      <c r="PG293" s="33"/>
      <c r="PH293" s="33"/>
      <c r="PI293" s="33"/>
      <c r="PJ293" s="33"/>
      <c r="PK293" s="33"/>
      <c r="PL293" s="33"/>
      <c r="PM293" s="33"/>
      <c r="PN293" s="33"/>
      <c r="PO293" s="33"/>
      <c r="PP293" s="33"/>
      <c r="PQ293" s="33"/>
      <c r="PR293" s="33"/>
      <c r="PS293" s="33"/>
      <c r="PT293" s="33"/>
      <c r="PU293" s="33"/>
      <c r="PV293" s="33"/>
      <c r="PW293" s="33"/>
      <c r="PX293" s="33"/>
      <c r="PY293" s="33"/>
      <c r="PZ293" s="33"/>
      <c r="QA293" s="33"/>
      <c r="QB293" s="33"/>
      <c r="QC293" s="33"/>
      <c r="QD293" s="33"/>
      <c r="QE293" s="33"/>
      <c r="QF293" s="33"/>
      <c r="QG293" s="33"/>
      <c r="QH293" s="33"/>
      <c r="QI293" s="33"/>
      <c r="QJ293" s="33"/>
      <c r="QK293" s="33"/>
      <c r="QL293" s="33"/>
      <c r="QM293" s="33"/>
      <c r="QN293" s="33"/>
      <c r="QO293" s="33"/>
      <c r="QP293" s="33"/>
      <c r="QQ293" s="33"/>
      <c r="QR293" s="33"/>
      <c r="QS293" s="33"/>
      <c r="QT293" s="33"/>
      <c r="QU293" s="33"/>
      <c r="QV293" s="33"/>
      <c r="QW293" s="33"/>
      <c r="QX293" s="33"/>
      <c r="QY293" s="33"/>
      <c r="QZ293" s="33"/>
      <c r="RA293" s="33"/>
      <c r="RB293" s="33"/>
      <c r="RC293" s="33"/>
      <c r="RD293" s="33"/>
      <c r="RE293" s="33"/>
      <c r="RF293" s="33"/>
      <c r="RG293" s="33"/>
      <c r="RH293" s="33"/>
      <c r="RI293" s="33"/>
      <c r="RJ293" s="33"/>
      <c r="RK293" s="33"/>
      <c r="RL293" s="33"/>
      <c r="RM293" s="33"/>
      <c r="RN293" s="33"/>
      <c r="RO293" s="33"/>
      <c r="RP293" s="33"/>
      <c r="RQ293" s="33"/>
      <c r="RR293" s="33"/>
      <c r="RS293" s="33"/>
      <c r="RT293" s="33"/>
      <c r="RU293" s="33"/>
      <c r="RV293" s="33"/>
      <c r="RW293" s="33"/>
      <c r="RX293" s="33"/>
      <c r="RY293" s="33"/>
      <c r="RZ293" s="33"/>
      <c r="SA293" s="33"/>
      <c r="SB293" s="33"/>
      <c r="SC293" s="33"/>
      <c r="SD293" s="33"/>
      <c r="SE293" s="33"/>
      <c r="SF293" s="33"/>
      <c r="SG293" s="33"/>
      <c r="SH293" s="33"/>
      <c r="SI293" s="33"/>
      <c r="SJ293" s="33"/>
      <c r="SK293" s="33"/>
      <c r="SL293" s="33"/>
      <c r="SM293" s="33"/>
      <c r="SN293" s="33"/>
      <c r="SO293" s="33"/>
      <c r="SP293" s="33"/>
      <c r="SQ293" s="33"/>
      <c r="SR293" s="33"/>
      <c r="SS293" s="33"/>
      <c r="ST293" s="33"/>
      <c r="SU293" s="33"/>
      <c r="SV293" s="33"/>
      <c r="SW293" s="33"/>
      <c r="SX293" s="33"/>
      <c r="SY293" s="33"/>
      <c r="SZ293" s="33"/>
      <c r="TA293" s="33"/>
      <c r="TB293" s="33"/>
      <c r="TC293" s="33"/>
      <c r="TD293" s="33"/>
      <c r="TE293" s="33"/>
      <c r="TF293" s="33"/>
      <c r="TG293" s="33"/>
    </row>
    <row r="294" spans="1:527" s="22" customFormat="1" ht="49.5" customHeight="1" x14ac:dyDescent="0.25">
      <c r="A294" s="59" t="s">
        <v>211</v>
      </c>
      <c r="B294" s="93" t="str">
        <f>'дод 8'!A19</f>
        <v>0160</v>
      </c>
      <c r="C294" s="93" t="str">
        <f>'дод 8'!B19</f>
        <v>0111</v>
      </c>
      <c r="D294" s="36" t="s">
        <v>494</v>
      </c>
      <c r="E294" s="99">
        <f>F294+I294</f>
        <v>4340725</v>
      </c>
      <c r="F294" s="99">
        <f>4301300+20000+19425</f>
        <v>4340725</v>
      </c>
      <c r="G294" s="99">
        <v>3301600</v>
      </c>
      <c r="H294" s="99">
        <f>46000+19425</f>
        <v>65425</v>
      </c>
      <c r="I294" s="99"/>
      <c r="J294" s="99">
        <f>L294+O294</f>
        <v>0</v>
      </c>
      <c r="K294" s="99"/>
      <c r="L294" s="99"/>
      <c r="M294" s="99"/>
      <c r="N294" s="99"/>
      <c r="O294" s="99"/>
      <c r="P294" s="99">
        <f>E294+J294</f>
        <v>4340725</v>
      </c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  <c r="TF294" s="23"/>
      <c r="TG294" s="23"/>
    </row>
    <row r="295" spans="1:527" s="27" customFormat="1" ht="37.5" customHeight="1" x14ac:dyDescent="0.25">
      <c r="A295" s="110" t="s">
        <v>213</v>
      </c>
      <c r="B295" s="112"/>
      <c r="C295" s="112"/>
      <c r="D295" s="107" t="s">
        <v>39</v>
      </c>
      <c r="E295" s="95">
        <f>E296</f>
        <v>20983478</v>
      </c>
      <c r="F295" s="95">
        <f t="shared" ref="F295:J295" si="157">F296</f>
        <v>20983478</v>
      </c>
      <c r="G295" s="95">
        <f t="shared" si="157"/>
        <v>14962200</v>
      </c>
      <c r="H295" s="95">
        <f t="shared" si="157"/>
        <v>308778</v>
      </c>
      <c r="I295" s="95">
        <f t="shared" si="157"/>
        <v>0</v>
      </c>
      <c r="J295" s="95">
        <f t="shared" si="157"/>
        <v>65000</v>
      </c>
      <c r="K295" s="95">
        <f t="shared" ref="K295" si="158">K296</f>
        <v>65000</v>
      </c>
      <c r="L295" s="95">
        <f t="shared" ref="L295" si="159">L296</f>
        <v>0</v>
      </c>
      <c r="M295" s="95">
        <f t="shared" ref="M295" si="160">M296</f>
        <v>0</v>
      </c>
      <c r="N295" s="95">
        <f t="shared" ref="N295" si="161">N296</f>
        <v>0</v>
      </c>
      <c r="O295" s="95">
        <f t="shared" ref="O295" si="162">O296</f>
        <v>65000</v>
      </c>
      <c r="P295" s="95">
        <f>P296</f>
        <v>21048478</v>
      </c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  <c r="FK295" s="32"/>
      <c r="FL295" s="32"/>
      <c r="FM295" s="32"/>
      <c r="FN295" s="32"/>
      <c r="FO295" s="32"/>
      <c r="FP295" s="32"/>
      <c r="FQ295" s="32"/>
      <c r="FR295" s="32"/>
      <c r="FS295" s="32"/>
      <c r="FT295" s="32"/>
      <c r="FU295" s="32"/>
      <c r="FV295" s="32"/>
      <c r="FW295" s="32"/>
      <c r="FX295" s="32"/>
      <c r="FY295" s="32"/>
      <c r="FZ295" s="32"/>
      <c r="GA295" s="32"/>
      <c r="GB295" s="32"/>
      <c r="GC295" s="32"/>
      <c r="GD295" s="32"/>
      <c r="GE295" s="32"/>
      <c r="GF295" s="32"/>
      <c r="GG295" s="32"/>
      <c r="GH295" s="32"/>
      <c r="GI295" s="32"/>
      <c r="GJ295" s="32"/>
      <c r="GK295" s="32"/>
      <c r="GL295" s="32"/>
      <c r="GM295" s="32"/>
      <c r="GN295" s="32"/>
      <c r="GO295" s="32"/>
      <c r="GP295" s="32"/>
      <c r="GQ295" s="32"/>
      <c r="GR295" s="32"/>
      <c r="GS295" s="32"/>
      <c r="GT295" s="32"/>
      <c r="GU295" s="32"/>
      <c r="GV295" s="32"/>
      <c r="GW295" s="32"/>
      <c r="GX295" s="32"/>
      <c r="GY295" s="32"/>
      <c r="GZ295" s="32"/>
      <c r="HA295" s="32"/>
      <c r="HB295" s="32"/>
      <c r="HC295" s="32"/>
      <c r="HD295" s="32"/>
      <c r="HE295" s="32"/>
      <c r="HF295" s="32"/>
      <c r="HG295" s="32"/>
      <c r="HH295" s="32"/>
      <c r="HI295" s="32"/>
      <c r="HJ295" s="32"/>
      <c r="HK295" s="32"/>
      <c r="HL295" s="32"/>
      <c r="HM295" s="32"/>
      <c r="HN295" s="32"/>
      <c r="HO295" s="32"/>
      <c r="HP295" s="32"/>
      <c r="HQ295" s="32"/>
      <c r="HR295" s="32"/>
      <c r="HS295" s="32"/>
      <c r="HT295" s="32"/>
      <c r="HU295" s="32"/>
      <c r="HV295" s="32"/>
      <c r="HW295" s="32"/>
      <c r="HX295" s="32"/>
      <c r="HY295" s="32"/>
      <c r="HZ295" s="32"/>
      <c r="IA295" s="32"/>
      <c r="IB295" s="32"/>
      <c r="IC295" s="32"/>
      <c r="ID295" s="32"/>
      <c r="IE295" s="32"/>
      <c r="IF295" s="32"/>
      <c r="IG295" s="32"/>
      <c r="IH295" s="32"/>
      <c r="II295" s="32"/>
      <c r="IJ295" s="32"/>
      <c r="IK295" s="32"/>
      <c r="IL295" s="32"/>
      <c r="IM295" s="32"/>
      <c r="IN295" s="32"/>
      <c r="IO295" s="32"/>
      <c r="IP295" s="32"/>
      <c r="IQ295" s="32"/>
      <c r="IR295" s="32"/>
      <c r="IS295" s="32"/>
      <c r="IT295" s="32"/>
      <c r="IU295" s="32"/>
      <c r="IV295" s="32"/>
      <c r="IW295" s="32"/>
      <c r="IX295" s="32"/>
      <c r="IY295" s="32"/>
      <c r="IZ295" s="32"/>
      <c r="JA295" s="32"/>
      <c r="JB295" s="32"/>
      <c r="JC295" s="32"/>
      <c r="JD295" s="32"/>
      <c r="JE295" s="32"/>
      <c r="JF295" s="32"/>
      <c r="JG295" s="32"/>
      <c r="JH295" s="32"/>
      <c r="JI295" s="32"/>
      <c r="JJ295" s="32"/>
      <c r="JK295" s="32"/>
      <c r="JL295" s="32"/>
      <c r="JM295" s="32"/>
      <c r="JN295" s="32"/>
      <c r="JO295" s="32"/>
      <c r="JP295" s="32"/>
      <c r="JQ295" s="32"/>
      <c r="JR295" s="32"/>
      <c r="JS295" s="32"/>
      <c r="JT295" s="32"/>
      <c r="JU295" s="32"/>
      <c r="JV295" s="32"/>
      <c r="JW295" s="32"/>
      <c r="JX295" s="32"/>
      <c r="JY295" s="32"/>
      <c r="JZ295" s="32"/>
      <c r="KA295" s="32"/>
      <c r="KB295" s="32"/>
      <c r="KC295" s="32"/>
      <c r="KD295" s="32"/>
      <c r="KE295" s="32"/>
      <c r="KF295" s="32"/>
      <c r="KG295" s="32"/>
      <c r="KH295" s="32"/>
      <c r="KI295" s="32"/>
      <c r="KJ295" s="32"/>
      <c r="KK295" s="32"/>
      <c r="KL295" s="32"/>
      <c r="KM295" s="32"/>
      <c r="KN295" s="32"/>
      <c r="KO295" s="32"/>
      <c r="KP295" s="32"/>
      <c r="KQ295" s="32"/>
      <c r="KR295" s="32"/>
      <c r="KS295" s="32"/>
      <c r="KT295" s="32"/>
      <c r="KU295" s="32"/>
      <c r="KV295" s="32"/>
      <c r="KW295" s="32"/>
      <c r="KX295" s="32"/>
      <c r="KY295" s="32"/>
      <c r="KZ295" s="32"/>
      <c r="LA295" s="32"/>
      <c r="LB295" s="32"/>
      <c r="LC295" s="32"/>
      <c r="LD295" s="32"/>
      <c r="LE295" s="32"/>
      <c r="LF295" s="32"/>
      <c r="LG295" s="32"/>
      <c r="LH295" s="32"/>
      <c r="LI295" s="32"/>
      <c r="LJ295" s="32"/>
      <c r="LK295" s="32"/>
      <c r="LL295" s="32"/>
      <c r="LM295" s="32"/>
      <c r="LN295" s="32"/>
      <c r="LO295" s="32"/>
      <c r="LP295" s="32"/>
      <c r="LQ295" s="32"/>
      <c r="LR295" s="32"/>
      <c r="LS295" s="32"/>
      <c r="LT295" s="32"/>
      <c r="LU295" s="32"/>
      <c r="LV295" s="32"/>
      <c r="LW295" s="32"/>
      <c r="LX295" s="32"/>
      <c r="LY295" s="32"/>
      <c r="LZ295" s="32"/>
      <c r="MA295" s="32"/>
      <c r="MB295" s="32"/>
      <c r="MC295" s="32"/>
      <c r="MD295" s="32"/>
      <c r="ME295" s="32"/>
      <c r="MF295" s="32"/>
      <c r="MG295" s="32"/>
      <c r="MH295" s="32"/>
      <c r="MI295" s="32"/>
      <c r="MJ295" s="32"/>
      <c r="MK295" s="32"/>
      <c r="ML295" s="32"/>
      <c r="MM295" s="32"/>
      <c r="MN295" s="32"/>
      <c r="MO295" s="32"/>
      <c r="MP295" s="32"/>
      <c r="MQ295" s="32"/>
      <c r="MR295" s="32"/>
      <c r="MS295" s="32"/>
      <c r="MT295" s="32"/>
      <c r="MU295" s="32"/>
      <c r="MV295" s="32"/>
      <c r="MW295" s="32"/>
      <c r="MX295" s="32"/>
      <c r="MY295" s="32"/>
      <c r="MZ295" s="32"/>
      <c r="NA295" s="32"/>
      <c r="NB295" s="32"/>
      <c r="NC295" s="32"/>
      <c r="ND295" s="32"/>
      <c r="NE295" s="32"/>
      <c r="NF295" s="32"/>
      <c r="NG295" s="32"/>
      <c r="NH295" s="32"/>
      <c r="NI295" s="32"/>
      <c r="NJ295" s="32"/>
      <c r="NK295" s="32"/>
      <c r="NL295" s="32"/>
      <c r="NM295" s="32"/>
      <c r="NN295" s="32"/>
      <c r="NO295" s="32"/>
      <c r="NP295" s="32"/>
      <c r="NQ295" s="32"/>
      <c r="NR295" s="32"/>
      <c r="NS295" s="32"/>
      <c r="NT295" s="32"/>
      <c r="NU295" s="32"/>
      <c r="NV295" s="32"/>
      <c r="NW295" s="32"/>
      <c r="NX295" s="32"/>
      <c r="NY295" s="32"/>
      <c r="NZ295" s="32"/>
      <c r="OA295" s="32"/>
      <c r="OB295" s="32"/>
      <c r="OC295" s="32"/>
      <c r="OD295" s="32"/>
      <c r="OE295" s="32"/>
      <c r="OF295" s="32"/>
      <c r="OG295" s="32"/>
      <c r="OH295" s="32"/>
      <c r="OI295" s="32"/>
      <c r="OJ295" s="32"/>
      <c r="OK295" s="32"/>
      <c r="OL295" s="32"/>
      <c r="OM295" s="32"/>
      <c r="ON295" s="32"/>
      <c r="OO295" s="32"/>
      <c r="OP295" s="32"/>
      <c r="OQ295" s="32"/>
      <c r="OR295" s="32"/>
      <c r="OS295" s="32"/>
      <c r="OT295" s="32"/>
      <c r="OU295" s="32"/>
      <c r="OV295" s="32"/>
      <c r="OW295" s="32"/>
      <c r="OX295" s="32"/>
      <c r="OY295" s="32"/>
      <c r="OZ295" s="32"/>
      <c r="PA295" s="32"/>
      <c r="PB295" s="32"/>
      <c r="PC295" s="32"/>
      <c r="PD295" s="32"/>
      <c r="PE295" s="32"/>
      <c r="PF295" s="32"/>
      <c r="PG295" s="32"/>
      <c r="PH295" s="32"/>
      <c r="PI295" s="32"/>
      <c r="PJ295" s="32"/>
      <c r="PK295" s="32"/>
      <c r="PL295" s="32"/>
      <c r="PM295" s="32"/>
      <c r="PN295" s="32"/>
      <c r="PO295" s="32"/>
      <c r="PP295" s="32"/>
      <c r="PQ295" s="32"/>
      <c r="PR295" s="32"/>
      <c r="PS295" s="32"/>
      <c r="PT295" s="32"/>
      <c r="PU295" s="32"/>
      <c r="PV295" s="32"/>
      <c r="PW295" s="32"/>
      <c r="PX295" s="32"/>
      <c r="PY295" s="32"/>
      <c r="PZ295" s="32"/>
      <c r="QA295" s="32"/>
      <c r="QB295" s="32"/>
      <c r="QC295" s="32"/>
      <c r="QD295" s="32"/>
      <c r="QE295" s="32"/>
      <c r="QF295" s="32"/>
      <c r="QG295" s="32"/>
      <c r="QH295" s="32"/>
      <c r="QI295" s="32"/>
      <c r="QJ295" s="32"/>
      <c r="QK295" s="32"/>
      <c r="QL295" s="32"/>
      <c r="QM295" s="32"/>
      <c r="QN295" s="32"/>
      <c r="QO295" s="32"/>
      <c r="QP295" s="32"/>
      <c r="QQ295" s="32"/>
      <c r="QR295" s="32"/>
      <c r="QS295" s="32"/>
      <c r="QT295" s="32"/>
      <c r="QU295" s="32"/>
      <c r="QV295" s="32"/>
      <c r="QW295" s="32"/>
      <c r="QX295" s="32"/>
      <c r="QY295" s="32"/>
      <c r="QZ295" s="32"/>
      <c r="RA295" s="32"/>
      <c r="RB295" s="32"/>
      <c r="RC295" s="32"/>
      <c r="RD295" s="32"/>
      <c r="RE295" s="32"/>
      <c r="RF295" s="32"/>
      <c r="RG295" s="32"/>
      <c r="RH295" s="32"/>
      <c r="RI295" s="32"/>
      <c r="RJ295" s="32"/>
      <c r="RK295" s="32"/>
      <c r="RL295" s="32"/>
      <c r="RM295" s="32"/>
      <c r="RN295" s="32"/>
      <c r="RO295" s="32"/>
      <c r="RP295" s="32"/>
      <c r="RQ295" s="32"/>
      <c r="RR295" s="32"/>
      <c r="RS295" s="32"/>
      <c r="RT295" s="32"/>
      <c r="RU295" s="32"/>
      <c r="RV295" s="32"/>
      <c r="RW295" s="32"/>
      <c r="RX295" s="32"/>
      <c r="RY295" s="32"/>
      <c r="RZ295" s="32"/>
      <c r="SA295" s="32"/>
      <c r="SB295" s="32"/>
      <c r="SC295" s="32"/>
      <c r="SD295" s="32"/>
      <c r="SE295" s="32"/>
      <c r="SF295" s="32"/>
      <c r="SG295" s="32"/>
      <c r="SH295" s="32"/>
      <c r="SI295" s="32"/>
      <c r="SJ295" s="32"/>
      <c r="SK295" s="32"/>
      <c r="SL295" s="32"/>
      <c r="SM295" s="32"/>
      <c r="SN295" s="32"/>
      <c r="SO295" s="32"/>
      <c r="SP295" s="32"/>
      <c r="SQ295" s="32"/>
      <c r="SR295" s="32"/>
      <c r="SS295" s="32"/>
      <c r="ST295" s="32"/>
      <c r="SU295" s="32"/>
      <c r="SV295" s="32"/>
      <c r="SW295" s="32"/>
      <c r="SX295" s="32"/>
      <c r="SY295" s="32"/>
      <c r="SZ295" s="32"/>
      <c r="TA295" s="32"/>
      <c r="TB295" s="32"/>
      <c r="TC295" s="32"/>
      <c r="TD295" s="32"/>
      <c r="TE295" s="32"/>
      <c r="TF295" s="32"/>
      <c r="TG295" s="32"/>
    </row>
    <row r="296" spans="1:527" s="34" customFormat="1" ht="33.75" customHeight="1" x14ac:dyDescent="0.25">
      <c r="A296" s="96" t="s">
        <v>214</v>
      </c>
      <c r="B296" s="109"/>
      <c r="C296" s="109"/>
      <c r="D296" s="77" t="s">
        <v>39</v>
      </c>
      <c r="E296" s="98">
        <f>E297+E298++E299+E300+E301+E302</f>
        <v>20983478</v>
      </c>
      <c r="F296" s="98">
        <f t="shared" ref="F296:P296" si="163">F297+F298++F299+F300+F301+F302</f>
        <v>20983478</v>
      </c>
      <c r="G296" s="98">
        <f t="shared" si="163"/>
        <v>14962200</v>
      </c>
      <c r="H296" s="98">
        <f t="shared" si="163"/>
        <v>308778</v>
      </c>
      <c r="I296" s="98">
        <f t="shared" si="163"/>
        <v>0</v>
      </c>
      <c r="J296" s="98">
        <f t="shared" si="163"/>
        <v>65000</v>
      </c>
      <c r="K296" s="98">
        <f>K297+K298++K299+K300+K301+K302</f>
        <v>65000</v>
      </c>
      <c r="L296" s="98">
        <f t="shared" si="163"/>
        <v>0</v>
      </c>
      <c r="M296" s="98">
        <f t="shared" si="163"/>
        <v>0</v>
      </c>
      <c r="N296" s="98">
        <f t="shared" si="163"/>
        <v>0</v>
      </c>
      <c r="O296" s="98">
        <f t="shared" si="163"/>
        <v>65000</v>
      </c>
      <c r="P296" s="98">
        <f t="shared" si="163"/>
        <v>21048478</v>
      </c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  <c r="DB296" s="33"/>
      <c r="DC296" s="33"/>
      <c r="DD296" s="33"/>
      <c r="DE296" s="33"/>
      <c r="DF296" s="33"/>
      <c r="DG296" s="33"/>
      <c r="DH296" s="33"/>
      <c r="DI296" s="33"/>
      <c r="DJ296" s="33"/>
      <c r="DK296" s="33"/>
      <c r="DL296" s="33"/>
      <c r="DM296" s="33"/>
      <c r="DN296" s="33"/>
      <c r="DO296" s="33"/>
      <c r="DP296" s="33"/>
      <c r="DQ296" s="33"/>
      <c r="DR296" s="33"/>
      <c r="DS296" s="33"/>
      <c r="DT296" s="33"/>
      <c r="DU296" s="33"/>
      <c r="DV296" s="33"/>
      <c r="DW296" s="33"/>
      <c r="DX296" s="33"/>
      <c r="DY296" s="33"/>
      <c r="DZ296" s="33"/>
      <c r="EA296" s="33"/>
      <c r="EB296" s="33"/>
      <c r="EC296" s="33"/>
      <c r="ED296" s="33"/>
      <c r="EE296" s="33"/>
      <c r="EF296" s="33"/>
      <c r="EG296" s="33"/>
      <c r="EH296" s="33"/>
      <c r="EI296" s="33"/>
      <c r="EJ296" s="33"/>
      <c r="EK296" s="33"/>
      <c r="EL296" s="33"/>
      <c r="EM296" s="33"/>
      <c r="EN296" s="33"/>
      <c r="EO296" s="33"/>
      <c r="EP296" s="33"/>
      <c r="EQ296" s="33"/>
      <c r="ER296" s="33"/>
      <c r="ES296" s="33"/>
      <c r="ET296" s="33"/>
      <c r="EU296" s="33"/>
      <c r="EV296" s="33"/>
      <c r="EW296" s="33"/>
      <c r="EX296" s="33"/>
      <c r="EY296" s="33"/>
      <c r="EZ296" s="33"/>
      <c r="FA296" s="33"/>
      <c r="FB296" s="33"/>
      <c r="FC296" s="33"/>
      <c r="FD296" s="33"/>
      <c r="FE296" s="33"/>
      <c r="FF296" s="33"/>
      <c r="FG296" s="33"/>
      <c r="FH296" s="33"/>
      <c r="FI296" s="33"/>
      <c r="FJ296" s="33"/>
      <c r="FK296" s="33"/>
      <c r="FL296" s="33"/>
      <c r="FM296" s="33"/>
      <c r="FN296" s="33"/>
      <c r="FO296" s="33"/>
      <c r="FP296" s="33"/>
      <c r="FQ296" s="33"/>
      <c r="FR296" s="33"/>
      <c r="FS296" s="33"/>
      <c r="FT296" s="33"/>
      <c r="FU296" s="33"/>
      <c r="FV296" s="33"/>
      <c r="FW296" s="33"/>
      <c r="FX296" s="33"/>
      <c r="FY296" s="33"/>
      <c r="FZ296" s="33"/>
      <c r="GA296" s="33"/>
      <c r="GB296" s="33"/>
      <c r="GC296" s="33"/>
      <c r="GD296" s="33"/>
      <c r="GE296" s="33"/>
      <c r="GF296" s="33"/>
      <c r="GG296" s="33"/>
      <c r="GH296" s="33"/>
      <c r="GI296" s="33"/>
      <c r="GJ296" s="33"/>
      <c r="GK296" s="33"/>
      <c r="GL296" s="33"/>
      <c r="GM296" s="33"/>
      <c r="GN296" s="33"/>
      <c r="GO296" s="33"/>
      <c r="GP296" s="33"/>
      <c r="GQ296" s="33"/>
      <c r="GR296" s="33"/>
      <c r="GS296" s="33"/>
      <c r="GT296" s="33"/>
      <c r="GU296" s="33"/>
      <c r="GV296" s="33"/>
      <c r="GW296" s="33"/>
      <c r="GX296" s="33"/>
      <c r="GY296" s="33"/>
      <c r="GZ296" s="33"/>
      <c r="HA296" s="33"/>
      <c r="HB296" s="33"/>
      <c r="HC296" s="33"/>
      <c r="HD296" s="33"/>
      <c r="HE296" s="33"/>
      <c r="HF296" s="33"/>
      <c r="HG296" s="33"/>
      <c r="HH296" s="33"/>
      <c r="HI296" s="33"/>
      <c r="HJ296" s="33"/>
      <c r="HK296" s="33"/>
      <c r="HL296" s="33"/>
      <c r="HM296" s="33"/>
      <c r="HN296" s="33"/>
      <c r="HO296" s="33"/>
      <c r="HP296" s="33"/>
      <c r="HQ296" s="33"/>
      <c r="HR296" s="33"/>
      <c r="HS296" s="33"/>
      <c r="HT296" s="33"/>
      <c r="HU296" s="33"/>
      <c r="HV296" s="33"/>
      <c r="HW296" s="33"/>
      <c r="HX296" s="33"/>
      <c r="HY296" s="33"/>
      <c r="HZ296" s="33"/>
      <c r="IA296" s="33"/>
      <c r="IB296" s="33"/>
      <c r="IC296" s="33"/>
      <c r="ID296" s="33"/>
      <c r="IE296" s="33"/>
      <c r="IF296" s="33"/>
      <c r="IG296" s="33"/>
      <c r="IH296" s="33"/>
      <c r="II296" s="33"/>
      <c r="IJ296" s="33"/>
      <c r="IK296" s="33"/>
      <c r="IL296" s="33"/>
      <c r="IM296" s="33"/>
      <c r="IN296" s="33"/>
      <c r="IO296" s="33"/>
      <c r="IP296" s="33"/>
      <c r="IQ296" s="33"/>
      <c r="IR296" s="33"/>
      <c r="IS296" s="33"/>
      <c r="IT296" s="33"/>
      <c r="IU296" s="33"/>
      <c r="IV296" s="33"/>
      <c r="IW296" s="33"/>
      <c r="IX296" s="33"/>
      <c r="IY296" s="33"/>
      <c r="IZ296" s="33"/>
      <c r="JA296" s="33"/>
      <c r="JB296" s="33"/>
      <c r="JC296" s="33"/>
      <c r="JD296" s="33"/>
      <c r="JE296" s="33"/>
      <c r="JF296" s="33"/>
      <c r="JG296" s="33"/>
      <c r="JH296" s="33"/>
      <c r="JI296" s="33"/>
      <c r="JJ296" s="33"/>
      <c r="JK296" s="33"/>
      <c r="JL296" s="33"/>
      <c r="JM296" s="33"/>
      <c r="JN296" s="33"/>
      <c r="JO296" s="33"/>
      <c r="JP296" s="33"/>
      <c r="JQ296" s="33"/>
      <c r="JR296" s="33"/>
      <c r="JS296" s="33"/>
      <c r="JT296" s="33"/>
      <c r="JU296" s="33"/>
      <c r="JV296" s="33"/>
      <c r="JW296" s="33"/>
      <c r="JX296" s="33"/>
      <c r="JY296" s="33"/>
      <c r="JZ296" s="33"/>
      <c r="KA296" s="33"/>
      <c r="KB296" s="33"/>
      <c r="KC296" s="33"/>
      <c r="KD296" s="33"/>
      <c r="KE296" s="33"/>
      <c r="KF296" s="33"/>
      <c r="KG296" s="33"/>
      <c r="KH296" s="33"/>
      <c r="KI296" s="33"/>
      <c r="KJ296" s="33"/>
      <c r="KK296" s="33"/>
      <c r="KL296" s="33"/>
      <c r="KM296" s="33"/>
      <c r="KN296" s="33"/>
      <c r="KO296" s="33"/>
      <c r="KP296" s="33"/>
      <c r="KQ296" s="33"/>
      <c r="KR296" s="33"/>
      <c r="KS296" s="33"/>
      <c r="KT296" s="33"/>
      <c r="KU296" s="33"/>
      <c r="KV296" s="33"/>
      <c r="KW296" s="33"/>
      <c r="KX296" s="33"/>
      <c r="KY296" s="33"/>
      <c r="KZ296" s="33"/>
      <c r="LA296" s="33"/>
      <c r="LB296" s="33"/>
      <c r="LC296" s="33"/>
      <c r="LD296" s="33"/>
      <c r="LE296" s="33"/>
      <c r="LF296" s="33"/>
      <c r="LG296" s="33"/>
      <c r="LH296" s="33"/>
      <c r="LI296" s="33"/>
      <c r="LJ296" s="33"/>
      <c r="LK296" s="33"/>
      <c r="LL296" s="33"/>
      <c r="LM296" s="33"/>
      <c r="LN296" s="33"/>
      <c r="LO296" s="33"/>
      <c r="LP296" s="33"/>
      <c r="LQ296" s="33"/>
      <c r="LR296" s="33"/>
      <c r="LS296" s="33"/>
      <c r="LT296" s="33"/>
      <c r="LU296" s="33"/>
      <c r="LV296" s="33"/>
      <c r="LW296" s="33"/>
      <c r="LX296" s="33"/>
      <c r="LY296" s="33"/>
      <c r="LZ296" s="33"/>
      <c r="MA296" s="33"/>
      <c r="MB296" s="33"/>
      <c r="MC296" s="33"/>
      <c r="MD296" s="33"/>
      <c r="ME296" s="33"/>
      <c r="MF296" s="33"/>
      <c r="MG296" s="33"/>
      <c r="MH296" s="33"/>
      <c r="MI296" s="33"/>
      <c r="MJ296" s="33"/>
      <c r="MK296" s="33"/>
      <c r="ML296" s="33"/>
      <c r="MM296" s="33"/>
      <c r="MN296" s="33"/>
      <c r="MO296" s="33"/>
      <c r="MP296" s="33"/>
      <c r="MQ296" s="33"/>
      <c r="MR296" s="33"/>
      <c r="MS296" s="33"/>
      <c r="MT296" s="33"/>
      <c r="MU296" s="33"/>
      <c r="MV296" s="33"/>
      <c r="MW296" s="33"/>
      <c r="MX296" s="33"/>
      <c r="MY296" s="33"/>
      <c r="MZ296" s="33"/>
      <c r="NA296" s="33"/>
      <c r="NB296" s="33"/>
      <c r="NC296" s="33"/>
      <c r="ND296" s="33"/>
      <c r="NE296" s="33"/>
      <c r="NF296" s="33"/>
      <c r="NG296" s="33"/>
      <c r="NH296" s="33"/>
      <c r="NI296" s="33"/>
      <c r="NJ296" s="33"/>
      <c r="NK296" s="33"/>
      <c r="NL296" s="33"/>
      <c r="NM296" s="33"/>
      <c r="NN296" s="33"/>
      <c r="NO296" s="33"/>
      <c r="NP296" s="33"/>
      <c r="NQ296" s="33"/>
      <c r="NR296" s="33"/>
      <c r="NS296" s="33"/>
      <c r="NT296" s="33"/>
      <c r="NU296" s="33"/>
      <c r="NV296" s="33"/>
      <c r="NW296" s="33"/>
      <c r="NX296" s="33"/>
      <c r="NY296" s="33"/>
      <c r="NZ296" s="33"/>
      <c r="OA296" s="33"/>
      <c r="OB296" s="33"/>
      <c r="OC296" s="33"/>
      <c r="OD296" s="33"/>
      <c r="OE296" s="33"/>
      <c r="OF296" s="33"/>
      <c r="OG296" s="33"/>
      <c r="OH296" s="33"/>
      <c r="OI296" s="33"/>
      <c r="OJ296" s="33"/>
      <c r="OK296" s="33"/>
      <c r="OL296" s="33"/>
      <c r="OM296" s="33"/>
      <c r="ON296" s="33"/>
      <c r="OO296" s="33"/>
      <c r="OP296" s="33"/>
      <c r="OQ296" s="33"/>
      <c r="OR296" s="33"/>
      <c r="OS296" s="33"/>
      <c r="OT296" s="33"/>
      <c r="OU296" s="33"/>
      <c r="OV296" s="33"/>
      <c r="OW296" s="33"/>
      <c r="OX296" s="33"/>
      <c r="OY296" s="33"/>
      <c r="OZ296" s="33"/>
      <c r="PA296" s="33"/>
      <c r="PB296" s="33"/>
      <c r="PC296" s="33"/>
      <c r="PD296" s="33"/>
      <c r="PE296" s="33"/>
      <c r="PF296" s="33"/>
      <c r="PG296" s="33"/>
      <c r="PH296" s="33"/>
      <c r="PI296" s="33"/>
      <c r="PJ296" s="33"/>
      <c r="PK296" s="33"/>
      <c r="PL296" s="33"/>
      <c r="PM296" s="33"/>
      <c r="PN296" s="33"/>
      <c r="PO296" s="33"/>
      <c r="PP296" s="33"/>
      <c r="PQ296" s="33"/>
      <c r="PR296" s="33"/>
      <c r="PS296" s="33"/>
      <c r="PT296" s="33"/>
      <c r="PU296" s="33"/>
      <c r="PV296" s="33"/>
      <c r="PW296" s="33"/>
      <c r="PX296" s="33"/>
      <c r="PY296" s="33"/>
      <c r="PZ296" s="33"/>
      <c r="QA296" s="33"/>
      <c r="QB296" s="33"/>
      <c r="QC296" s="33"/>
      <c r="QD296" s="33"/>
      <c r="QE296" s="33"/>
      <c r="QF296" s="33"/>
      <c r="QG296" s="33"/>
      <c r="QH296" s="33"/>
      <c r="QI296" s="33"/>
      <c r="QJ296" s="33"/>
      <c r="QK296" s="33"/>
      <c r="QL296" s="33"/>
      <c r="QM296" s="33"/>
      <c r="QN296" s="33"/>
      <c r="QO296" s="33"/>
      <c r="QP296" s="33"/>
      <c r="QQ296" s="33"/>
      <c r="QR296" s="33"/>
      <c r="QS296" s="33"/>
      <c r="QT296" s="33"/>
      <c r="QU296" s="33"/>
      <c r="QV296" s="33"/>
      <c r="QW296" s="33"/>
      <c r="QX296" s="33"/>
      <c r="QY296" s="33"/>
      <c r="QZ296" s="33"/>
      <c r="RA296" s="33"/>
      <c r="RB296" s="33"/>
      <c r="RC296" s="33"/>
      <c r="RD296" s="33"/>
      <c r="RE296" s="33"/>
      <c r="RF296" s="33"/>
      <c r="RG296" s="33"/>
      <c r="RH296" s="33"/>
      <c r="RI296" s="33"/>
      <c r="RJ296" s="33"/>
      <c r="RK296" s="33"/>
      <c r="RL296" s="33"/>
      <c r="RM296" s="33"/>
      <c r="RN296" s="33"/>
      <c r="RO296" s="33"/>
      <c r="RP296" s="33"/>
      <c r="RQ296" s="33"/>
      <c r="RR296" s="33"/>
      <c r="RS296" s="33"/>
      <c r="RT296" s="33"/>
      <c r="RU296" s="33"/>
      <c r="RV296" s="33"/>
      <c r="RW296" s="33"/>
      <c r="RX296" s="33"/>
      <c r="RY296" s="33"/>
      <c r="RZ296" s="33"/>
      <c r="SA296" s="33"/>
      <c r="SB296" s="33"/>
      <c r="SC296" s="33"/>
      <c r="SD296" s="33"/>
      <c r="SE296" s="33"/>
      <c r="SF296" s="33"/>
      <c r="SG296" s="33"/>
      <c r="SH296" s="33"/>
      <c r="SI296" s="33"/>
      <c r="SJ296" s="33"/>
      <c r="SK296" s="33"/>
      <c r="SL296" s="33"/>
      <c r="SM296" s="33"/>
      <c r="SN296" s="33"/>
      <c r="SO296" s="33"/>
      <c r="SP296" s="33"/>
      <c r="SQ296" s="33"/>
      <c r="SR296" s="33"/>
      <c r="SS296" s="33"/>
      <c r="ST296" s="33"/>
      <c r="SU296" s="33"/>
      <c r="SV296" s="33"/>
      <c r="SW296" s="33"/>
      <c r="SX296" s="33"/>
      <c r="SY296" s="33"/>
      <c r="SZ296" s="33"/>
      <c r="TA296" s="33"/>
      <c r="TB296" s="33"/>
      <c r="TC296" s="33"/>
      <c r="TD296" s="33"/>
      <c r="TE296" s="33"/>
      <c r="TF296" s="33"/>
      <c r="TG296" s="33"/>
    </row>
    <row r="297" spans="1:527" s="22" customFormat="1" ht="47.25" x14ac:dyDescent="0.25">
      <c r="A297" s="59" t="s">
        <v>215</v>
      </c>
      <c r="B297" s="93" t="str">
        <f>'дод 8'!A19</f>
        <v>0160</v>
      </c>
      <c r="C297" s="93" t="str">
        <f>'дод 8'!B19</f>
        <v>0111</v>
      </c>
      <c r="D297" s="36" t="s">
        <v>494</v>
      </c>
      <c r="E297" s="99">
        <f t="shared" ref="E297:E302" si="164">F297+I297</f>
        <v>19330478</v>
      </c>
      <c r="F297" s="99">
        <f>19290300+18000+22178</f>
        <v>19330478</v>
      </c>
      <c r="G297" s="99">
        <v>14962200</v>
      </c>
      <c r="H297" s="99">
        <f>286600+22178</f>
        <v>308778</v>
      </c>
      <c r="I297" s="99"/>
      <c r="J297" s="99">
        <f>L297+O297</f>
        <v>0</v>
      </c>
      <c r="K297" s="99">
        <f>18000-18000</f>
        <v>0</v>
      </c>
      <c r="L297" s="99"/>
      <c r="M297" s="99"/>
      <c r="N297" s="99"/>
      <c r="O297" s="99">
        <f>18000-18000</f>
        <v>0</v>
      </c>
      <c r="P297" s="99">
        <f t="shared" ref="P297:P302" si="165">E297+J297</f>
        <v>19330478</v>
      </c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  <c r="IS297" s="23"/>
      <c r="IT297" s="23"/>
      <c r="IU297" s="23"/>
      <c r="IV297" s="23"/>
      <c r="IW297" s="23"/>
      <c r="IX297" s="23"/>
      <c r="IY297" s="23"/>
      <c r="IZ297" s="23"/>
      <c r="JA297" s="23"/>
      <c r="JB297" s="23"/>
      <c r="JC297" s="23"/>
      <c r="JD297" s="23"/>
      <c r="JE297" s="23"/>
      <c r="JF297" s="23"/>
      <c r="JG297" s="23"/>
      <c r="JH297" s="23"/>
      <c r="JI297" s="23"/>
      <c r="JJ297" s="23"/>
      <c r="JK297" s="23"/>
      <c r="JL297" s="23"/>
      <c r="JM297" s="23"/>
      <c r="JN297" s="23"/>
      <c r="JO297" s="23"/>
      <c r="JP297" s="23"/>
      <c r="JQ297" s="23"/>
      <c r="JR297" s="23"/>
      <c r="JS297" s="23"/>
      <c r="JT297" s="23"/>
      <c r="JU297" s="23"/>
      <c r="JV297" s="23"/>
      <c r="JW297" s="23"/>
      <c r="JX297" s="23"/>
      <c r="JY297" s="23"/>
      <c r="JZ297" s="23"/>
      <c r="KA297" s="23"/>
      <c r="KB297" s="23"/>
      <c r="KC297" s="23"/>
      <c r="KD297" s="23"/>
      <c r="KE297" s="23"/>
      <c r="KF297" s="23"/>
      <c r="KG297" s="23"/>
      <c r="KH297" s="23"/>
      <c r="KI297" s="23"/>
      <c r="KJ297" s="23"/>
      <c r="KK297" s="23"/>
      <c r="KL297" s="23"/>
      <c r="KM297" s="23"/>
      <c r="KN297" s="23"/>
      <c r="KO297" s="23"/>
      <c r="KP297" s="23"/>
      <c r="KQ297" s="23"/>
      <c r="KR297" s="23"/>
      <c r="KS297" s="23"/>
      <c r="KT297" s="23"/>
      <c r="KU297" s="23"/>
      <c r="KV297" s="23"/>
      <c r="KW297" s="23"/>
      <c r="KX297" s="23"/>
      <c r="KY297" s="23"/>
      <c r="KZ297" s="23"/>
      <c r="LA297" s="23"/>
      <c r="LB297" s="23"/>
      <c r="LC297" s="23"/>
      <c r="LD297" s="23"/>
      <c r="LE297" s="23"/>
      <c r="LF297" s="23"/>
      <c r="LG297" s="23"/>
      <c r="LH297" s="23"/>
      <c r="LI297" s="23"/>
      <c r="LJ297" s="23"/>
      <c r="LK297" s="23"/>
      <c r="LL297" s="23"/>
      <c r="LM297" s="23"/>
      <c r="LN297" s="23"/>
      <c r="LO297" s="23"/>
      <c r="LP297" s="23"/>
      <c r="LQ297" s="23"/>
      <c r="LR297" s="23"/>
      <c r="LS297" s="23"/>
      <c r="LT297" s="23"/>
      <c r="LU297" s="23"/>
      <c r="LV297" s="23"/>
      <c r="LW297" s="23"/>
      <c r="LX297" s="23"/>
      <c r="LY297" s="23"/>
      <c r="LZ297" s="23"/>
      <c r="MA297" s="23"/>
      <c r="MB297" s="23"/>
      <c r="MC297" s="23"/>
      <c r="MD297" s="23"/>
      <c r="ME297" s="23"/>
      <c r="MF297" s="23"/>
      <c r="MG297" s="23"/>
      <c r="MH297" s="23"/>
      <c r="MI297" s="23"/>
      <c r="MJ297" s="23"/>
      <c r="MK297" s="23"/>
      <c r="ML297" s="23"/>
      <c r="MM297" s="23"/>
      <c r="MN297" s="23"/>
      <c r="MO297" s="23"/>
      <c r="MP297" s="23"/>
      <c r="MQ297" s="23"/>
      <c r="MR297" s="23"/>
      <c r="MS297" s="23"/>
      <c r="MT297" s="23"/>
      <c r="MU297" s="23"/>
      <c r="MV297" s="23"/>
      <c r="MW297" s="23"/>
      <c r="MX297" s="23"/>
      <c r="MY297" s="23"/>
      <c r="MZ297" s="23"/>
      <c r="NA297" s="23"/>
      <c r="NB297" s="23"/>
      <c r="NC297" s="23"/>
      <c r="ND297" s="23"/>
      <c r="NE297" s="23"/>
      <c r="NF297" s="23"/>
      <c r="NG297" s="23"/>
      <c r="NH297" s="23"/>
      <c r="NI297" s="23"/>
      <c r="NJ297" s="23"/>
      <c r="NK297" s="23"/>
      <c r="NL297" s="23"/>
      <c r="NM297" s="23"/>
      <c r="NN297" s="23"/>
      <c r="NO297" s="23"/>
      <c r="NP297" s="23"/>
      <c r="NQ297" s="23"/>
      <c r="NR297" s="23"/>
      <c r="NS297" s="23"/>
      <c r="NT297" s="23"/>
      <c r="NU297" s="23"/>
      <c r="NV297" s="23"/>
      <c r="NW297" s="23"/>
      <c r="NX297" s="23"/>
      <c r="NY297" s="23"/>
      <c r="NZ297" s="23"/>
      <c r="OA297" s="23"/>
      <c r="OB297" s="23"/>
      <c r="OC297" s="23"/>
      <c r="OD297" s="23"/>
      <c r="OE297" s="23"/>
      <c r="OF297" s="23"/>
      <c r="OG297" s="23"/>
      <c r="OH297" s="23"/>
      <c r="OI297" s="23"/>
      <c r="OJ297" s="23"/>
      <c r="OK297" s="23"/>
      <c r="OL297" s="23"/>
      <c r="OM297" s="23"/>
      <c r="ON297" s="23"/>
      <c r="OO297" s="23"/>
      <c r="OP297" s="23"/>
      <c r="OQ297" s="23"/>
      <c r="OR297" s="23"/>
      <c r="OS297" s="23"/>
      <c r="OT297" s="23"/>
      <c r="OU297" s="23"/>
      <c r="OV297" s="23"/>
      <c r="OW297" s="23"/>
      <c r="OX297" s="23"/>
      <c r="OY297" s="23"/>
      <c r="OZ297" s="23"/>
      <c r="PA297" s="23"/>
      <c r="PB297" s="23"/>
      <c r="PC297" s="23"/>
      <c r="PD297" s="23"/>
      <c r="PE297" s="23"/>
      <c r="PF297" s="23"/>
      <c r="PG297" s="23"/>
      <c r="PH297" s="23"/>
      <c r="PI297" s="23"/>
      <c r="PJ297" s="23"/>
      <c r="PK297" s="23"/>
      <c r="PL297" s="23"/>
      <c r="PM297" s="23"/>
      <c r="PN297" s="23"/>
      <c r="PO297" s="23"/>
      <c r="PP297" s="23"/>
      <c r="PQ297" s="23"/>
      <c r="PR297" s="23"/>
      <c r="PS297" s="23"/>
      <c r="PT297" s="23"/>
      <c r="PU297" s="23"/>
      <c r="PV297" s="23"/>
      <c r="PW297" s="23"/>
      <c r="PX297" s="23"/>
      <c r="PY297" s="23"/>
      <c r="PZ297" s="23"/>
      <c r="QA297" s="23"/>
      <c r="QB297" s="23"/>
      <c r="QC297" s="23"/>
      <c r="QD297" s="23"/>
      <c r="QE297" s="23"/>
      <c r="QF297" s="23"/>
      <c r="QG297" s="23"/>
      <c r="QH297" s="23"/>
      <c r="QI297" s="23"/>
      <c r="QJ297" s="23"/>
      <c r="QK297" s="23"/>
      <c r="QL297" s="23"/>
      <c r="QM297" s="23"/>
      <c r="QN297" s="23"/>
      <c r="QO297" s="23"/>
      <c r="QP297" s="23"/>
      <c r="QQ297" s="23"/>
      <c r="QR297" s="23"/>
      <c r="QS297" s="23"/>
      <c r="QT297" s="23"/>
      <c r="QU297" s="23"/>
      <c r="QV297" s="23"/>
      <c r="QW297" s="23"/>
      <c r="QX297" s="23"/>
      <c r="QY297" s="23"/>
      <c r="QZ297" s="23"/>
      <c r="RA297" s="23"/>
      <c r="RB297" s="23"/>
      <c r="RC297" s="23"/>
      <c r="RD297" s="23"/>
      <c r="RE297" s="23"/>
      <c r="RF297" s="23"/>
      <c r="RG297" s="23"/>
      <c r="RH297" s="23"/>
      <c r="RI297" s="23"/>
      <c r="RJ297" s="23"/>
      <c r="RK297" s="23"/>
      <c r="RL297" s="23"/>
      <c r="RM297" s="23"/>
      <c r="RN297" s="23"/>
      <c r="RO297" s="23"/>
      <c r="RP297" s="23"/>
      <c r="RQ297" s="23"/>
      <c r="RR297" s="23"/>
      <c r="RS297" s="23"/>
      <c r="RT297" s="23"/>
      <c r="RU297" s="23"/>
      <c r="RV297" s="23"/>
      <c r="RW297" s="23"/>
      <c r="RX297" s="23"/>
      <c r="RY297" s="23"/>
      <c r="RZ297" s="23"/>
      <c r="SA297" s="23"/>
      <c r="SB297" s="23"/>
      <c r="SC297" s="23"/>
      <c r="SD297" s="23"/>
      <c r="SE297" s="23"/>
      <c r="SF297" s="23"/>
      <c r="SG297" s="23"/>
      <c r="SH297" s="23"/>
      <c r="SI297" s="23"/>
      <c r="SJ297" s="23"/>
      <c r="SK297" s="23"/>
      <c r="SL297" s="23"/>
      <c r="SM297" s="23"/>
      <c r="SN297" s="23"/>
      <c r="SO297" s="23"/>
      <c r="SP297" s="23"/>
      <c r="SQ297" s="23"/>
      <c r="SR297" s="23"/>
      <c r="SS297" s="23"/>
      <c r="ST297" s="23"/>
      <c r="SU297" s="23"/>
      <c r="SV297" s="23"/>
      <c r="SW297" s="23"/>
      <c r="SX297" s="23"/>
      <c r="SY297" s="23"/>
      <c r="SZ297" s="23"/>
      <c r="TA297" s="23"/>
      <c r="TB297" s="23"/>
      <c r="TC297" s="23"/>
      <c r="TD297" s="23"/>
      <c r="TE297" s="23"/>
      <c r="TF297" s="23"/>
      <c r="TG297" s="23"/>
    </row>
    <row r="298" spans="1:527" s="25" customFormat="1" ht="25.5" customHeight="1" x14ac:dyDescent="0.25">
      <c r="A298" s="59" t="s">
        <v>216</v>
      </c>
      <c r="B298" s="93" t="str">
        <f>'дод 8'!A173</f>
        <v>7130</v>
      </c>
      <c r="C298" s="93" t="str">
        <f>'дод 8'!B173</f>
        <v>0421</v>
      </c>
      <c r="D298" s="60" t="str">
        <f>'дод 8'!C173</f>
        <v>Здійснення заходів із землеустрою</v>
      </c>
      <c r="E298" s="99">
        <f t="shared" si="164"/>
        <v>450000</v>
      </c>
      <c r="F298" s="99">
        <f>150000+300000</f>
        <v>450000</v>
      </c>
      <c r="G298" s="99"/>
      <c r="H298" s="99"/>
      <c r="I298" s="99"/>
      <c r="J298" s="99">
        <f t="shared" ref="J298:J302" si="166">L298+O298</f>
        <v>0</v>
      </c>
      <c r="K298" s="99"/>
      <c r="L298" s="99"/>
      <c r="M298" s="99"/>
      <c r="N298" s="99"/>
      <c r="O298" s="99"/>
      <c r="P298" s="99">
        <f t="shared" si="165"/>
        <v>450000</v>
      </c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/>
      <c r="HJ298" s="31"/>
      <c r="HK298" s="31"/>
      <c r="HL298" s="31"/>
      <c r="HM298" s="31"/>
      <c r="HN298" s="31"/>
      <c r="HO298" s="31"/>
      <c r="HP298" s="31"/>
      <c r="HQ298" s="31"/>
      <c r="HR298" s="31"/>
      <c r="HS298" s="31"/>
      <c r="HT298" s="31"/>
      <c r="HU298" s="31"/>
      <c r="HV298" s="31"/>
      <c r="HW298" s="31"/>
      <c r="HX298" s="31"/>
      <c r="HY298" s="31"/>
      <c r="HZ298" s="31"/>
      <c r="IA298" s="31"/>
      <c r="IB298" s="31"/>
      <c r="IC298" s="31"/>
      <c r="ID298" s="31"/>
      <c r="IE298" s="31"/>
      <c r="IF298" s="31"/>
      <c r="IG298" s="31"/>
      <c r="IH298" s="31"/>
      <c r="II298" s="31"/>
      <c r="IJ298" s="31"/>
      <c r="IK298" s="31"/>
      <c r="IL298" s="31"/>
      <c r="IM298" s="31"/>
      <c r="IN298" s="31"/>
      <c r="IO298" s="31"/>
      <c r="IP298" s="31"/>
      <c r="IQ298" s="31"/>
      <c r="IR298" s="31"/>
      <c r="IS298" s="31"/>
      <c r="IT298" s="31"/>
      <c r="IU298" s="31"/>
      <c r="IV298" s="31"/>
      <c r="IW298" s="31"/>
      <c r="IX298" s="31"/>
      <c r="IY298" s="31"/>
      <c r="IZ298" s="31"/>
      <c r="JA298" s="31"/>
      <c r="JB298" s="31"/>
      <c r="JC298" s="31"/>
      <c r="JD298" s="31"/>
      <c r="JE298" s="31"/>
      <c r="JF298" s="31"/>
      <c r="JG298" s="31"/>
      <c r="JH298" s="31"/>
      <c r="JI298" s="31"/>
      <c r="JJ298" s="31"/>
      <c r="JK298" s="31"/>
      <c r="JL298" s="31"/>
      <c r="JM298" s="31"/>
      <c r="JN298" s="31"/>
      <c r="JO298" s="31"/>
      <c r="JP298" s="31"/>
      <c r="JQ298" s="31"/>
      <c r="JR298" s="31"/>
      <c r="JS298" s="31"/>
      <c r="JT298" s="31"/>
      <c r="JU298" s="31"/>
      <c r="JV298" s="31"/>
      <c r="JW298" s="31"/>
      <c r="JX298" s="31"/>
      <c r="JY298" s="31"/>
      <c r="JZ298" s="31"/>
      <c r="KA298" s="31"/>
      <c r="KB298" s="31"/>
      <c r="KC298" s="31"/>
      <c r="KD298" s="31"/>
      <c r="KE298" s="31"/>
      <c r="KF298" s="31"/>
      <c r="KG298" s="31"/>
      <c r="KH298" s="31"/>
      <c r="KI298" s="31"/>
      <c r="KJ298" s="31"/>
      <c r="KK298" s="31"/>
      <c r="KL298" s="31"/>
      <c r="KM298" s="31"/>
      <c r="KN298" s="31"/>
      <c r="KO298" s="31"/>
      <c r="KP298" s="31"/>
      <c r="KQ298" s="31"/>
      <c r="KR298" s="31"/>
      <c r="KS298" s="31"/>
      <c r="KT298" s="31"/>
      <c r="KU298" s="31"/>
      <c r="KV298" s="31"/>
      <c r="KW298" s="31"/>
      <c r="KX298" s="31"/>
      <c r="KY298" s="31"/>
      <c r="KZ298" s="31"/>
      <c r="LA298" s="31"/>
      <c r="LB298" s="31"/>
      <c r="LC298" s="31"/>
      <c r="LD298" s="31"/>
      <c r="LE298" s="31"/>
      <c r="LF298" s="31"/>
      <c r="LG298" s="31"/>
      <c r="LH298" s="31"/>
      <c r="LI298" s="31"/>
      <c r="LJ298" s="31"/>
      <c r="LK298" s="31"/>
      <c r="LL298" s="31"/>
      <c r="LM298" s="31"/>
      <c r="LN298" s="31"/>
      <c r="LO298" s="31"/>
      <c r="LP298" s="31"/>
      <c r="LQ298" s="31"/>
      <c r="LR298" s="31"/>
      <c r="LS298" s="31"/>
      <c r="LT298" s="31"/>
      <c r="LU298" s="31"/>
      <c r="LV298" s="31"/>
      <c r="LW298" s="31"/>
      <c r="LX298" s="31"/>
      <c r="LY298" s="31"/>
      <c r="LZ298" s="31"/>
      <c r="MA298" s="31"/>
      <c r="MB298" s="31"/>
      <c r="MC298" s="31"/>
      <c r="MD298" s="31"/>
      <c r="ME298" s="31"/>
      <c r="MF298" s="31"/>
      <c r="MG298" s="31"/>
      <c r="MH298" s="31"/>
      <c r="MI298" s="31"/>
      <c r="MJ298" s="31"/>
      <c r="MK298" s="31"/>
      <c r="ML298" s="31"/>
      <c r="MM298" s="31"/>
      <c r="MN298" s="31"/>
      <c r="MO298" s="31"/>
      <c r="MP298" s="31"/>
      <c r="MQ298" s="31"/>
      <c r="MR298" s="31"/>
      <c r="MS298" s="31"/>
      <c r="MT298" s="31"/>
      <c r="MU298" s="31"/>
      <c r="MV298" s="31"/>
      <c r="MW298" s="31"/>
      <c r="MX298" s="31"/>
      <c r="MY298" s="31"/>
      <c r="MZ298" s="31"/>
      <c r="NA298" s="31"/>
      <c r="NB298" s="31"/>
      <c r="NC298" s="31"/>
      <c r="ND298" s="31"/>
      <c r="NE298" s="31"/>
      <c r="NF298" s="31"/>
      <c r="NG298" s="31"/>
      <c r="NH298" s="31"/>
      <c r="NI298" s="31"/>
      <c r="NJ298" s="31"/>
      <c r="NK298" s="31"/>
      <c r="NL298" s="31"/>
      <c r="NM298" s="31"/>
      <c r="NN298" s="31"/>
      <c r="NO298" s="31"/>
      <c r="NP298" s="31"/>
      <c r="NQ298" s="31"/>
      <c r="NR298" s="31"/>
      <c r="NS298" s="31"/>
      <c r="NT298" s="31"/>
      <c r="NU298" s="31"/>
      <c r="NV298" s="31"/>
      <c r="NW298" s="31"/>
      <c r="NX298" s="31"/>
      <c r="NY298" s="31"/>
      <c r="NZ298" s="31"/>
      <c r="OA298" s="31"/>
      <c r="OB298" s="31"/>
      <c r="OC298" s="31"/>
      <c r="OD298" s="31"/>
      <c r="OE298" s="31"/>
      <c r="OF298" s="31"/>
      <c r="OG298" s="31"/>
      <c r="OH298" s="31"/>
      <c r="OI298" s="31"/>
      <c r="OJ298" s="31"/>
      <c r="OK298" s="31"/>
      <c r="OL298" s="31"/>
      <c r="OM298" s="31"/>
      <c r="ON298" s="31"/>
      <c r="OO298" s="31"/>
      <c r="OP298" s="31"/>
      <c r="OQ298" s="31"/>
      <c r="OR298" s="31"/>
      <c r="OS298" s="31"/>
      <c r="OT298" s="31"/>
      <c r="OU298" s="31"/>
      <c r="OV298" s="31"/>
      <c r="OW298" s="31"/>
      <c r="OX298" s="31"/>
      <c r="OY298" s="31"/>
      <c r="OZ298" s="31"/>
      <c r="PA298" s="31"/>
      <c r="PB298" s="31"/>
      <c r="PC298" s="31"/>
      <c r="PD298" s="31"/>
      <c r="PE298" s="31"/>
      <c r="PF298" s="31"/>
      <c r="PG298" s="31"/>
      <c r="PH298" s="31"/>
      <c r="PI298" s="31"/>
      <c r="PJ298" s="31"/>
      <c r="PK298" s="31"/>
      <c r="PL298" s="31"/>
      <c r="PM298" s="31"/>
      <c r="PN298" s="31"/>
      <c r="PO298" s="31"/>
      <c r="PP298" s="31"/>
      <c r="PQ298" s="31"/>
      <c r="PR298" s="31"/>
      <c r="PS298" s="31"/>
      <c r="PT298" s="31"/>
      <c r="PU298" s="31"/>
      <c r="PV298" s="31"/>
      <c r="PW298" s="31"/>
      <c r="PX298" s="31"/>
      <c r="PY298" s="31"/>
      <c r="PZ298" s="31"/>
      <c r="QA298" s="31"/>
      <c r="QB298" s="31"/>
      <c r="QC298" s="31"/>
      <c r="QD298" s="31"/>
      <c r="QE298" s="31"/>
      <c r="QF298" s="31"/>
      <c r="QG298" s="31"/>
      <c r="QH298" s="31"/>
      <c r="QI298" s="31"/>
      <c r="QJ298" s="31"/>
      <c r="QK298" s="31"/>
      <c r="QL298" s="31"/>
      <c r="QM298" s="31"/>
      <c r="QN298" s="31"/>
      <c r="QO298" s="31"/>
      <c r="QP298" s="31"/>
      <c r="QQ298" s="31"/>
      <c r="QR298" s="31"/>
      <c r="QS298" s="31"/>
      <c r="QT298" s="31"/>
      <c r="QU298" s="31"/>
      <c r="QV298" s="31"/>
      <c r="QW298" s="31"/>
      <c r="QX298" s="31"/>
      <c r="QY298" s="31"/>
      <c r="QZ298" s="31"/>
      <c r="RA298" s="31"/>
      <c r="RB298" s="31"/>
      <c r="RC298" s="31"/>
      <c r="RD298" s="31"/>
      <c r="RE298" s="31"/>
      <c r="RF298" s="31"/>
      <c r="RG298" s="31"/>
      <c r="RH298" s="31"/>
      <c r="RI298" s="31"/>
      <c r="RJ298" s="31"/>
      <c r="RK298" s="31"/>
      <c r="RL298" s="31"/>
      <c r="RM298" s="31"/>
      <c r="RN298" s="31"/>
      <c r="RO298" s="31"/>
      <c r="RP298" s="31"/>
      <c r="RQ298" s="31"/>
      <c r="RR298" s="31"/>
      <c r="RS298" s="31"/>
      <c r="RT298" s="31"/>
      <c r="RU298" s="31"/>
      <c r="RV298" s="31"/>
      <c r="RW298" s="31"/>
      <c r="RX298" s="31"/>
      <c r="RY298" s="31"/>
      <c r="RZ298" s="31"/>
      <c r="SA298" s="31"/>
      <c r="SB298" s="31"/>
      <c r="SC298" s="31"/>
      <c r="SD298" s="31"/>
      <c r="SE298" s="31"/>
      <c r="SF298" s="31"/>
      <c r="SG298" s="31"/>
      <c r="SH298" s="31"/>
      <c r="SI298" s="31"/>
      <c r="SJ298" s="31"/>
      <c r="SK298" s="31"/>
      <c r="SL298" s="31"/>
      <c r="SM298" s="31"/>
      <c r="SN298" s="31"/>
      <c r="SO298" s="31"/>
      <c r="SP298" s="31"/>
      <c r="SQ298" s="31"/>
      <c r="SR298" s="31"/>
      <c r="SS298" s="31"/>
      <c r="ST298" s="31"/>
      <c r="SU298" s="31"/>
      <c r="SV298" s="31"/>
      <c r="SW298" s="31"/>
      <c r="SX298" s="31"/>
      <c r="SY298" s="31"/>
      <c r="SZ298" s="31"/>
      <c r="TA298" s="31"/>
      <c r="TB298" s="31"/>
      <c r="TC298" s="31"/>
      <c r="TD298" s="31"/>
      <c r="TE298" s="31"/>
      <c r="TF298" s="31"/>
      <c r="TG298" s="31"/>
    </row>
    <row r="299" spans="1:527" s="22" customFormat="1" ht="29.25" customHeight="1" x14ac:dyDescent="0.25">
      <c r="A299" s="103" t="s">
        <v>217</v>
      </c>
      <c r="B299" s="42" t="str">
        <f>'дод 8'!A214</f>
        <v>7610</v>
      </c>
      <c r="C299" s="42" t="str">
        <f>'дод 8'!B214</f>
        <v>0411</v>
      </c>
      <c r="D299" s="36" t="str">
        <f>'дод 8'!C214</f>
        <v>Сприяння розвитку малого та середнього підприємництва</v>
      </c>
      <c r="E299" s="99">
        <f t="shared" si="164"/>
        <v>415000</v>
      </c>
      <c r="F299" s="99">
        <v>415000</v>
      </c>
      <c r="G299" s="99"/>
      <c r="H299" s="99"/>
      <c r="I299" s="99">
        <f>500000-500000</f>
        <v>0</v>
      </c>
      <c r="J299" s="99">
        <f t="shared" si="166"/>
        <v>0</v>
      </c>
      <c r="K299" s="99"/>
      <c r="L299" s="99"/>
      <c r="M299" s="99"/>
      <c r="N299" s="99"/>
      <c r="O299" s="99"/>
      <c r="P299" s="99">
        <f t="shared" si="165"/>
        <v>415000</v>
      </c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  <c r="TF299" s="23"/>
      <c r="TG299" s="23"/>
    </row>
    <row r="300" spans="1:527" s="22" customFormat="1" ht="32.25" customHeight="1" x14ac:dyDescent="0.25">
      <c r="A300" s="103" t="s">
        <v>266</v>
      </c>
      <c r="B300" s="42" t="str">
        <f>'дод 8'!A217</f>
        <v>7650</v>
      </c>
      <c r="C300" s="42" t="str">
        <f>'дод 8'!B217</f>
        <v>0490</v>
      </c>
      <c r="D300" s="36" t="str">
        <f>'дод 8'!C217</f>
        <v>Проведення експертної грошової оцінки земельної ділянки чи права на неї</v>
      </c>
      <c r="E300" s="99">
        <f t="shared" si="164"/>
        <v>0</v>
      </c>
      <c r="F300" s="99"/>
      <c r="G300" s="99"/>
      <c r="H300" s="99"/>
      <c r="I300" s="99"/>
      <c r="J300" s="99">
        <f t="shared" si="166"/>
        <v>20000</v>
      </c>
      <c r="K300" s="99">
        <v>20000</v>
      </c>
      <c r="L300" s="99"/>
      <c r="M300" s="99"/>
      <c r="N300" s="99"/>
      <c r="O300" s="99">
        <v>20000</v>
      </c>
      <c r="P300" s="99">
        <f t="shared" si="165"/>
        <v>20000</v>
      </c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  <c r="TF300" s="23"/>
      <c r="TG300" s="23"/>
    </row>
    <row r="301" spans="1:527" s="22" customFormat="1" ht="67.5" customHeight="1" x14ac:dyDescent="0.25">
      <c r="A301" s="103" t="s">
        <v>268</v>
      </c>
      <c r="B301" s="42" t="str">
        <f>'дод 8'!A218</f>
        <v>7660</v>
      </c>
      <c r="C301" s="42" t="str">
        <f>'дод 8'!B218</f>
        <v>0490</v>
      </c>
      <c r="D301" s="36" t="str">
        <f>'дод 8'!C218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01" s="99">
        <f t="shared" si="164"/>
        <v>0</v>
      </c>
      <c r="F301" s="99"/>
      <c r="G301" s="99"/>
      <c r="H301" s="99"/>
      <c r="I301" s="99"/>
      <c r="J301" s="99">
        <f t="shared" si="166"/>
        <v>45000</v>
      </c>
      <c r="K301" s="99">
        <v>45000</v>
      </c>
      <c r="L301" s="99"/>
      <c r="M301" s="99"/>
      <c r="N301" s="99"/>
      <c r="O301" s="99">
        <v>45000</v>
      </c>
      <c r="P301" s="99">
        <f t="shared" si="165"/>
        <v>45000</v>
      </c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  <c r="TF301" s="23"/>
      <c r="TG301" s="23"/>
    </row>
    <row r="302" spans="1:527" s="22" customFormat="1" ht="23.25" customHeight="1" x14ac:dyDescent="0.25">
      <c r="A302" s="103" t="s">
        <v>264</v>
      </c>
      <c r="B302" s="42" t="str">
        <f>'дод 8'!A223</f>
        <v>7693</v>
      </c>
      <c r="C302" s="42" t="str">
        <f>'дод 8'!B223</f>
        <v>0490</v>
      </c>
      <c r="D302" s="36" t="str">
        <f>'дод 8'!C223</f>
        <v>Інші заходи, пов'язані з економічною діяльністю</v>
      </c>
      <c r="E302" s="99">
        <f t="shared" si="164"/>
        <v>788000</v>
      </c>
      <c r="F302" s="99">
        <f>788000</f>
        <v>788000</v>
      </c>
      <c r="G302" s="99"/>
      <c r="H302" s="99"/>
      <c r="I302" s="99"/>
      <c r="J302" s="99">
        <f t="shared" si="166"/>
        <v>0</v>
      </c>
      <c r="K302" s="99"/>
      <c r="L302" s="99"/>
      <c r="M302" s="99"/>
      <c r="N302" s="99"/>
      <c r="O302" s="99"/>
      <c r="P302" s="99">
        <f t="shared" si="165"/>
        <v>788000</v>
      </c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  <c r="TF302" s="23"/>
      <c r="TG302" s="23"/>
    </row>
    <row r="303" spans="1:527" s="22" customFormat="1" ht="35.25" customHeight="1" x14ac:dyDescent="0.25">
      <c r="A303" s="106" t="s">
        <v>426</v>
      </c>
      <c r="B303" s="39"/>
      <c r="C303" s="39"/>
      <c r="D303" s="107" t="s">
        <v>427</v>
      </c>
      <c r="E303" s="95">
        <f>E304</f>
        <v>20000</v>
      </c>
      <c r="F303" s="95">
        <f t="shared" ref="F303:P303" si="167">F304</f>
        <v>20000</v>
      </c>
      <c r="G303" s="95">
        <f t="shared" si="167"/>
        <v>0</v>
      </c>
      <c r="H303" s="95">
        <f t="shared" si="167"/>
        <v>0</v>
      </c>
      <c r="I303" s="95">
        <f t="shared" si="167"/>
        <v>0</v>
      </c>
      <c r="J303" s="95">
        <f t="shared" si="167"/>
        <v>0</v>
      </c>
      <c r="K303" s="95">
        <f t="shared" si="167"/>
        <v>0</v>
      </c>
      <c r="L303" s="95">
        <f t="shared" si="167"/>
        <v>0</v>
      </c>
      <c r="M303" s="95">
        <f t="shared" si="167"/>
        <v>0</v>
      </c>
      <c r="N303" s="95">
        <f t="shared" si="167"/>
        <v>0</v>
      </c>
      <c r="O303" s="95">
        <f t="shared" si="167"/>
        <v>0</v>
      </c>
      <c r="P303" s="95">
        <f t="shared" si="167"/>
        <v>20000</v>
      </c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  <c r="SQ303" s="23"/>
      <c r="SR303" s="23"/>
      <c r="SS303" s="23"/>
      <c r="ST303" s="23"/>
      <c r="SU303" s="23"/>
      <c r="SV303" s="23"/>
      <c r="SW303" s="23"/>
      <c r="SX303" s="23"/>
      <c r="SY303" s="23"/>
      <c r="SZ303" s="23"/>
      <c r="TA303" s="23"/>
      <c r="TB303" s="23"/>
      <c r="TC303" s="23"/>
      <c r="TD303" s="23"/>
      <c r="TE303" s="23"/>
      <c r="TF303" s="23"/>
      <c r="TG303" s="23"/>
    </row>
    <row r="304" spans="1:527" s="34" customFormat="1" ht="34.5" customHeight="1" x14ac:dyDescent="0.25">
      <c r="A304" s="108" t="s">
        <v>425</v>
      </c>
      <c r="B304" s="74"/>
      <c r="C304" s="74"/>
      <c r="D304" s="77" t="s">
        <v>427</v>
      </c>
      <c r="E304" s="98">
        <f>E305</f>
        <v>20000</v>
      </c>
      <c r="F304" s="98">
        <f t="shared" ref="F304:P304" si="168">F305</f>
        <v>20000</v>
      </c>
      <c r="G304" s="98">
        <f t="shared" si="168"/>
        <v>0</v>
      </c>
      <c r="H304" s="98">
        <f t="shared" si="168"/>
        <v>0</v>
      </c>
      <c r="I304" s="98">
        <f t="shared" si="168"/>
        <v>0</v>
      </c>
      <c r="J304" s="98">
        <f t="shared" si="168"/>
        <v>0</v>
      </c>
      <c r="K304" s="98">
        <f t="shared" si="168"/>
        <v>0</v>
      </c>
      <c r="L304" s="98">
        <f t="shared" si="168"/>
        <v>0</v>
      </c>
      <c r="M304" s="98">
        <f t="shared" si="168"/>
        <v>0</v>
      </c>
      <c r="N304" s="98">
        <f t="shared" si="168"/>
        <v>0</v>
      </c>
      <c r="O304" s="98">
        <f t="shared" si="168"/>
        <v>0</v>
      </c>
      <c r="P304" s="98">
        <f t="shared" si="168"/>
        <v>20000</v>
      </c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  <c r="GB304" s="33"/>
      <c r="GC304" s="33"/>
      <c r="GD304" s="33"/>
      <c r="GE304" s="33"/>
      <c r="GF304" s="33"/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33"/>
      <c r="GZ304" s="33"/>
      <c r="HA304" s="33"/>
      <c r="HB304" s="33"/>
      <c r="HC304" s="33"/>
      <c r="HD304" s="33"/>
      <c r="HE304" s="33"/>
      <c r="HF304" s="33"/>
      <c r="HG304" s="33"/>
      <c r="HH304" s="33"/>
      <c r="HI304" s="33"/>
      <c r="HJ304" s="33"/>
      <c r="HK304" s="33"/>
      <c r="HL304" s="33"/>
      <c r="HM304" s="33"/>
      <c r="HN304" s="33"/>
      <c r="HO304" s="33"/>
      <c r="HP304" s="33"/>
      <c r="HQ304" s="33"/>
      <c r="HR304" s="33"/>
      <c r="HS304" s="33"/>
      <c r="HT304" s="33"/>
      <c r="HU304" s="33"/>
      <c r="HV304" s="33"/>
      <c r="HW304" s="33"/>
      <c r="HX304" s="33"/>
      <c r="HY304" s="33"/>
      <c r="HZ304" s="33"/>
      <c r="IA304" s="33"/>
      <c r="IB304" s="33"/>
      <c r="IC304" s="33"/>
      <c r="ID304" s="33"/>
      <c r="IE304" s="33"/>
      <c r="IF304" s="33"/>
      <c r="IG304" s="33"/>
      <c r="IH304" s="33"/>
      <c r="II304" s="33"/>
      <c r="IJ304" s="33"/>
      <c r="IK304" s="33"/>
      <c r="IL304" s="33"/>
      <c r="IM304" s="33"/>
      <c r="IN304" s="33"/>
      <c r="IO304" s="33"/>
      <c r="IP304" s="33"/>
      <c r="IQ304" s="33"/>
      <c r="IR304" s="33"/>
      <c r="IS304" s="33"/>
      <c r="IT304" s="33"/>
      <c r="IU304" s="33"/>
      <c r="IV304" s="33"/>
      <c r="IW304" s="33"/>
      <c r="IX304" s="33"/>
      <c r="IY304" s="33"/>
      <c r="IZ304" s="33"/>
      <c r="JA304" s="33"/>
      <c r="JB304" s="33"/>
      <c r="JC304" s="33"/>
      <c r="JD304" s="33"/>
      <c r="JE304" s="33"/>
      <c r="JF304" s="33"/>
      <c r="JG304" s="33"/>
      <c r="JH304" s="33"/>
      <c r="JI304" s="33"/>
      <c r="JJ304" s="33"/>
      <c r="JK304" s="33"/>
      <c r="JL304" s="33"/>
      <c r="JM304" s="33"/>
      <c r="JN304" s="33"/>
      <c r="JO304" s="33"/>
      <c r="JP304" s="33"/>
      <c r="JQ304" s="33"/>
      <c r="JR304" s="33"/>
      <c r="JS304" s="33"/>
      <c r="JT304" s="33"/>
      <c r="JU304" s="33"/>
      <c r="JV304" s="33"/>
      <c r="JW304" s="33"/>
      <c r="JX304" s="33"/>
      <c r="JY304" s="33"/>
      <c r="JZ304" s="33"/>
      <c r="KA304" s="33"/>
      <c r="KB304" s="33"/>
      <c r="KC304" s="33"/>
      <c r="KD304" s="33"/>
      <c r="KE304" s="33"/>
      <c r="KF304" s="33"/>
      <c r="KG304" s="33"/>
      <c r="KH304" s="33"/>
      <c r="KI304" s="33"/>
      <c r="KJ304" s="33"/>
      <c r="KK304" s="33"/>
      <c r="KL304" s="33"/>
      <c r="KM304" s="33"/>
      <c r="KN304" s="33"/>
      <c r="KO304" s="33"/>
      <c r="KP304" s="33"/>
      <c r="KQ304" s="33"/>
      <c r="KR304" s="33"/>
      <c r="KS304" s="33"/>
      <c r="KT304" s="33"/>
      <c r="KU304" s="33"/>
      <c r="KV304" s="33"/>
      <c r="KW304" s="33"/>
      <c r="KX304" s="33"/>
      <c r="KY304" s="33"/>
      <c r="KZ304" s="33"/>
      <c r="LA304" s="33"/>
      <c r="LB304" s="33"/>
      <c r="LC304" s="33"/>
      <c r="LD304" s="33"/>
      <c r="LE304" s="33"/>
      <c r="LF304" s="33"/>
      <c r="LG304" s="33"/>
      <c r="LH304" s="33"/>
      <c r="LI304" s="33"/>
      <c r="LJ304" s="33"/>
      <c r="LK304" s="33"/>
      <c r="LL304" s="33"/>
      <c r="LM304" s="33"/>
      <c r="LN304" s="33"/>
      <c r="LO304" s="33"/>
      <c r="LP304" s="33"/>
      <c r="LQ304" s="33"/>
      <c r="LR304" s="33"/>
      <c r="LS304" s="33"/>
      <c r="LT304" s="33"/>
      <c r="LU304" s="33"/>
      <c r="LV304" s="33"/>
      <c r="LW304" s="33"/>
      <c r="LX304" s="33"/>
      <c r="LY304" s="33"/>
      <c r="LZ304" s="33"/>
      <c r="MA304" s="33"/>
      <c r="MB304" s="33"/>
      <c r="MC304" s="33"/>
      <c r="MD304" s="33"/>
      <c r="ME304" s="33"/>
      <c r="MF304" s="33"/>
      <c r="MG304" s="33"/>
      <c r="MH304" s="33"/>
      <c r="MI304" s="33"/>
      <c r="MJ304" s="33"/>
      <c r="MK304" s="33"/>
      <c r="ML304" s="33"/>
      <c r="MM304" s="33"/>
      <c r="MN304" s="33"/>
      <c r="MO304" s="33"/>
      <c r="MP304" s="33"/>
      <c r="MQ304" s="33"/>
      <c r="MR304" s="33"/>
      <c r="MS304" s="33"/>
      <c r="MT304" s="33"/>
      <c r="MU304" s="33"/>
      <c r="MV304" s="33"/>
      <c r="MW304" s="33"/>
      <c r="MX304" s="33"/>
      <c r="MY304" s="33"/>
      <c r="MZ304" s="33"/>
      <c r="NA304" s="33"/>
      <c r="NB304" s="33"/>
      <c r="NC304" s="33"/>
      <c r="ND304" s="33"/>
      <c r="NE304" s="33"/>
      <c r="NF304" s="33"/>
      <c r="NG304" s="33"/>
      <c r="NH304" s="33"/>
      <c r="NI304" s="33"/>
      <c r="NJ304" s="33"/>
      <c r="NK304" s="33"/>
      <c r="NL304" s="33"/>
      <c r="NM304" s="33"/>
      <c r="NN304" s="33"/>
      <c r="NO304" s="33"/>
      <c r="NP304" s="33"/>
      <c r="NQ304" s="33"/>
      <c r="NR304" s="33"/>
      <c r="NS304" s="33"/>
      <c r="NT304" s="33"/>
      <c r="NU304" s="33"/>
      <c r="NV304" s="33"/>
      <c r="NW304" s="33"/>
      <c r="NX304" s="33"/>
      <c r="NY304" s="33"/>
      <c r="NZ304" s="33"/>
      <c r="OA304" s="33"/>
      <c r="OB304" s="33"/>
      <c r="OC304" s="33"/>
      <c r="OD304" s="33"/>
      <c r="OE304" s="33"/>
      <c r="OF304" s="33"/>
      <c r="OG304" s="33"/>
      <c r="OH304" s="33"/>
      <c r="OI304" s="33"/>
      <c r="OJ304" s="33"/>
      <c r="OK304" s="33"/>
      <c r="OL304" s="33"/>
      <c r="OM304" s="33"/>
      <c r="ON304" s="33"/>
      <c r="OO304" s="33"/>
      <c r="OP304" s="33"/>
      <c r="OQ304" s="33"/>
      <c r="OR304" s="33"/>
      <c r="OS304" s="33"/>
      <c r="OT304" s="33"/>
      <c r="OU304" s="33"/>
      <c r="OV304" s="33"/>
      <c r="OW304" s="33"/>
      <c r="OX304" s="33"/>
      <c r="OY304" s="33"/>
      <c r="OZ304" s="33"/>
      <c r="PA304" s="33"/>
      <c r="PB304" s="33"/>
      <c r="PC304" s="33"/>
      <c r="PD304" s="33"/>
      <c r="PE304" s="33"/>
      <c r="PF304" s="33"/>
      <c r="PG304" s="33"/>
      <c r="PH304" s="33"/>
      <c r="PI304" s="33"/>
      <c r="PJ304" s="33"/>
      <c r="PK304" s="33"/>
      <c r="PL304" s="33"/>
      <c r="PM304" s="33"/>
      <c r="PN304" s="33"/>
      <c r="PO304" s="33"/>
      <c r="PP304" s="33"/>
      <c r="PQ304" s="33"/>
      <c r="PR304" s="33"/>
      <c r="PS304" s="33"/>
      <c r="PT304" s="33"/>
      <c r="PU304" s="33"/>
      <c r="PV304" s="33"/>
      <c r="PW304" s="33"/>
      <c r="PX304" s="33"/>
      <c r="PY304" s="33"/>
      <c r="PZ304" s="33"/>
      <c r="QA304" s="33"/>
      <c r="QB304" s="33"/>
      <c r="QC304" s="33"/>
      <c r="QD304" s="33"/>
      <c r="QE304" s="33"/>
      <c r="QF304" s="33"/>
      <c r="QG304" s="33"/>
      <c r="QH304" s="33"/>
      <c r="QI304" s="33"/>
      <c r="QJ304" s="33"/>
      <c r="QK304" s="33"/>
      <c r="QL304" s="33"/>
      <c r="QM304" s="33"/>
      <c r="QN304" s="33"/>
      <c r="QO304" s="33"/>
      <c r="QP304" s="33"/>
      <c r="QQ304" s="33"/>
      <c r="QR304" s="33"/>
      <c r="QS304" s="33"/>
      <c r="QT304" s="33"/>
      <c r="QU304" s="33"/>
      <c r="QV304" s="33"/>
      <c r="QW304" s="33"/>
      <c r="QX304" s="33"/>
      <c r="QY304" s="33"/>
      <c r="QZ304" s="33"/>
      <c r="RA304" s="33"/>
      <c r="RB304" s="33"/>
      <c r="RC304" s="33"/>
      <c r="RD304" s="33"/>
      <c r="RE304" s="33"/>
      <c r="RF304" s="33"/>
      <c r="RG304" s="33"/>
      <c r="RH304" s="33"/>
      <c r="RI304" s="33"/>
      <c r="RJ304" s="33"/>
      <c r="RK304" s="33"/>
      <c r="RL304" s="33"/>
      <c r="RM304" s="33"/>
      <c r="RN304" s="33"/>
      <c r="RO304" s="33"/>
      <c r="RP304" s="33"/>
      <c r="RQ304" s="33"/>
      <c r="RR304" s="33"/>
      <c r="RS304" s="33"/>
      <c r="RT304" s="33"/>
      <c r="RU304" s="33"/>
      <c r="RV304" s="33"/>
      <c r="RW304" s="33"/>
      <c r="RX304" s="33"/>
      <c r="RY304" s="33"/>
      <c r="RZ304" s="33"/>
      <c r="SA304" s="33"/>
      <c r="SB304" s="33"/>
      <c r="SC304" s="33"/>
      <c r="SD304" s="33"/>
      <c r="SE304" s="33"/>
      <c r="SF304" s="33"/>
      <c r="SG304" s="33"/>
      <c r="SH304" s="33"/>
      <c r="SI304" s="33"/>
      <c r="SJ304" s="33"/>
      <c r="SK304" s="33"/>
      <c r="SL304" s="33"/>
      <c r="SM304" s="33"/>
      <c r="SN304" s="33"/>
      <c r="SO304" s="33"/>
      <c r="SP304" s="33"/>
      <c r="SQ304" s="33"/>
      <c r="SR304" s="33"/>
      <c r="SS304" s="33"/>
      <c r="ST304" s="33"/>
      <c r="SU304" s="33"/>
      <c r="SV304" s="33"/>
      <c r="SW304" s="33"/>
      <c r="SX304" s="33"/>
      <c r="SY304" s="33"/>
      <c r="SZ304" s="33"/>
      <c r="TA304" s="33"/>
      <c r="TB304" s="33"/>
      <c r="TC304" s="33"/>
      <c r="TD304" s="33"/>
      <c r="TE304" s="33"/>
      <c r="TF304" s="33"/>
      <c r="TG304" s="33"/>
    </row>
    <row r="305" spans="1:527" s="22" customFormat="1" ht="45.75" customHeight="1" x14ac:dyDescent="0.25">
      <c r="A305" s="103" t="s">
        <v>424</v>
      </c>
      <c r="B305" s="103" t="s">
        <v>119</v>
      </c>
      <c r="C305" s="103" t="s">
        <v>46</v>
      </c>
      <c r="D305" s="36" t="s">
        <v>494</v>
      </c>
      <c r="E305" s="99">
        <f t="shared" ref="E305" si="169">F305+I305</f>
        <v>20000</v>
      </c>
      <c r="F305" s="99">
        <v>20000</v>
      </c>
      <c r="G305" s="99"/>
      <c r="H305" s="99"/>
      <c r="I305" s="99"/>
      <c r="J305" s="99">
        <f>L305+O305</f>
        <v>0</v>
      </c>
      <c r="K305" s="99"/>
      <c r="L305" s="99"/>
      <c r="M305" s="99"/>
      <c r="N305" s="99"/>
      <c r="O305" s="99"/>
      <c r="P305" s="99">
        <f t="shared" ref="P305" si="170">E305+J305</f>
        <v>20000</v>
      </c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  <c r="TF305" s="23"/>
      <c r="TG305" s="23"/>
    </row>
    <row r="306" spans="1:527" s="27" customFormat="1" ht="38.25" customHeight="1" x14ac:dyDescent="0.25">
      <c r="A306" s="110" t="s">
        <v>218</v>
      </c>
      <c r="B306" s="112"/>
      <c r="C306" s="112"/>
      <c r="D306" s="107" t="s">
        <v>41</v>
      </c>
      <c r="E306" s="95">
        <f>E307</f>
        <v>129344458.44</v>
      </c>
      <c r="F306" s="95">
        <f t="shared" ref="F306:J306" si="171">F307</f>
        <v>123765812</v>
      </c>
      <c r="G306" s="95">
        <f t="shared" si="171"/>
        <v>15760200</v>
      </c>
      <c r="H306" s="95">
        <f t="shared" si="171"/>
        <v>272273</v>
      </c>
      <c r="I306" s="95">
        <f t="shared" si="171"/>
        <v>0</v>
      </c>
      <c r="J306" s="95">
        <f t="shared" si="171"/>
        <v>502000</v>
      </c>
      <c r="K306" s="95">
        <f t="shared" ref="K306" si="172">K307</f>
        <v>0</v>
      </c>
      <c r="L306" s="95">
        <f t="shared" ref="L306" si="173">L307</f>
        <v>502000</v>
      </c>
      <c r="M306" s="95">
        <f t="shared" ref="M306" si="174">M307</f>
        <v>0</v>
      </c>
      <c r="N306" s="95">
        <f t="shared" ref="N306" si="175">N307</f>
        <v>0</v>
      </c>
      <c r="O306" s="95">
        <f t="shared" ref="O306:P306" si="176">O307</f>
        <v>0</v>
      </c>
      <c r="P306" s="95">
        <f t="shared" si="176"/>
        <v>129846458.44</v>
      </c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  <c r="IT306" s="32"/>
      <c r="IU306" s="32"/>
      <c r="IV306" s="32"/>
      <c r="IW306" s="32"/>
      <c r="IX306" s="32"/>
      <c r="IY306" s="32"/>
      <c r="IZ306" s="32"/>
      <c r="JA306" s="32"/>
      <c r="JB306" s="32"/>
      <c r="JC306" s="32"/>
      <c r="JD306" s="32"/>
      <c r="JE306" s="32"/>
      <c r="JF306" s="32"/>
      <c r="JG306" s="32"/>
      <c r="JH306" s="32"/>
      <c r="JI306" s="32"/>
      <c r="JJ306" s="32"/>
      <c r="JK306" s="32"/>
      <c r="JL306" s="32"/>
      <c r="JM306" s="32"/>
      <c r="JN306" s="32"/>
      <c r="JO306" s="32"/>
      <c r="JP306" s="32"/>
      <c r="JQ306" s="32"/>
      <c r="JR306" s="32"/>
      <c r="JS306" s="32"/>
      <c r="JT306" s="32"/>
      <c r="JU306" s="32"/>
      <c r="JV306" s="32"/>
      <c r="JW306" s="32"/>
      <c r="JX306" s="32"/>
      <c r="JY306" s="32"/>
      <c r="JZ306" s="32"/>
      <c r="KA306" s="32"/>
      <c r="KB306" s="32"/>
      <c r="KC306" s="32"/>
      <c r="KD306" s="32"/>
      <c r="KE306" s="32"/>
      <c r="KF306" s="32"/>
      <c r="KG306" s="32"/>
      <c r="KH306" s="32"/>
      <c r="KI306" s="32"/>
      <c r="KJ306" s="32"/>
      <c r="KK306" s="32"/>
      <c r="KL306" s="32"/>
      <c r="KM306" s="32"/>
      <c r="KN306" s="32"/>
      <c r="KO306" s="32"/>
      <c r="KP306" s="32"/>
      <c r="KQ306" s="32"/>
      <c r="KR306" s="32"/>
      <c r="KS306" s="32"/>
      <c r="KT306" s="32"/>
      <c r="KU306" s="32"/>
      <c r="KV306" s="32"/>
      <c r="KW306" s="32"/>
      <c r="KX306" s="32"/>
      <c r="KY306" s="32"/>
      <c r="KZ306" s="32"/>
      <c r="LA306" s="32"/>
      <c r="LB306" s="32"/>
      <c r="LC306" s="32"/>
      <c r="LD306" s="32"/>
      <c r="LE306" s="32"/>
      <c r="LF306" s="32"/>
      <c r="LG306" s="32"/>
      <c r="LH306" s="32"/>
      <c r="LI306" s="32"/>
      <c r="LJ306" s="32"/>
      <c r="LK306" s="32"/>
      <c r="LL306" s="32"/>
      <c r="LM306" s="32"/>
      <c r="LN306" s="32"/>
      <c r="LO306" s="32"/>
      <c r="LP306" s="32"/>
      <c r="LQ306" s="32"/>
      <c r="LR306" s="32"/>
      <c r="LS306" s="32"/>
      <c r="LT306" s="32"/>
      <c r="LU306" s="32"/>
      <c r="LV306" s="32"/>
      <c r="LW306" s="32"/>
      <c r="LX306" s="32"/>
      <c r="LY306" s="32"/>
      <c r="LZ306" s="32"/>
      <c r="MA306" s="32"/>
      <c r="MB306" s="32"/>
      <c r="MC306" s="32"/>
      <c r="MD306" s="32"/>
      <c r="ME306" s="32"/>
      <c r="MF306" s="32"/>
      <c r="MG306" s="32"/>
      <c r="MH306" s="32"/>
      <c r="MI306" s="32"/>
      <c r="MJ306" s="32"/>
      <c r="MK306" s="32"/>
      <c r="ML306" s="32"/>
      <c r="MM306" s="32"/>
      <c r="MN306" s="32"/>
      <c r="MO306" s="32"/>
      <c r="MP306" s="32"/>
      <c r="MQ306" s="32"/>
      <c r="MR306" s="32"/>
      <c r="MS306" s="32"/>
      <c r="MT306" s="32"/>
      <c r="MU306" s="32"/>
      <c r="MV306" s="32"/>
      <c r="MW306" s="32"/>
      <c r="MX306" s="32"/>
      <c r="MY306" s="32"/>
      <c r="MZ306" s="32"/>
      <c r="NA306" s="32"/>
      <c r="NB306" s="32"/>
      <c r="NC306" s="32"/>
      <c r="ND306" s="32"/>
      <c r="NE306" s="32"/>
      <c r="NF306" s="32"/>
      <c r="NG306" s="32"/>
      <c r="NH306" s="32"/>
      <c r="NI306" s="32"/>
      <c r="NJ306" s="32"/>
      <c r="NK306" s="32"/>
      <c r="NL306" s="32"/>
      <c r="NM306" s="32"/>
      <c r="NN306" s="32"/>
      <c r="NO306" s="32"/>
      <c r="NP306" s="32"/>
      <c r="NQ306" s="32"/>
      <c r="NR306" s="32"/>
      <c r="NS306" s="32"/>
      <c r="NT306" s="32"/>
      <c r="NU306" s="32"/>
      <c r="NV306" s="32"/>
      <c r="NW306" s="32"/>
      <c r="NX306" s="32"/>
      <c r="NY306" s="32"/>
      <c r="NZ306" s="32"/>
      <c r="OA306" s="32"/>
      <c r="OB306" s="32"/>
      <c r="OC306" s="32"/>
      <c r="OD306" s="32"/>
      <c r="OE306" s="32"/>
      <c r="OF306" s="32"/>
      <c r="OG306" s="32"/>
      <c r="OH306" s="32"/>
      <c r="OI306" s="32"/>
      <c r="OJ306" s="32"/>
      <c r="OK306" s="32"/>
      <c r="OL306" s="32"/>
      <c r="OM306" s="32"/>
      <c r="ON306" s="32"/>
      <c r="OO306" s="32"/>
      <c r="OP306" s="32"/>
      <c r="OQ306" s="32"/>
      <c r="OR306" s="32"/>
      <c r="OS306" s="32"/>
      <c r="OT306" s="32"/>
      <c r="OU306" s="32"/>
      <c r="OV306" s="32"/>
      <c r="OW306" s="32"/>
      <c r="OX306" s="32"/>
      <c r="OY306" s="32"/>
      <c r="OZ306" s="32"/>
      <c r="PA306" s="32"/>
      <c r="PB306" s="32"/>
      <c r="PC306" s="32"/>
      <c r="PD306" s="32"/>
      <c r="PE306" s="32"/>
      <c r="PF306" s="32"/>
      <c r="PG306" s="32"/>
      <c r="PH306" s="32"/>
      <c r="PI306" s="32"/>
      <c r="PJ306" s="32"/>
      <c r="PK306" s="32"/>
      <c r="PL306" s="32"/>
      <c r="PM306" s="32"/>
      <c r="PN306" s="32"/>
      <c r="PO306" s="32"/>
      <c r="PP306" s="32"/>
      <c r="PQ306" s="32"/>
      <c r="PR306" s="32"/>
      <c r="PS306" s="32"/>
      <c r="PT306" s="32"/>
      <c r="PU306" s="32"/>
      <c r="PV306" s="32"/>
      <c r="PW306" s="32"/>
      <c r="PX306" s="32"/>
      <c r="PY306" s="32"/>
      <c r="PZ306" s="32"/>
      <c r="QA306" s="32"/>
      <c r="QB306" s="32"/>
      <c r="QC306" s="32"/>
      <c r="QD306" s="32"/>
      <c r="QE306" s="32"/>
      <c r="QF306" s="32"/>
      <c r="QG306" s="32"/>
      <c r="QH306" s="32"/>
      <c r="QI306" s="32"/>
      <c r="QJ306" s="32"/>
      <c r="QK306" s="32"/>
      <c r="QL306" s="32"/>
      <c r="QM306" s="32"/>
      <c r="QN306" s="32"/>
      <c r="QO306" s="32"/>
      <c r="QP306" s="32"/>
      <c r="QQ306" s="32"/>
      <c r="QR306" s="32"/>
      <c r="QS306" s="32"/>
      <c r="QT306" s="32"/>
      <c r="QU306" s="32"/>
      <c r="QV306" s="32"/>
      <c r="QW306" s="32"/>
      <c r="QX306" s="32"/>
      <c r="QY306" s="32"/>
      <c r="QZ306" s="32"/>
      <c r="RA306" s="32"/>
      <c r="RB306" s="32"/>
      <c r="RC306" s="32"/>
      <c r="RD306" s="32"/>
      <c r="RE306" s="32"/>
      <c r="RF306" s="32"/>
      <c r="RG306" s="32"/>
      <c r="RH306" s="32"/>
      <c r="RI306" s="32"/>
      <c r="RJ306" s="32"/>
      <c r="RK306" s="32"/>
      <c r="RL306" s="32"/>
      <c r="RM306" s="32"/>
      <c r="RN306" s="32"/>
      <c r="RO306" s="32"/>
      <c r="RP306" s="32"/>
      <c r="RQ306" s="32"/>
      <c r="RR306" s="32"/>
      <c r="RS306" s="32"/>
      <c r="RT306" s="32"/>
      <c r="RU306" s="32"/>
      <c r="RV306" s="32"/>
      <c r="RW306" s="32"/>
      <c r="RX306" s="32"/>
      <c r="RY306" s="32"/>
      <c r="RZ306" s="32"/>
      <c r="SA306" s="32"/>
      <c r="SB306" s="32"/>
      <c r="SC306" s="32"/>
      <c r="SD306" s="32"/>
      <c r="SE306" s="32"/>
      <c r="SF306" s="32"/>
      <c r="SG306" s="32"/>
      <c r="SH306" s="32"/>
      <c r="SI306" s="32"/>
      <c r="SJ306" s="32"/>
      <c r="SK306" s="32"/>
      <c r="SL306" s="32"/>
      <c r="SM306" s="32"/>
      <c r="SN306" s="32"/>
      <c r="SO306" s="32"/>
      <c r="SP306" s="32"/>
      <c r="SQ306" s="32"/>
      <c r="SR306" s="32"/>
      <c r="SS306" s="32"/>
      <c r="ST306" s="32"/>
      <c r="SU306" s="32"/>
      <c r="SV306" s="32"/>
      <c r="SW306" s="32"/>
      <c r="SX306" s="32"/>
      <c r="SY306" s="32"/>
      <c r="SZ306" s="32"/>
      <c r="TA306" s="32"/>
      <c r="TB306" s="32"/>
      <c r="TC306" s="32"/>
      <c r="TD306" s="32"/>
      <c r="TE306" s="32"/>
      <c r="TF306" s="32"/>
      <c r="TG306" s="32"/>
    </row>
    <row r="307" spans="1:527" s="34" customFormat="1" ht="34.5" customHeight="1" x14ac:dyDescent="0.25">
      <c r="A307" s="96" t="s">
        <v>219</v>
      </c>
      <c r="B307" s="109"/>
      <c r="C307" s="109"/>
      <c r="D307" s="77" t="s">
        <v>41</v>
      </c>
      <c r="E307" s="98">
        <f>SUM(E308+E309+E310+E312+E313+E314+E315+E311)</f>
        <v>129344458.44</v>
      </c>
      <c r="F307" s="98">
        <f t="shared" ref="F307:P307" si="177">SUM(F308+F309+F310+F312+F313+F314+F315+F311)</f>
        <v>123765812</v>
      </c>
      <c r="G307" s="98">
        <f t="shared" si="177"/>
        <v>15760200</v>
      </c>
      <c r="H307" s="98">
        <f t="shared" si="177"/>
        <v>272273</v>
      </c>
      <c r="I307" s="98">
        <f t="shared" si="177"/>
        <v>0</v>
      </c>
      <c r="J307" s="98">
        <f t="shared" si="177"/>
        <v>502000</v>
      </c>
      <c r="K307" s="98">
        <f t="shared" si="177"/>
        <v>0</v>
      </c>
      <c r="L307" s="98">
        <f t="shared" si="177"/>
        <v>502000</v>
      </c>
      <c r="M307" s="98">
        <f t="shared" si="177"/>
        <v>0</v>
      </c>
      <c r="N307" s="98">
        <f t="shared" si="177"/>
        <v>0</v>
      </c>
      <c r="O307" s="98">
        <f t="shared" si="177"/>
        <v>0</v>
      </c>
      <c r="P307" s="98">
        <f t="shared" si="177"/>
        <v>129846458.44</v>
      </c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  <c r="GB307" s="33"/>
      <c r="GC307" s="33"/>
      <c r="GD307" s="33"/>
      <c r="GE307" s="33"/>
      <c r="GF307" s="33"/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33"/>
      <c r="GZ307" s="33"/>
      <c r="HA307" s="33"/>
      <c r="HB307" s="33"/>
      <c r="HC307" s="33"/>
      <c r="HD307" s="33"/>
      <c r="HE307" s="33"/>
      <c r="HF307" s="33"/>
      <c r="HG307" s="33"/>
      <c r="HH307" s="33"/>
      <c r="HI307" s="33"/>
      <c r="HJ307" s="33"/>
      <c r="HK307" s="33"/>
      <c r="HL307" s="33"/>
      <c r="HM307" s="33"/>
      <c r="HN307" s="33"/>
      <c r="HO307" s="33"/>
      <c r="HP307" s="33"/>
      <c r="HQ307" s="33"/>
      <c r="HR307" s="33"/>
      <c r="HS307" s="33"/>
      <c r="HT307" s="33"/>
      <c r="HU307" s="33"/>
      <c r="HV307" s="33"/>
      <c r="HW307" s="33"/>
      <c r="HX307" s="33"/>
      <c r="HY307" s="33"/>
      <c r="HZ307" s="33"/>
      <c r="IA307" s="33"/>
      <c r="IB307" s="33"/>
      <c r="IC307" s="33"/>
      <c r="ID307" s="33"/>
      <c r="IE307" s="33"/>
      <c r="IF307" s="33"/>
      <c r="IG307" s="33"/>
      <c r="IH307" s="33"/>
      <c r="II307" s="33"/>
      <c r="IJ307" s="33"/>
      <c r="IK307" s="33"/>
      <c r="IL307" s="33"/>
      <c r="IM307" s="33"/>
      <c r="IN307" s="33"/>
      <c r="IO307" s="33"/>
      <c r="IP307" s="33"/>
      <c r="IQ307" s="33"/>
      <c r="IR307" s="33"/>
      <c r="IS307" s="33"/>
      <c r="IT307" s="33"/>
      <c r="IU307" s="33"/>
      <c r="IV307" s="33"/>
      <c r="IW307" s="33"/>
      <c r="IX307" s="33"/>
      <c r="IY307" s="33"/>
      <c r="IZ307" s="33"/>
      <c r="JA307" s="33"/>
      <c r="JB307" s="33"/>
      <c r="JC307" s="33"/>
      <c r="JD307" s="33"/>
      <c r="JE307" s="33"/>
      <c r="JF307" s="33"/>
      <c r="JG307" s="33"/>
      <c r="JH307" s="33"/>
      <c r="JI307" s="33"/>
      <c r="JJ307" s="33"/>
      <c r="JK307" s="33"/>
      <c r="JL307" s="33"/>
      <c r="JM307" s="33"/>
      <c r="JN307" s="33"/>
      <c r="JO307" s="33"/>
      <c r="JP307" s="33"/>
      <c r="JQ307" s="33"/>
      <c r="JR307" s="33"/>
      <c r="JS307" s="33"/>
      <c r="JT307" s="33"/>
      <c r="JU307" s="33"/>
      <c r="JV307" s="33"/>
      <c r="JW307" s="33"/>
      <c r="JX307" s="33"/>
      <c r="JY307" s="33"/>
      <c r="JZ307" s="33"/>
      <c r="KA307" s="33"/>
      <c r="KB307" s="33"/>
      <c r="KC307" s="33"/>
      <c r="KD307" s="33"/>
      <c r="KE307" s="33"/>
      <c r="KF307" s="33"/>
      <c r="KG307" s="33"/>
      <c r="KH307" s="33"/>
      <c r="KI307" s="33"/>
      <c r="KJ307" s="33"/>
      <c r="KK307" s="33"/>
      <c r="KL307" s="33"/>
      <c r="KM307" s="33"/>
      <c r="KN307" s="33"/>
      <c r="KO307" s="33"/>
      <c r="KP307" s="33"/>
      <c r="KQ307" s="33"/>
      <c r="KR307" s="33"/>
      <c r="KS307" s="33"/>
      <c r="KT307" s="33"/>
      <c r="KU307" s="33"/>
      <c r="KV307" s="33"/>
      <c r="KW307" s="33"/>
      <c r="KX307" s="33"/>
      <c r="KY307" s="33"/>
      <c r="KZ307" s="33"/>
      <c r="LA307" s="33"/>
      <c r="LB307" s="33"/>
      <c r="LC307" s="33"/>
      <c r="LD307" s="33"/>
      <c r="LE307" s="33"/>
      <c r="LF307" s="33"/>
      <c r="LG307" s="33"/>
      <c r="LH307" s="33"/>
      <c r="LI307" s="33"/>
      <c r="LJ307" s="33"/>
      <c r="LK307" s="33"/>
      <c r="LL307" s="33"/>
      <c r="LM307" s="33"/>
      <c r="LN307" s="33"/>
      <c r="LO307" s="33"/>
      <c r="LP307" s="33"/>
      <c r="LQ307" s="33"/>
      <c r="LR307" s="33"/>
      <c r="LS307" s="33"/>
      <c r="LT307" s="33"/>
      <c r="LU307" s="33"/>
      <c r="LV307" s="33"/>
      <c r="LW307" s="33"/>
      <c r="LX307" s="33"/>
      <c r="LY307" s="33"/>
      <c r="LZ307" s="33"/>
      <c r="MA307" s="33"/>
      <c r="MB307" s="33"/>
      <c r="MC307" s="33"/>
      <c r="MD307" s="33"/>
      <c r="ME307" s="33"/>
      <c r="MF307" s="33"/>
      <c r="MG307" s="33"/>
      <c r="MH307" s="33"/>
      <c r="MI307" s="33"/>
      <c r="MJ307" s="33"/>
      <c r="MK307" s="33"/>
      <c r="ML307" s="33"/>
      <c r="MM307" s="33"/>
      <c r="MN307" s="33"/>
      <c r="MO307" s="33"/>
      <c r="MP307" s="33"/>
      <c r="MQ307" s="33"/>
      <c r="MR307" s="33"/>
      <c r="MS307" s="33"/>
      <c r="MT307" s="33"/>
      <c r="MU307" s="33"/>
      <c r="MV307" s="33"/>
      <c r="MW307" s="33"/>
      <c r="MX307" s="33"/>
      <c r="MY307" s="33"/>
      <c r="MZ307" s="33"/>
      <c r="NA307" s="33"/>
      <c r="NB307" s="33"/>
      <c r="NC307" s="33"/>
      <c r="ND307" s="33"/>
      <c r="NE307" s="33"/>
      <c r="NF307" s="33"/>
      <c r="NG307" s="33"/>
      <c r="NH307" s="33"/>
      <c r="NI307" s="33"/>
      <c r="NJ307" s="33"/>
      <c r="NK307" s="33"/>
      <c r="NL307" s="33"/>
      <c r="NM307" s="33"/>
      <c r="NN307" s="33"/>
      <c r="NO307" s="33"/>
      <c r="NP307" s="33"/>
      <c r="NQ307" s="33"/>
      <c r="NR307" s="33"/>
      <c r="NS307" s="33"/>
      <c r="NT307" s="33"/>
      <c r="NU307" s="33"/>
      <c r="NV307" s="33"/>
      <c r="NW307" s="33"/>
      <c r="NX307" s="33"/>
      <c r="NY307" s="33"/>
      <c r="NZ307" s="33"/>
      <c r="OA307" s="33"/>
      <c r="OB307" s="33"/>
      <c r="OC307" s="33"/>
      <c r="OD307" s="33"/>
      <c r="OE307" s="33"/>
      <c r="OF307" s="33"/>
      <c r="OG307" s="33"/>
      <c r="OH307" s="33"/>
      <c r="OI307" s="33"/>
      <c r="OJ307" s="33"/>
      <c r="OK307" s="33"/>
      <c r="OL307" s="33"/>
      <c r="OM307" s="33"/>
      <c r="ON307" s="33"/>
      <c r="OO307" s="33"/>
      <c r="OP307" s="33"/>
      <c r="OQ307" s="33"/>
      <c r="OR307" s="33"/>
      <c r="OS307" s="33"/>
      <c r="OT307" s="33"/>
      <c r="OU307" s="33"/>
      <c r="OV307" s="33"/>
      <c r="OW307" s="33"/>
      <c r="OX307" s="33"/>
      <c r="OY307" s="33"/>
      <c r="OZ307" s="33"/>
      <c r="PA307" s="33"/>
      <c r="PB307" s="33"/>
      <c r="PC307" s="33"/>
      <c r="PD307" s="33"/>
      <c r="PE307" s="33"/>
      <c r="PF307" s="33"/>
      <c r="PG307" s="33"/>
      <c r="PH307" s="33"/>
      <c r="PI307" s="33"/>
      <c r="PJ307" s="33"/>
      <c r="PK307" s="33"/>
      <c r="PL307" s="33"/>
      <c r="PM307" s="33"/>
      <c r="PN307" s="33"/>
      <c r="PO307" s="33"/>
      <c r="PP307" s="33"/>
      <c r="PQ307" s="33"/>
      <c r="PR307" s="33"/>
      <c r="PS307" s="33"/>
      <c r="PT307" s="33"/>
      <c r="PU307" s="33"/>
      <c r="PV307" s="33"/>
      <c r="PW307" s="33"/>
      <c r="PX307" s="33"/>
      <c r="PY307" s="33"/>
      <c r="PZ307" s="33"/>
      <c r="QA307" s="33"/>
      <c r="QB307" s="33"/>
      <c r="QC307" s="33"/>
      <c r="QD307" s="33"/>
      <c r="QE307" s="33"/>
      <c r="QF307" s="33"/>
      <c r="QG307" s="33"/>
      <c r="QH307" s="33"/>
      <c r="QI307" s="33"/>
      <c r="QJ307" s="33"/>
      <c r="QK307" s="33"/>
      <c r="QL307" s="33"/>
      <c r="QM307" s="33"/>
      <c r="QN307" s="33"/>
      <c r="QO307" s="33"/>
      <c r="QP307" s="33"/>
      <c r="QQ307" s="33"/>
      <c r="QR307" s="33"/>
      <c r="QS307" s="33"/>
      <c r="QT307" s="33"/>
      <c r="QU307" s="33"/>
      <c r="QV307" s="33"/>
      <c r="QW307" s="33"/>
      <c r="QX307" s="33"/>
      <c r="QY307" s="33"/>
      <c r="QZ307" s="33"/>
      <c r="RA307" s="33"/>
      <c r="RB307" s="33"/>
      <c r="RC307" s="33"/>
      <c r="RD307" s="33"/>
      <c r="RE307" s="33"/>
      <c r="RF307" s="33"/>
      <c r="RG307" s="33"/>
      <c r="RH307" s="33"/>
      <c r="RI307" s="33"/>
      <c r="RJ307" s="33"/>
      <c r="RK307" s="33"/>
      <c r="RL307" s="33"/>
      <c r="RM307" s="33"/>
      <c r="RN307" s="33"/>
      <c r="RO307" s="33"/>
      <c r="RP307" s="33"/>
      <c r="RQ307" s="33"/>
      <c r="RR307" s="33"/>
      <c r="RS307" s="33"/>
      <c r="RT307" s="33"/>
      <c r="RU307" s="33"/>
      <c r="RV307" s="33"/>
      <c r="RW307" s="33"/>
      <c r="RX307" s="33"/>
      <c r="RY307" s="33"/>
      <c r="RZ307" s="33"/>
      <c r="SA307" s="33"/>
      <c r="SB307" s="33"/>
      <c r="SC307" s="33"/>
      <c r="SD307" s="33"/>
      <c r="SE307" s="33"/>
      <c r="SF307" s="33"/>
      <c r="SG307" s="33"/>
      <c r="SH307" s="33"/>
      <c r="SI307" s="33"/>
      <c r="SJ307" s="33"/>
      <c r="SK307" s="33"/>
      <c r="SL307" s="33"/>
      <c r="SM307" s="33"/>
      <c r="SN307" s="33"/>
      <c r="SO307" s="33"/>
      <c r="SP307" s="33"/>
      <c r="SQ307" s="33"/>
      <c r="SR307" s="33"/>
      <c r="SS307" s="33"/>
      <c r="ST307" s="33"/>
      <c r="SU307" s="33"/>
      <c r="SV307" s="33"/>
      <c r="SW307" s="33"/>
      <c r="SX307" s="33"/>
      <c r="SY307" s="33"/>
      <c r="SZ307" s="33"/>
      <c r="TA307" s="33"/>
      <c r="TB307" s="33"/>
      <c r="TC307" s="33"/>
      <c r="TD307" s="33"/>
      <c r="TE307" s="33"/>
      <c r="TF307" s="33"/>
      <c r="TG307" s="33"/>
    </row>
    <row r="308" spans="1:527" s="22" customFormat="1" ht="46.5" customHeight="1" x14ac:dyDescent="0.25">
      <c r="A308" s="59" t="s">
        <v>220</v>
      </c>
      <c r="B308" s="93" t="str">
        <f>'дод 8'!A19</f>
        <v>0160</v>
      </c>
      <c r="C308" s="93" t="str">
        <f>'дод 8'!B19</f>
        <v>0111</v>
      </c>
      <c r="D308" s="36" t="s">
        <v>494</v>
      </c>
      <c r="E308" s="99">
        <f t="shared" ref="E308:E313" si="178">F308+I308</f>
        <v>20146673</v>
      </c>
      <c r="F308" s="99">
        <f>20122100+1000000-1000000+10000+14573</f>
        <v>20146673</v>
      </c>
      <c r="G308" s="99">
        <v>15760200</v>
      </c>
      <c r="H308" s="99">
        <f>257700+14573</f>
        <v>272273</v>
      </c>
      <c r="I308" s="99"/>
      <c r="J308" s="99">
        <f>L308+O308</f>
        <v>0</v>
      </c>
      <c r="K308" s="99"/>
      <c r="L308" s="99"/>
      <c r="M308" s="99"/>
      <c r="N308" s="99"/>
      <c r="O308" s="99"/>
      <c r="P308" s="99">
        <f t="shared" ref="P308:P315" si="179">E308+J308</f>
        <v>20146673</v>
      </c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  <c r="TF308" s="23"/>
      <c r="TG308" s="23"/>
    </row>
    <row r="309" spans="1:527" s="22" customFormat="1" ht="21" customHeight="1" x14ac:dyDescent="0.25">
      <c r="A309" s="59" t="s">
        <v>258</v>
      </c>
      <c r="B309" s="93" t="str">
        <f>'дод 8'!A215</f>
        <v>7640</v>
      </c>
      <c r="C309" s="93" t="str">
        <f>'дод 8'!B215</f>
        <v>0470</v>
      </c>
      <c r="D309" s="60" t="s">
        <v>422</v>
      </c>
      <c r="E309" s="99">
        <f t="shared" si="178"/>
        <v>416200</v>
      </c>
      <c r="F309" s="99">
        <f>426000-9800</f>
        <v>416200</v>
      </c>
      <c r="G309" s="99"/>
      <c r="H309" s="99"/>
      <c r="I309" s="99"/>
      <c r="J309" s="99">
        <f t="shared" ref="J309:J315" si="180">L309+O309</f>
        <v>0</v>
      </c>
      <c r="K309" s="99"/>
      <c r="L309" s="99"/>
      <c r="M309" s="99"/>
      <c r="N309" s="99"/>
      <c r="O309" s="99"/>
      <c r="P309" s="99">
        <f t="shared" si="179"/>
        <v>416200</v>
      </c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  <c r="SQ309" s="23"/>
      <c r="SR309" s="23"/>
      <c r="SS309" s="23"/>
      <c r="ST309" s="23"/>
      <c r="SU309" s="23"/>
      <c r="SV309" s="23"/>
      <c r="SW309" s="23"/>
      <c r="SX309" s="23"/>
      <c r="SY309" s="23"/>
      <c r="SZ309" s="23"/>
      <c r="TA309" s="23"/>
      <c r="TB309" s="23"/>
      <c r="TC309" s="23"/>
      <c r="TD309" s="23"/>
      <c r="TE309" s="23"/>
      <c r="TF309" s="23"/>
      <c r="TG309" s="23"/>
    </row>
    <row r="310" spans="1:527" s="22" customFormat="1" ht="29.25" customHeight="1" x14ac:dyDescent="0.25">
      <c r="A310" s="59" t="s">
        <v>330</v>
      </c>
      <c r="B310" s="93" t="str">
        <f>'дод 8'!A223</f>
        <v>7693</v>
      </c>
      <c r="C310" s="93" t="str">
        <f>'дод 8'!B223</f>
        <v>0490</v>
      </c>
      <c r="D310" s="60" t="str">
        <f>'дод 8'!C223</f>
        <v>Інші заходи, пов'язані з економічною діяльністю</v>
      </c>
      <c r="E310" s="99">
        <f t="shared" si="178"/>
        <v>293000</v>
      </c>
      <c r="F310" s="99">
        <f>483750-130750-10000-50000</f>
        <v>293000</v>
      </c>
      <c r="G310" s="99"/>
      <c r="H310" s="99"/>
      <c r="I310" s="99"/>
      <c r="J310" s="99">
        <f t="shared" si="180"/>
        <v>0</v>
      </c>
      <c r="K310" s="99"/>
      <c r="L310" s="99"/>
      <c r="M310" s="99"/>
      <c r="N310" s="99"/>
      <c r="O310" s="99"/>
      <c r="P310" s="99">
        <f t="shared" si="179"/>
        <v>293000</v>
      </c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  <c r="TF310" s="23"/>
      <c r="TG310" s="23"/>
    </row>
    <row r="311" spans="1:527" s="22" customFormat="1" ht="42.75" customHeight="1" x14ac:dyDescent="0.25">
      <c r="A311" s="59">
        <v>3718330</v>
      </c>
      <c r="B311" s="93">
        <f>'дод 8'!A236</f>
        <v>8330</v>
      </c>
      <c r="C311" s="59" t="s">
        <v>92</v>
      </c>
      <c r="D311" s="60" t="str">
        <f>'дод 8'!C236</f>
        <v xml:space="preserve">Інша діяльність у сфері екології та охорони природних ресурсів </v>
      </c>
      <c r="E311" s="99">
        <f t="shared" si="178"/>
        <v>75000</v>
      </c>
      <c r="F311" s="99">
        <v>75000</v>
      </c>
      <c r="G311" s="99"/>
      <c r="H311" s="99"/>
      <c r="I311" s="99"/>
      <c r="J311" s="99">
        <f t="shared" si="180"/>
        <v>0</v>
      </c>
      <c r="K311" s="99"/>
      <c r="L311" s="99"/>
      <c r="M311" s="99"/>
      <c r="N311" s="99"/>
      <c r="O311" s="99"/>
      <c r="P311" s="99">
        <f t="shared" si="179"/>
        <v>75000</v>
      </c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  <c r="TF311" s="23"/>
      <c r="TG311" s="23"/>
    </row>
    <row r="312" spans="1:527" s="22" customFormat="1" ht="30.75" customHeight="1" x14ac:dyDescent="0.25">
      <c r="A312" s="59" t="s">
        <v>221</v>
      </c>
      <c r="B312" s="93" t="str">
        <f>'дод 8'!A237</f>
        <v>8340</v>
      </c>
      <c r="C312" s="59" t="str">
        <f>'дод 8'!B237</f>
        <v>0540</v>
      </c>
      <c r="D312" s="60" t="str">
        <f>'дод 8'!C237</f>
        <v>Природоохоронні заходи за рахунок цільових фондів</v>
      </c>
      <c r="E312" s="99">
        <f t="shared" si="178"/>
        <v>0</v>
      </c>
      <c r="F312" s="99"/>
      <c r="G312" s="99"/>
      <c r="H312" s="99"/>
      <c r="I312" s="99"/>
      <c r="J312" s="99">
        <f t="shared" si="180"/>
        <v>502000</v>
      </c>
      <c r="K312" s="99"/>
      <c r="L312" s="99">
        <f>103000+399000</f>
        <v>502000</v>
      </c>
      <c r="M312" s="99"/>
      <c r="N312" s="99"/>
      <c r="O312" s="99"/>
      <c r="P312" s="99">
        <f t="shared" si="179"/>
        <v>502000</v>
      </c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  <c r="TF312" s="23"/>
      <c r="TG312" s="23"/>
    </row>
    <row r="313" spans="1:527" s="22" customFormat="1" ht="21.75" customHeight="1" x14ac:dyDescent="0.25">
      <c r="A313" s="59" t="s">
        <v>222</v>
      </c>
      <c r="B313" s="93" t="str">
        <f>'дод 8'!A240</f>
        <v>8600</v>
      </c>
      <c r="C313" s="93" t="str">
        <f>'дод 8'!B240</f>
        <v>0170</v>
      </c>
      <c r="D313" s="60" t="str">
        <f>'дод 8'!C240</f>
        <v>Обслуговування місцевого боргу</v>
      </c>
      <c r="E313" s="99">
        <f t="shared" si="178"/>
        <v>1964239</v>
      </c>
      <c r="F313" s="99">
        <f>1833489+130750</f>
        <v>1964239</v>
      </c>
      <c r="G313" s="99"/>
      <c r="H313" s="99"/>
      <c r="I313" s="99"/>
      <c r="J313" s="99">
        <f t="shared" si="180"/>
        <v>0</v>
      </c>
      <c r="K313" s="99"/>
      <c r="L313" s="99"/>
      <c r="M313" s="99"/>
      <c r="N313" s="99"/>
      <c r="O313" s="99"/>
      <c r="P313" s="99">
        <f t="shared" si="179"/>
        <v>1964239</v>
      </c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  <c r="TF313" s="23"/>
      <c r="TG313" s="23"/>
    </row>
    <row r="314" spans="1:527" s="22" customFormat="1" ht="22.5" customHeight="1" x14ac:dyDescent="0.25">
      <c r="A314" s="59" t="s">
        <v>517</v>
      </c>
      <c r="B314" s="93">
        <v>8710</v>
      </c>
      <c r="C314" s="93" t="str">
        <f>'дод 8'!B241</f>
        <v>0133</v>
      </c>
      <c r="D314" s="60" t="str">
        <f>'дод 8'!C241</f>
        <v>Резервний фонд місцевого бюджету</v>
      </c>
      <c r="E314" s="99">
        <f>16076686.44+30260-2902100-6378100+81980-1553963+117260-370000-4100550-30000-1773800-1500000-1764511-50000+18143581-134000-2214239-49500-6050358</f>
        <v>5578646.4399999995</v>
      </c>
      <c r="F314" s="99"/>
      <c r="G314" s="99"/>
      <c r="H314" s="99"/>
      <c r="I314" s="99"/>
      <c r="J314" s="99">
        <f t="shared" si="180"/>
        <v>0</v>
      </c>
      <c r="K314" s="99"/>
      <c r="L314" s="99"/>
      <c r="M314" s="99"/>
      <c r="N314" s="99"/>
      <c r="O314" s="99"/>
      <c r="P314" s="99">
        <f t="shared" si="179"/>
        <v>5578646.4399999995</v>
      </c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  <c r="TF314" s="23"/>
      <c r="TG314" s="23"/>
    </row>
    <row r="315" spans="1:527" s="22" customFormat="1" ht="24.75" customHeight="1" x14ac:dyDescent="0.25">
      <c r="A315" s="59" t="s">
        <v>232</v>
      </c>
      <c r="B315" s="93" t="str">
        <f>'дод 8'!A245</f>
        <v>9110</v>
      </c>
      <c r="C315" s="93" t="str">
        <f>'дод 8'!B245</f>
        <v>0180</v>
      </c>
      <c r="D315" s="60" t="str">
        <f>'дод 8'!C245</f>
        <v>Реверсна дотація</v>
      </c>
      <c r="E315" s="99">
        <f>F315+I315</f>
        <v>100870700</v>
      </c>
      <c r="F315" s="99">
        <v>100870700</v>
      </c>
      <c r="G315" s="99"/>
      <c r="H315" s="99"/>
      <c r="I315" s="99"/>
      <c r="J315" s="99">
        <f t="shared" si="180"/>
        <v>0</v>
      </c>
      <c r="K315" s="99"/>
      <c r="L315" s="99"/>
      <c r="M315" s="99"/>
      <c r="N315" s="99"/>
      <c r="O315" s="99"/>
      <c r="P315" s="99">
        <f t="shared" si="179"/>
        <v>100870700</v>
      </c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  <c r="TF315" s="23"/>
      <c r="TG315" s="23"/>
    </row>
    <row r="316" spans="1:527" s="27" customFormat="1" ht="22.5" customHeight="1" x14ac:dyDescent="0.25">
      <c r="A316" s="118"/>
      <c r="B316" s="112"/>
      <c r="C316" s="150"/>
      <c r="D316" s="107" t="s">
        <v>408</v>
      </c>
      <c r="E316" s="95">
        <f t="shared" ref="E316:P316" si="181">E17+E62+E126+E160+E201+E209+E220+E262+E265+E285+E292+E295+E303+E306</f>
        <v>2296765017.0500002</v>
      </c>
      <c r="F316" s="95">
        <f t="shared" si="181"/>
        <v>2194430216.1300001</v>
      </c>
      <c r="G316" s="95">
        <f t="shared" si="181"/>
        <v>1078837255</v>
      </c>
      <c r="H316" s="95">
        <f t="shared" si="181"/>
        <v>107607651</v>
      </c>
      <c r="I316" s="95">
        <f t="shared" si="181"/>
        <v>96756154.480000004</v>
      </c>
      <c r="J316" s="95">
        <f t="shared" si="181"/>
        <v>734993255.95999992</v>
      </c>
      <c r="K316" s="95">
        <f t="shared" si="181"/>
        <v>666405411.44000006</v>
      </c>
      <c r="L316" s="95">
        <f t="shared" si="181"/>
        <v>47787501.869999997</v>
      </c>
      <c r="M316" s="95">
        <f t="shared" si="181"/>
        <v>6033355</v>
      </c>
      <c r="N316" s="95">
        <f t="shared" si="181"/>
        <v>266522</v>
      </c>
      <c r="O316" s="95">
        <f t="shared" si="181"/>
        <v>687205754.08999991</v>
      </c>
      <c r="P316" s="95">
        <f t="shared" si="181"/>
        <v>3031758273.0100007</v>
      </c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  <c r="EH316" s="32"/>
      <c r="EI316" s="32"/>
      <c r="EJ316" s="32"/>
      <c r="EK316" s="32"/>
      <c r="EL316" s="32"/>
      <c r="EM316" s="32"/>
      <c r="EN316" s="32"/>
      <c r="EO316" s="32"/>
      <c r="EP316" s="32"/>
      <c r="EQ316" s="32"/>
      <c r="ER316" s="32"/>
      <c r="ES316" s="32"/>
      <c r="ET316" s="32"/>
      <c r="EU316" s="32"/>
      <c r="EV316" s="32"/>
      <c r="EW316" s="32"/>
      <c r="EX316" s="32"/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2"/>
      <c r="FK316" s="32"/>
      <c r="FL316" s="32"/>
      <c r="FM316" s="32"/>
      <c r="FN316" s="32"/>
      <c r="FO316" s="32"/>
      <c r="FP316" s="32"/>
      <c r="FQ316" s="32"/>
      <c r="FR316" s="32"/>
      <c r="FS316" s="32"/>
      <c r="FT316" s="32"/>
      <c r="FU316" s="32"/>
      <c r="FV316" s="32"/>
      <c r="FW316" s="32"/>
      <c r="FX316" s="32"/>
      <c r="FY316" s="32"/>
      <c r="FZ316" s="32"/>
      <c r="GA316" s="32"/>
      <c r="GB316" s="32"/>
      <c r="GC316" s="32"/>
      <c r="GD316" s="32"/>
      <c r="GE316" s="32"/>
      <c r="GF316" s="32"/>
      <c r="GG316" s="32"/>
      <c r="GH316" s="32"/>
      <c r="GI316" s="32"/>
      <c r="GJ316" s="32"/>
      <c r="GK316" s="32"/>
      <c r="GL316" s="32"/>
      <c r="GM316" s="32"/>
      <c r="GN316" s="32"/>
      <c r="GO316" s="32"/>
      <c r="GP316" s="32"/>
      <c r="GQ316" s="32"/>
      <c r="GR316" s="32"/>
      <c r="GS316" s="32"/>
      <c r="GT316" s="32"/>
      <c r="GU316" s="32"/>
      <c r="GV316" s="32"/>
      <c r="GW316" s="32"/>
      <c r="GX316" s="32"/>
      <c r="GY316" s="32"/>
      <c r="GZ316" s="32"/>
      <c r="HA316" s="32"/>
      <c r="HB316" s="32"/>
      <c r="HC316" s="32"/>
      <c r="HD316" s="32"/>
      <c r="HE316" s="32"/>
      <c r="HF316" s="32"/>
      <c r="HG316" s="32"/>
      <c r="HH316" s="32"/>
      <c r="HI316" s="32"/>
      <c r="HJ316" s="32"/>
      <c r="HK316" s="32"/>
      <c r="HL316" s="32"/>
      <c r="HM316" s="32"/>
      <c r="HN316" s="32"/>
      <c r="HO316" s="32"/>
      <c r="HP316" s="32"/>
      <c r="HQ316" s="32"/>
      <c r="HR316" s="32"/>
      <c r="HS316" s="32"/>
      <c r="HT316" s="32"/>
      <c r="HU316" s="32"/>
      <c r="HV316" s="32"/>
      <c r="HW316" s="32"/>
      <c r="HX316" s="32"/>
      <c r="HY316" s="32"/>
      <c r="HZ316" s="32"/>
      <c r="IA316" s="32"/>
      <c r="IB316" s="32"/>
      <c r="IC316" s="32"/>
      <c r="ID316" s="32"/>
      <c r="IE316" s="32"/>
      <c r="IF316" s="32"/>
      <c r="IG316" s="32"/>
      <c r="IH316" s="32"/>
      <c r="II316" s="32"/>
      <c r="IJ316" s="32"/>
      <c r="IK316" s="32"/>
      <c r="IL316" s="32"/>
      <c r="IM316" s="32"/>
      <c r="IN316" s="32"/>
      <c r="IO316" s="32"/>
      <c r="IP316" s="32"/>
      <c r="IQ316" s="32"/>
      <c r="IR316" s="32"/>
      <c r="IS316" s="32"/>
      <c r="IT316" s="32"/>
      <c r="IU316" s="32"/>
      <c r="IV316" s="32"/>
      <c r="IW316" s="32"/>
      <c r="IX316" s="32"/>
      <c r="IY316" s="32"/>
      <c r="IZ316" s="32"/>
      <c r="JA316" s="32"/>
      <c r="JB316" s="32"/>
      <c r="JC316" s="32"/>
      <c r="JD316" s="32"/>
      <c r="JE316" s="32"/>
      <c r="JF316" s="32"/>
      <c r="JG316" s="32"/>
      <c r="JH316" s="32"/>
      <c r="JI316" s="32"/>
      <c r="JJ316" s="32"/>
      <c r="JK316" s="32"/>
      <c r="JL316" s="32"/>
      <c r="JM316" s="32"/>
      <c r="JN316" s="32"/>
      <c r="JO316" s="32"/>
      <c r="JP316" s="32"/>
      <c r="JQ316" s="32"/>
      <c r="JR316" s="32"/>
      <c r="JS316" s="32"/>
      <c r="JT316" s="32"/>
      <c r="JU316" s="32"/>
      <c r="JV316" s="32"/>
      <c r="JW316" s="32"/>
      <c r="JX316" s="32"/>
      <c r="JY316" s="32"/>
      <c r="JZ316" s="32"/>
      <c r="KA316" s="32"/>
      <c r="KB316" s="32"/>
      <c r="KC316" s="32"/>
      <c r="KD316" s="32"/>
      <c r="KE316" s="32"/>
      <c r="KF316" s="32"/>
      <c r="KG316" s="32"/>
      <c r="KH316" s="32"/>
      <c r="KI316" s="32"/>
      <c r="KJ316" s="32"/>
      <c r="KK316" s="32"/>
      <c r="KL316" s="32"/>
      <c r="KM316" s="32"/>
      <c r="KN316" s="32"/>
      <c r="KO316" s="32"/>
      <c r="KP316" s="32"/>
      <c r="KQ316" s="32"/>
      <c r="KR316" s="32"/>
      <c r="KS316" s="32"/>
      <c r="KT316" s="32"/>
      <c r="KU316" s="32"/>
      <c r="KV316" s="32"/>
      <c r="KW316" s="32"/>
      <c r="KX316" s="32"/>
      <c r="KY316" s="32"/>
      <c r="KZ316" s="32"/>
      <c r="LA316" s="32"/>
      <c r="LB316" s="32"/>
      <c r="LC316" s="32"/>
      <c r="LD316" s="32"/>
      <c r="LE316" s="32"/>
      <c r="LF316" s="32"/>
      <c r="LG316" s="32"/>
      <c r="LH316" s="32"/>
      <c r="LI316" s="32"/>
      <c r="LJ316" s="32"/>
      <c r="LK316" s="32"/>
      <c r="LL316" s="32"/>
      <c r="LM316" s="32"/>
      <c r="LN316" s="32"/>
      <c r="LO316" s="32"/>
      <c r="LP316" s="32"/>
      <c r="LQ316" s="32"/>
      <c r="LR316" s="32"/>
      <c r="LS316" s="32"/>
      <c r="LT316" s="32"/>
      <c r="LU316" s="32"/>
      <c r="LV316" s="32"/>
      <c r="LW316" s="32"/>
      <c r="LX316" s="32"/>
      <c r="LY316" s="32"/>
      <c r="LZ316" s="32"/>
      <c r="MA316" s="32"/>
      <c r="MB316" s="32"/>
      <c r="MC316" s="32"/>
      <c r="MD316" s="32"/>
      <c r="ME316" s="32"/>
      <c r="MF316" s="32"/>
      <c r="MG316" s="32"/>
      <c r="MH316" s="32"/>
      <c r="MI316" s="32"/>
      <c r="MJ316" s="32"/>
      <c r="MK316" s="32"/>
      <c r="ML316" s="32"/>
      <c r="MM316" s="32"/>
      <c r="MN316" s="32"/>
      <c r="MO316" s="32"/>
      <c r="MP316" s="32"/>
      <c r="MQ316" s="32"/>
      <c r="MR316" s="32"/>
      <c r="MS316" s="32"/>
      <c r="MT316" s="32"/>
      <c r="MU316" s="32"/>
      <c r="MV316" s="32"/>
      <c r="MW316" s="32"/>
      <c r="MX316" s="32"/>
      <c r="MY316" s="32"/>
      <c r="MZ316" s="32"/>
      <c r="NA316" s="32"/>
      <c r="NB316" s="32"/>
      <c r="NC316" s="32"/>
      <c r="ND316" s="32"/>
      <c r="NE316" s="32"/>
      <c r="NF316" s="32"/>
      <c r="NG316" s="32"/>
      <c r="NH316" s="32"/>
      <c r="NI316" s="32"/>
      <c r="NJ316" s="32"/>
      <c r="NK316" s="32"/>
      <c r="NL316" s="32"/>
      <c r="NM316" s="32"/>
      <c r="NN316" s="32"/>
      <c r="NO316" s="32"/>
      <c r="NP316" s="32"/>
      <c r="NQ316" s="32"/>
      <c r="NR316" s="32"/>
      <c r="NS316" s="32"/>
      <c r="NT316" s="32"/>
      <c r="NU316" s="32"/>
      <c r="NV316" s="32"/>
      <c r="NW316" s="32"/>
      <c r="NX316" s="32"/>
      <c r="NY316" s="32"/>
      <c r="NZ316" s="32"/>
      <c r="OA316" s="32"/>
      <c r="OB316" s="32"/>
      <c r="OC316" s="32"/>
      <c r="OD316" s="32"/>
      <c r="OE316" s="32"/>
      <c r="OF316" s="32"/>
      <c r="OG316" s="32"/>
      <c r="OH316" s="32"/>
      <c r="OI316" s="32"/>
      <c r="OJ316" s="32"/>
      <c r="OK316" s="32"/>
      <c r="OL316" s="32"/>
      <c r="OM316" s="32"/>
      <c r="ON316" s="32"/>
      <c r="OO316" s="32"/>
      <c r="OP316" s="32"/>
      <c r="OQ316" s="32"/>
      <c r="OR316" s="32"/>
      <c r="OS316" s="32"/>
      <c r="OT316" s="32"/>
      <c r="OU316" s="32"/>
      <c r="OV316" s="32"/>
      <c r="OW316" s="32"/>
      <c r="OX316" s="32"/>
      <c r="OY316" s="32"/>
      <c r="OZ316" s="32"/>
      <c r="PA316" s="32"/>
      <c r="PB316" s="32"/>
      <c r="PC316" s="32"/>
      <c r="PD316" s="32"/>
      <c r="PE316" s="32"/>
      <c r="PF316" s="32"/>
      <c r="PG316" s="32"/>
      <c r="PH316" s="32"/>
      <c r="PI316" s="32"/>
      <c r="PJ316" s="32"/>
      <c r="PK316" s="32"/>
      <c r="PL316" s="32"/>
      <c r="PM316" s="32"/>
      <c r="PN316" s="32"/>
      <c r="PO316" s="32"/>
      <c r="PP316" s="32"/>
      <c r="PQ316" s="32"/>
      <c r="PR316" s="32"/>
      <c r="PS316" s="32"/>
      <c r="PT316" s="32"/>
      <c r="PU316" s="32"/>
      <c r="PV316" s="32"/>
      <c r="PW316" s="32"/>
      <c r="PX316" s="32"/>
      <c r="PY316" s="32"/>
      <c r="PZ316" s="32"/>
      <c r="QA316" s="32"/>
      <c r="QB316" s="32"/>
      <c r="QC316" s="32"/>
      <c r="QD316" s="32"/>
      <c r="QE316" s="32"/>
      <c r="QF316" s="32"/>
      <c r="QG316" s="32"/>
      <c r="QH316" s="32"/>
      <c r="QI316" s="32"/>
      <c r="QJ316" s="32"/>
      <c r="QK316" s="32"/>
      <c r="QL316" s="32"/>
      <c r="QM316" s="32"/>
      <c r="QN316" s="32"/>
      <c r="QO316" s="32"/>
      <c r="QP316" s="32"/>
      <c r="QQ316" s="32"/>
      <c r="QR316" s="32"/>
      <c r="QS316" s="32"/>
      <c r="QT316" s="32"/>
      <c r="QU316" s="32"/>
      <c r="QV316" s="32"/>
      <c r="QW316" s="32"/>
      <c r="QX316" s="32"/>
      <c r="QY316" s="32"/>
      <c r="QZ316" s="32"/>
      <c r="RA316" s="32"/>
      <c r="RB316" s="32"/>
      <c r="RC316" s="32"/>
      <c r="RD316" s="32"/>
      <c r="RE316" s="32"/>
      <c r="RF316" s="32"/>
      <c r="RG316" s="32"/>
      <c r="RH316" s="32"/>
      <c r="RI316" s="32"/>
      <c r="RJ316" s="32"/>
      <c r="RK316" s="32"/>
      <c r="RL316" s="32"/>
      <c r="RM316" s="32"/>
      <c r="RN316" s="32"/>
      <c r="RO316" s="32"/>
      <c r="RP316" s="32"/>
      <c r="RQ316" s="32"/>
      <c r="RR316" s="32"/>
      <c r="RS316" s="32"/>
      <c r="RT316" s="32"/>
      <c r="RU316" s="32"/>
      <c r="RV316" s="32"/>
      <c r="RW316" s="32"/>
      <c r="RX316" s="32"/>
      <c r="RY316" s="32"/>
      <c r="RZ316" s="32"/>
      <c r="SA316" s="32"/>
      <c r="SB316" s="32"/>
      <c r="SC316" s="32"/>
      <c r="SD316" s="32"/>
      <c r="SE316" s="32"/>
      <c r="SF316" s="32"/>
      <c r="SG316" s="32"/>
      <c r="SH316" s="32"/>
      <c r="SI316" s="32"/>
      <c r="SJ316" s="32"/>
      <c r="SK316" s="32"/>
      <c r="SL316" s="32"/>
      <c r="SM316" s="32"/>
      <c r="SN316" s="32"/>
      <c r="SO316" s="32"/>
      <c r="SP316" s="32"/>
      <c r="SQ316" s="32"/>
      <c r="SR316" s="32"/>
      <c r="SS316" s="32"/>
      <c r="ST316" s="32"/>
      <c r="SU316" s="32"/>
      <c r="SV316" s="32"/>
      <c r="SW316" s="32"/>
      <c r="SX316" s="32"/>
      <c r="SY316" s="32"/>
      <c r="SZ316" s="32"/>
      <c r="TA316" s="32"/>
      <c r="TB316" s="32"/>
      <c r="TC316" s="32"/>
      <c r="TD316" s="32"/>
      <c r="TE316" s="32"/>
      <c r="TF316" s="32"/>
      <c r="TG316" s="32"/>
    </row>
    <row r="317" spans="1:527" s="34" customFormat="1" ht="39.75" customHeight="1" x14ac:dyDescent="0.25">
      <c r="A317" s="119"/>
      <c r="B317" s="109"/>
      <c r="C317" s="97"/>
      <c r="D317" s="77" t="s">
        <v>401</v>
      </c>
      <c r="E317" s="98">
        <f>E64+E71+E224+E225+E74+E132+E73</f>
        <v>485697135.60000002</v>
      </c>
      <c r="F317" s="98">
        <f t="shared" ref="F317:P317" si="182">F64+F71+F224+F225+F74+F132+F73</f>
        <v>485697135.60000002</v>
      </c>
      <c r="G317" s="98">
        <f t="shared" si="182"/>
        <v>396066000</v>
      </c>
      <c r="H317" s="98">
        <f t="shared" si="182"/>
        <v>0</v>
      </c>
      <c r="I317" s="98">
        <f t="shared" si="182"/>
        <v>0</v>
      </c>
      <c r="J317" s="98">
        <f t="shared" si="182"/>
        <v>30538873.18</v>
      </c>
      <c r="K317" s="98">
        <f t="shared" si="182"/>
        <v>27045923.18</v>
      </c>
      <c r="L317" s="98">
        <f t="shared" si="182"/>
        <v>0</v>
      </c>
      <c r="M317" s="98">
        <f t="shared" si="182"/>
        <v>0</v>
      </c>
      <c r="N317" s="98">
        <f t="shared" si="182"/>
        <v>0</v>
      </c>
      <c r="O317" s="98">
        <f t="shared" si="182"/>
        <v>30538873.18</v>
      </c>
      <c r="P317" s="98">
        <f t="shared" si="182"/>
        <v>516236008.77999997</v>
      </c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  <c r="FV317" s="33"/>
      <c r="FW317" s="33"/>
      <c r="FX317" s="33"/>
      <c r="FY317" s="33"/>
      <c r="FZ317" s="33"/>
      <c r="GA317" s="33"/>
      <c r="GB317" s="33"/>
      <c r="GC317" s="33"/>
      <c r="GD317" s="33"/>
      <c r="GE317" s="33"/>
      <c r="GF317" s="33"/>
      <c r="GG317" s="33"/>
      <c r="GH317" s="33"/>
      <c r="GI317" s="33"/>
      <c r="GJ317" s="33"/>
      <c r="GK317" s="33"/>
      <c r="GL317" s="33"/>
      <c r="GM317" s="33"/>
      <c r="GN317" s="33"/>
      <c r="GO317" s="33"/>
      <c r="GP317" s="33"/>
      <c r="GQ317" s="33"/>
      <c r="GR317" s="33"/>
      <c r="GS317" s="33"/>
      <c r="GT317" s="33"/>
      <c r="GU317" s="33"/>
      <c r="GV317" s="33"/>
      <c r="GW317" s="33"/>
      <c r="GX317" s="33"/>
      <c r="GY317" s="33"/>
      <c r="GZ317" s="33"/>
      <c r="HA317" s="33"/>
      <c r="HB317" s="33"/>
      <c r="HC317" s="33"/>
      <c r="HD317" s="33"/>
      <c r="HE317" s="33"/>
      <c r="HF317" s="33"/>
      <c r="HG317" s="33"/>
      <c r="HH317" s="33"/>
      <c r="HI317" s="33"/>
      <c r="HJ317" s="33"/>
      <c r="HK317" s="33"/>
      <c r="HL317" s="33"/>
      <c r="HM317" s="33"/>
      <c r="HN317" s="33"/>
      <c r="HO317" s="33"/>
      <c r="HP317" s="33"/>
      <c r="HQ317" s="33"/>
      <c r="HR317" s="33"/>
      <c r="HS317" s="33"/>
      <c r="HT317" s="33"/>
      <c r="HU317" s="33"/>
      <c r="HV317" s="33"/>
      <c r="HW317" s="33"/>
      <c r="HX317" s="33"/>
      <c r="HY317" s="33"/>
      <c r="HZ317" s="33"/>
      <c r="IA317" s="33"/>
      <c r="IB317" s="33"/>
      <c r="IC317" s="33"/>
      <c r="ID317" s="33"/>
      <c r="IE317" s="33"/>
      <c r="IF317" s="33"/>
      <c r="IG317" s="33"/>
      <c r="IH317" s="33"/>
      <c r="II317" s="33"/>
      <c r="IJ317" s="33"/>
      <c r="IK317" s="33"/>
      <c r="IL317" s="33"/>
      <c r="IM317" s="33"/>
      <c r="IN317" s="33"/>
      <c r="IO317" s="33"/>
      <c r="IP317" s="33"/>
      <c r="IQ317" s="33"/>
      <c r="IR317" s="33"/>
      <c r="IS317" s="33"/>
      <c r="IT317" s="33"/>
      <c r="IU317" s="33"/>
      <c r="IV317" s="33"/>
      <c r="IW317" s="33"/>
      <c r="IX317" s="33"/>
      <c r="IY317" s="33"/>
      <c r="IZ317" s="33"/>
      <c r="JA317" s="33"/>
      <c r="JB317" s="33"/>
      <c r="JC317" s="33"/>
      <c r="JD317" s="33"/>
      <c r="JE317" s="33"/>
      <c r="JF317" s="33"/>
      <c r="JG317" s="33"/>
      <c r="JH317" s="33"/>
      <c r="JI317" s="33"/>
      <c r="JJ317" s="33"/>
      <c r="JK317" s="33"/>
      <c r="JL317" s="33"/>
      <c r="JM317" s="33"/>
      <c r="JN317" s="33"/>
      <c r="JO317" s="33"/>
      <c r="JP317" s="33"/>
      <c r="JQ317" s="33"/>
      <c r="JR317" s="33"/>
      <c r="JS317" s="33"/>
      <c r="JT317" s="33"/>
      <c r="JU317" s="33"/>
      <c r="JV317" s="33"/>
      <c r="JW317" s="33"/>
      <c r="JX317" s="33"/>
      <c r="JY317" s="33"/>
      <c r="JZ317" s="33"/>
      <c r="KA317" s="33"/>
      <c r="KB317" s="33"/>
      <c r="KC317" s="33"/>
      <c r="KD317" s="33"/>
      <c r="KE317" s="33"/>
      <c r="KF317" s="33"/>
      <c r="KG317" s="33"/>
      <c r="KH317" s="33"/>
      <c r="KI317" s="33"/>
      <c r="KJ317" s="33"/>
      <c r="KK317" s="33"/>
      <c r="KL317" s="33"/>
      <c r="KM317" s="33"/>
      <c r="KN317" s="33"/>
      <c r="KO317" s="33"/>
      <c r="KP317" s="33"/>
      <c r="KQ317" s="33"/>
      <c r="KR317" s="33"/>
      <c r="KS317" s="33"/>
      <c r="KT317" s="33"/>
      <c r="KU317" s="33"/>
      <c r="KV317" s="33"/>
      <c r="KW317" s="33"/>
      <c r="KX317" s="33"/>
      <c r="KY317" s="33"/>
      <c r="KZ317" s="33"/>
      <c r="LA317" s="33"/>
      <c r="LB317" s="33"/>
      <c r="LC317" s="33"/>
      <c r="LD317" s="33"/>
      <c r="LE317" s="33"/>
      <c r="LF317" s="33"/>
      <c r="LG317" s="33"/>
      <c r="LH317" s="33"/>
      <c r="LI317" s="33"/>
      <c r="LJ317" s="33"/>
      <c r="LK317" s="33"/>
      <c r="LL317" s="33"/>
      <c r="LM317" s="33"/>
      <c r="LN317" s="33"/>
      <c r="LO317" s="33"/>
      <c r="LP317" s="33"/>
      <c r="LQ317" s="33"/>
      <c r="LR317" s="33"/>
      <c r="LS317" s="33"/>
      <c r="LT317" s="33"/>
      <c r="LU317" s="33"/>
      <c r="LV317" s="33"/>
      <c r="LW317" s="33"/>
      <c r="LX317" s="33"/>
      <c r="LY317" s="33"/>
      <c r="LZ317" s="33"/>
      <c r="MA317" s="33"/>
      <c r="MB317" s="33"/>
      <c r="MC317" s="33"/>
      <c r="MD317" s="33"/>
      <c r="ME317" s="33"/>
      <c r="MF317" s="33"/>
      <c r="MG317" s="33"/>
      <c r="MH317" s="33"/>
      <c r="MI317" s="33"/>
      <c r="MJ317" s="33"/>
      <c r="MK317" s="33"/>
      <c r="ML317" s="33"/>
      <c r="MM317" s="33"/>
      <c r="MN317" s="33"/>
      <c r="MO317" s="33"/>
      <c r="MP317" s="33"/>
      <c r="MQ317" s="33"/>
      <c r="MR317" s="33"/>
      <c r="MS317" s="33"/>
      <c r="MT317" s="33"/>
      <c r="MU317" s="33"/>
      <c r="MV317" s="33"/>
      <c r="MW317" s="33"/>
      <c r="MX317" s="33"/>
      <c r="MY317" s="33"/>
      <c r="MZ317" s="33"/>
      <c r="NA317" s="33"/>
      <c r="NB317" s="33"/>
      <c r="NC317" s="33"/>
      <c r="ND317" s="33"/>
      <c r="NE317" s="33"/>
      <c r="NF317" s="33"/>
      <c r="NG317" s="33"/>
      <c r="NH317" s="33"/>
      <c r="NI317" s="33"/>
      <c r="NJ317" s="33"/>
      <c r="NK317" s="33"/>
      <c r="NL317" s="33"/>
      <c r="NM317" s="33"/>
      <c r="NN317" s="33"/>
      <c r="NO317" s="33"/>
      <c r="NP317" s="33"/>
      <c r="NQ317" s="33"/>
      <c r="NR317" s="33"/>
      <c r="NS317" s="33"/>
      <c r="NT317" s="33"/>
      <c r="NU317" s="33"/>
      <c r="NV317" s="33"/>
      <c r="NW317" s="33"/>
      <c r="NX317" s="33"/>
      <c r="NY317" s="33"/>
      <c r="NZ317" s="33"/>
      <c r="OA317" s="33"/>
      <c r="OB317" s="33"/>
      <c r="OC317" s="33"/>
      <c r="OD317" s="33"/>
      <c r="OE317" s="33"/>
      <c r="OF317" s="33"/>
      <c r="OG317" s="33"/>
      <c r="OH317" s="33"/>
      <c r="OI317" s="33"/>
      <c r="OJ317" s="33"/>
      <c r="OK317" s="33"/>
      <c r="OL317" s="33"/>
      <c r="OM317" s="33"/>
      <c r="ON317" s="33"/>
      <c r="OO317" s="33"/>
      <c r="OP317" s="33"/>
      <c r="OQ317" s="33"/>
      <c r="OR317" s="33"/>
      <c r="OS317" s="33"/>
      <c r="OT317" s="33"/>
      <c r="OU317" s="33"/>
      <c r="OV317" s="33"/>
      <c r="OW317" s="33"/>
      <c r="OX317" s="33"/>
      <c r="OY317" s="33"/>
      <c r="OZ317" s="33"/>
      <c r="PA317" s="33"/>
      <c r="PB317" s="33"/>
      <c r="PC317" s="33"/>
      <c r="PD317" s="33"/>
      <c r="PE317" s="33"/>
      <c r="PF317" s="33"/>
      <c r="PG317" s="33"/>
      <c r="PH317" s="33"/>
      <c r="PI317" s="33"/>
      <c r="PJ317" s="33"/>
      <c r="PK317" s="33"/>
      <c r="PL317" s="33"/>
      <c r="PM317" s="33"/>
      <c r="PN317" s="33"/>
      <c r="PO317" s="33"/>
      <c r="PP317" s="33"/>
      <c r="PQ317" s="33"/>
      <c r="PR317" s="33"/>
      <c r="PS317" s="33"/>
      <c r="PT317" s="33"/>
      <c r="PU317" s="33"/>
      <c r="PV317" s="33"/>
      <c r="PW317" s="33"/>
      <c r="PX317" s="33"/>
      <c r="PY317" s="33"/>
      <c r="PZ317" s="33"/>
      <c r="QA317" s="33"/>
      <c r="QB317" s="33"/>
      <c r="QC317" s="33"/>
      <c r="QD317" s="33"/>
      <c r="QE317" s="33"/>
      <c r="QF317" s="33"/>
      <c r="QG317" s="33"/>
      <c r="QH317" s="33"/>
      <c r="QI317" s="33"/>
      <c r="QJ317" s="33"/>
      <c r="QK317" s="33"/>
      <c r="QL317" s="33"/>
      <c r="QM317" s="33"/>
      <c r="QN317" s="33"/>
      <c r="QO317" s="33"/>
      <c r="QP317" s="33"/>
      <c r="QQ317" s="33"/>
      <c r="QR317" s="33"/>
      <c r="QS317" s="33"/>
      <c r="QT317" s="33"/>
      <c r="QU317" s="33"/>
      <c r="QV317" s="33"/>
      <c r="QW317" s="33"/>
      <c r="QX317" s="33"/>
      <c r="QY317" s="33"/>
      <c r="QZ317" s="33"/>
      <c r="RA317" s="33"/>
      <c r="RB317" s="33"/>
      <c r="RC317" s="33"/>
      <c r="RD317" s="33"/>
      <c r="RE317" s="33"/>
      <c r="RF317" s="33"/>
      <c r="RG317" s="33"/>
      <c r="RH317" s="33"/>
      <c r="RI317" s="33"/>
      <c r="RJ317" s="33"/>
      <c r="RK317" s="33"/>
      <c r="RL317" s="33"/>
      <c r="RM317" s="33"/>
      <c r="RN317" s="33"/>
      <c r="RO317" s="33"/>
      <c r="RP317" s="33"/>
      <c r="RQ317" s="33"/>
      <c r="RR317" s="33"/>
      <c r="RS317" s="33"/>
      <c r="RT317" s="33"/>
      <c r="RU317" s="33"/>
      <c r="RV317" s="33"/>
      <c r="RW317" s="33"/>
      <c r="RX317" s="33"/>
      <c r="RY317" s="33"/>
      <c r="RZ317" s="33"/>
      <c r="SA317" s="33"/>
      <c r="SB317" s="33"/>
      <c r="SC317" s="33"/>
      <c r="SD317" s="33"/>
      <c r="SE317" s="33"/>
      <c r="SF317" s="33"/>
      <c r="SG317" s="33"/>
      <c r="SH317" s="33"/>
      <c r="SI317" s="33"/>
      <c r="SJ317" s="33"/>
      <c r="SK317" s="33"/>
      <c r="SL317" s="33"/>
      <c r="SM317" s="33"/>
      <c r="SN317" s="33"/>
      <c r="SO317" s="33"/>
      <c r="SP317" s="33"/>
      <c r="SQ317" s="33"/>
      <c r="SR317" s="33"/>
      <c r="SS317" s="33"/>
      <c r="ST317" s="33"/>
      <c r="SU317" s="33"/>
      <c r="SV317" s="33"/>
      <c r="SW317" s="33"/>
      <c r="SX317" s="33"/>
      <c r="SY317" s="33"/>
      <c r="SZ317" s="33"/>
      <c r="TA317" s="33"/>
      <c r="TB317" s="33"/>
      <c r="TC317" s="33"/>
      <c r="TD317" s="33"/>
      <c r="TE317" s="33"/>
      <c r="TF317" s="33"/>
      <c r="TG317" s="33"/>
    </row>
    <row r="318" spans="1:527" s="34" customFormat="1" ht="37.5" customHeight="1" x14ac:dyDescent="0.25">
      <c r="A318" s="119"/>
      <c r="B318" s="109"/>
      <c r="C318" s="97"/>
      <c r="D318" s="77" t="s">
        <v>402</v>
      </c>
      <c r="E318" s="98">
        <f>E19+E67+E69+E164+E66+E70+E131+E72+E75+E133+E165+E166+E226</f>
        <v>31056082.240000002</v>
      </c>
      <c r="F318" s="98">
        <f t="shared" ref="F318:P318" si="183">F19+F67+F69+F164+F66+F70+F131+F72+F75+F133+F165+F166+F226</f>
        <v>31056082.240000002</v>
      </c>
      <c r="G318" s="98">
        <f t="shared" si="183"/>
        <v>4133559</v>
      </c>
      <c r="H318" s="98">
        <f t="shared" si="183"/>
        <v>0</v>
      </c>
      <c r="I318" s="98">
        <f t="shared" si="183"/>
        <v>0</v>
      </c>
      <c r="J318" s="98">
        <f t="shared" si="183"/>
        <v>10974978.050000001</v>
      </c>
      <c r="K318" s="98">
        <f t="shared" si="183"/>
        <v>10974978.050000001</v>
      </c>
      <c r="L318" s="98">
        <f t="shared" si="183"/>
        <v>0</v>
      </c>
      <c r="M318" s="98">
        <f t="shared" si="183"/>
        <v>0</v>
      </c>
      <c r="N318" s="98">
        <f t="shared" si="183"/>
        <v>0</v>
      </c>
      <c r="O318" s="98">
        <f t="shared" si="183"/>
        <v>10974978.050000001</v>
      </c>
      <c r="P318" s="98">
        <f t="shared" si="183"/>
        <v>42031060.290000007</v>
      </c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  <c r="GB318" s="33"/>
      <c r="GC318" s="33"/>
      <c r="GD318" s="33"/>
      <c r="GE318" s="33"/>
      <c r="GF318" s="33"/>
      <c r="GG318" s="33"/>
      <c r="GH318" s="33"/>
      <c r="GI318" s="33"/>
      <c r="GJ318" s="33"/>
      <c r="GK318" s="33"/>
      <c r="GL318" s="33"/>
      <c r="GM318" s="33"/>
      <c r="GN318" s="33"/>
      <c r="GO318" s="33"/>
      <c r="GP318" s="33"/>
      <c r="GQ318" s="33"/>
      <c r="GR318" s="33"/>
      <c r="GS318" s="33"/>
      <c r="GT318" s="33"/>
      <c r="GU318" s="33"/>
      <c r="GV318" s="33"/>
      <c r="GW318" s="33"/>
      <c r="GX318" s="33"/>
      <c r="GY318" s="33"/>
      <c r="GZ318" s="33"/>
      <c r="HA318" s="33"/>
      <c r="HB318" s="33"/>
      <c r="HC318" s="33"/>
      <c r="HD318" s="33"/>
      <c r="HE318" s="33"/>
      <c r="HF318" s="33"/>
      <c r="HG318" s="33"/>
      <c r="HH318" s="33"/>
      <c r="HI318" s="33"/>
      <c r="HJ318" s="33"/>
      <c r="HK318" s="33"/>
      <c r="HL318" s="33"/>
      <c r="HM318" s="33"/>
      <c r="HN318" s="33"/>
      <c r="HO318" s="33"/>
      <c r="HP318" s="33"/>
      <c r="HQ318" s="33"/>
      <c r="HR318" s="33"/>
      <c r="HS318" s="33"/>
      <c r="HT318" s="33"/>
      <c r="HU318" s="33"/>
      <c r="HV318" s="33"/>
      <c r="HW318" s="33"/>
      <c r="HX318" s="33"/>
      <c r="HY318" s="33"/>
      <c r="HZ318" s="33"/>
      <c r="IA318" s="33"/>
      <c r="IB318" s="33"/>
      <c r="IC318" s="33"/>
      <c r="ID318" s="33"/>
      <c r="IE318" s="33"/>
      <c r="IF318" s="33"/>
      <c r="IG318" s="33"/>
      <c r="IH318" s="33"/>
      <c r="II318" s="33"/>
      <c r="IJ318" s="33"/>
      <c r="IK318" s="33"/>
      <c r="IL318" s="33"/>
      <c r="IM318" s="33"/>
      <c r="IN318" s="33"/>
      <c r="IO318" s="33"/>
      <c r="IP318" s="33"/>
      <c r="IQ318" s="33"/>
      <c r="IR318" s="33"/>
      <c r="IS318" s="33"/>
      <c r="IT318" s="33"/>
      <c r="IU318" s="33"/>
      <c r="IV318" s="33"/>
      <c r="IW318" s="33"/>
      <c r="IX318" s="33"/>
      <c r="IY318" s="33"/>
      <c r="IZ318" s="33"/>
      <c r="JA318" s="33"/>
      <c r="JB318" s="33"/>
      <c r="JC318" s="33"/>
      <c r="JD318" s="33"/>
      <c r="JE318" s="33"/>
      <c r="JF318" s="33"/>
      <c r="JG318" s="33"/>
      <c r="JH318" s="33"/>
      <c r="JI318" s="33"/>
      <c r="JJ318" s="33"/>
      <c r="JK318" s="33"/>
      <c r="JL318" s="33"/>
      <c r="JM318" s="33"/>
      <c r="JN318" s="33"/>
      <c r="JO318" s="33"/>
      <c r="JP318" s="33"/>
      <c r="JQ318" s="33"/>
      <c r="JR318" s="33"/>
      <c r="JS318" s="33"/>
      <c r="JT318" s="33"/>
      <c r="JU318" s="33"/>
      <c r="JV318" s="33"/>
      <c r="JW318" s="33"/>
      <c r="JX318" s="33"/>
      <c r="JY318" s="33"/>
      <c r="JZ318" s="33"/>
      <c r="KA318" s="33"/>
      <c r="KB318" s="33"/>
      <c r="KC318" s="33"/>
      <c r="KD318" s="33"/>
      <c r="KE318" s="33"/>
      <c r="KF318" s="33"/>
      <c r="KG318" s="33"/>
      <c r="KH318" s="33"/>
      <c r="KI318" s="33"/>
      <c r="KJ318" s="33"/>
      <c r="KK318" s="33"/>
      <c r="KL318" s="33"/>
      <c r="KM318" s="33"/>
      <c r="KN318" s="33"/>
      <c r="KO318" s="33"/>
      <c r="KP318" s="33"/>
      <c r="KQ318" s="33"/>
      <c r="KR318" s="33"/>
      <c r="KS318" s="33"/>
      <c r="KT318" s="33"/>
      <c r="KU318" s="33"/>
      <c r="KV318" s="33"/>
      <c r="KW318" s="33"/>
      <c r="KX318" s="33"/>
      <c r="KY318" s="33"/>
      <c r="KZ318" s="33"/>
      <c r="LA318" s="33"/>
      <c r="LB318" s="33"/>
      <c r="LC318" s="33"/>
      <c r="LD318" s="33"/>
      <c r="LE318" s="33"/>
      <c r="LF318" s="33"/>
      <c r="LG318" s="33"/>
      <c r="LH318" s="33"/>
      <c r="LI318" s="33"/>
      <c r="LJ318" s="33"/>
      <c r="LK318" s="33"/>
      <c r="LL318" s="33"/>
      <c r="LM318" s="33"/>
      <c r="LN318" s="33"/>
      <c r="LO318" s="33"/>
      <c r="LP318" s="33"/>
      <c r="LQ318" s="33"/>
      <c r="LR318" s="33"/>
      <c r="LS318" s="33"/>
      <c r="LT318" s="33"/>
      <c r="LU318" s="33"/>
      <c r="LV318" s="33"/>
      <c r="LW318" s="33"/>
      <c r="LX318" s="33"/>
      <c r="LY318" s="33"/>
      <c r="LZ318" s="33"/>
      <c r="MA318" s="33"/>
      <c r="MB318" s="33"/>
      <c r="MC318" s="33"/>
      <c r="MD318" s="33"/>
      <c r="ME318" s="33"/>
      <c r="MF318" s="33"/>
      <c r="MG318" s="33"/>
      <c r="MH318" s="33"/>
      <c r="MI318" s="33"/>
      <c r="MJ318" s="33"/>
      <c r="MK318" s="33"/>
      <c r="ML318" s="33"/>
      <c r="MM318" s="33"/>
      <c r="MN318" s="33"/>
      <c r="MO318" s="33"/>
      <c r="MP318" s="33"/>
      <c r="MQ318" s="33"/>
      <c r="MR318" s="33"/>
      <c r="MS318" s="33"/>
      <c r="MT318" s="33"/>
      <c r="MU318" s="33"/>
      <c r="MV318" s="33"/>
      <c r="MW318" s="33"/>
      <c r="MX318" s="33"/>
      <c r="MY318" s="33"/>
      <c r="MZ318" s="33"/>
      <c r="NA318" s="33"/>
      <c r="NB318" s="33"/>
      <c r="NC318" s="33"/>
      <c r="ND318" s="33"/>
      <c r="NE318" s="33"/>
      <c r="NF318" s="33"/>
      <c r="NG318" s="33"/>
      <c r="NH318" s="33"/>
      <c r="NI318" s="33"/>
      <c r="NJ318" s="33"/>
      <c r="NK318" s="33"/>
      <c r="NL318" s="33"/>
      <c r="NM318" s="33"/>
      <c r="NN318" s="33"/>
      <c r="NO318" s="33"/>
      <c r="NP318" s="33"/>
      <c r="NQ318" s="33"/>
      <c r="NR318" s="33"/>
      <c r="NS318" s="33"/>
      <c r="NT318" s="33"/>
      <c r="NU318" s="33"/>
      <c r="NV318" s="33"/>
      <c r="NW318" s="33"/>
      <c r="NX318" s="33"/>
      <c r="NY318" s="33"/>
      <c r="NZ318" s="33"/>
      <c r="OA318" s="33"/>
      <c r="OB318" s="33"/>
      <c r="OC318" s="33"/>
      <c r="OD318" s="33"/>
      <c r="OE318" s="33"/>
      <c r="OF318" s="33"/>
      <c r="OG318" s="33"/>
      <c r="OH318" s="33"/>
      <c r="OI318" s="33"/>
      <c r="OJ318" s="33"/>
      <c r="OK318" s="33"/>
      <c r="OL318" s="33"/>
      <c r="OM318" s="33"/>
      <c r="ON318" s="33"/>
      <c r="OO318" s="33"/>
      <c r="OP318" s="33"/>
      <c r="OQ318" s="33"/>
      <c r="OR318" s="33"/>
      <c r="OS318" s="33"/>
      <c r="OT318" s="33"/>
      <c r="OU318" s="33"/>
      <c r="OV318" s="33"/>
      <c r="OW318" s="33"/>
      <c r="OX318" s="33"/>
      <c r="OY318" s="33"/>
      <c r="OZ318" s="33"/>
      <c r="PA318" s="33"/>
      <c r="PB318" s="33"/>
      <c r="PC318" s="33"/>
      <c r="PD318" s="33"/>
      <c r="PE318" s="33"/>
      <c r="PF318" s="33"/>
      <c r="PG318" s="33"/>
      <c r="PH318" s="33"/>
      <c r="PI318" s="33"/>
      <c r="PJ318" s="33"/>
      <c r="PK318" s="33"/>
      <c r="PL318" s="33"/>
      <c r="PM318" s="33"/>
      <c r="PN318" s="33"/>
      <c r="PO318" s="33"/>
      <c r="PP318" s="33"/>
      <c r="PQ318" s="33"/>
      <c r="PR318" s="33"/>
      <c r="PS318" s="33"/>
      <c r="PT318" s="33"/>
      <c r="PU318" s="33"/>
      <c r="PV318" s="33"/>
      <c r="PW318" s="33"/>
      <c r="PX318" s="33"/>
      <c r="PY318" s="33"/>
      <c r="PZ318" s="33"/>
      <c r="QA318" s="33"/>
      <c r="QB318" s="33"/>
      <c r="QC318" s="33"/>
      <c r="QD318" s="33"/>
      <c r="QE318" s="33"/>
      <c r="QF318" s="33"/>
      <c r="QG318" s="33"/>
      <c r="QH318" s="33"/>
      <c r="QI318" s="33"/>
      <c r="QJ318" s="33"/>
      <c r="QK318" s="33"/>
      <c r="QL318" s="33"/>
      <c r="QM318" s="33"/>
      <c r="QN318" s="33"/>
      <c r="QO318" s="33"/>
      <c r="QP318" s="33"/>
      <c r="QQ318" s="33"/>
      <c r="QR318" s="33"/>
      <c r="QS318" s="33"/>
      <c r="QT318" s="33"/>
      <c r="QU318" s="33"/>
      <c r="QV318" s="33"/>
      <c r="QW318" s="33"/>
      <c r="QX318" s="33"/>
      <c r="QY318" s="33"/>
      <c r="QZ318" s="33"/>
      <c r="RA318" s="33"/>
      <c r="RB318" s="33"/>
      <c r="RC318" s="33"/>
      <c r="RD318" s="33"/>
      <c r="RE318" s="33"/>
      <c r="RF318" s="33"/>
      <c r="RG318" s="33"/>
      <c r="RH318" s="33"/>
      <c r="RI318" s="33"/>
      <c r="RJ318" s="33"/>
      <c r="RK318" s="33"/>
      <c r="RL318" s="33"/>
      <c r="RM318" s="33"/>
      <c r="RN318" s="33"/>
      <c r="RO318" s="33"/>
      <c r="RP318" s="33"/>
      <c r="RQ318" s="33"/>
      <c r="RR318" s="33"/>
      <c r="RS318" s="33"/>
      <c r="RT318" s="33"/>
      <c r="RU318" s="33"/>
      <c r="RV318" s="33"/>
      <c r="RW318" s="33"/>
      <c r="RX318" s="33"/>
      <c r="RY318" s="33"/>
      <c r="RZ318" s="33"/>
      <c r="SA318" s="33"/>
      <c r="SB318" s="33"/>
      <c r="SC318" s="33"/>
      <c r="SD318" s="33"/>
      <c r="SE318" s="33"/>
      <c r="SF318" s="33"/>
      <c r="SG318" s="33"/>
      <c r="SH318" s="33"/>
      <c r="SI318" s="33"/>
      <c r="SJ318" s="33"/>
      <c r="SK318" s="33"/>
      <c r="SL318" s="33"/>
      <c r="SM318" s="33"/>
      <c r="SN318" s="33"/>
      <c r="SO318" s="33"/>
      <c r="SP318" s="33"/>
      <c r="SQ318" s="33"/>
      <c r="SR318" s="33"/>
      <c r="SS318" s="33"/>
      <c r="ST318" s="33"/>
      <c r="SU318" s="33"/>
      <c r="SV318" s="33"/>
      <c r="SW318" s="33"/>
      <c r="SX318" s="33"/>
      <c r="SY318" s="33"/>
      <c r="SZ318" s="33"/>
      <c r="TA318" s="33"/>
      <c r="TB318" s="33"/>
      <c r="TC318" s="33"/>
      <c r="TD318" s="33"/>
      <c r="TE318" s="33"/>
      <c r="TF318" s="33"/>
      <c r="TG318" s="33"/>
    </row>
    <row r="319" spans="1:527" s="34" customFormat="1" ht="26.25" customHeight="1" x14ac:dyDescent="0.25">
      <c r="A319" s="96"/>
      <c r="B319" s="109"/>
      <c r="C319" s="109"/>
      <c r="D319" s="83" t="s">
        <v>419</v>
      </c>
      <c r="E319" s="98">
        <f t="shared" ref="E319:P319" si="184">E134+E267+E227</f>
        <v>0</v>
      </c>
      <c r="F319" s="98">
        <f t="shared" si="184"/>
        <v>0</v>
      </c>
      <c r="G319" s="98">
        <f t="shared" si="184"/>
        <v>0</v>
      </c>
      <c r="H319" s="98">
        <f t="shared" si="184"/>
        <v>0</v>
      </c>
      <c r="I319" s="98">
        <f t="shared" si="184"/>
        <v>0</v>
      </c>
      <c r="J319" s="98">
        <f t="shared" si="184"/>
        <v>127771665.12</v>
      </c>
      <c r="K319" s="98">
        <f t="shared" si="184"/>
        <v>127771665.12</v>
      </c>
      <c r="L319" s="98">
        <f t="shared" si="184"/>
        <v>0</v>
      </c>
      <c r="M319" s="98">
        <f t="shared" si="184"/>
        <v>0</v>
      </c>
      <c r="N319" s="98">
        <f t="shared" si="184"/>
        <v>0</v>
      </c>
      <c r="O319" s="98">
        <f t="shared" si="184"/>
        <v>127771665.12</v>
      </c>
      <c r="P319" s="98">
        <f t="shared" si="184"/>
        <v>127771665.12</v>
      </c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  <c r="GH319" s="33"/>
      <c r="GI319" s="33"/>
      <c r="GJ319" s="33"/>
      <c r="GK319" s="33"/>
      <c r="GL319" s="33"/>
      <c r="GM319" s="33"/>
      <c r="GN319" s="33"/>
      <c r="GO319" s="33"/>
      <c r="GP319" s="33"/>
      <c r="GQ319" s="33"/>
      <c r="GR319" s="33"/>
      <c r="GS319" s="33"/>
      <c r="GT319" s="33"/>
      <c r="GU319" s="33"/>
      <c r="GV319" s="33"/>
      <c r="GW319" s="33"/>
      <c r="GX319" s="33"/>
      <c r="GY319" s="33"/>
      <c r="GZ319" s="33"/>
      <c r="HA319" s="33"/>
      <c r="HB319" s="33"/>
      <c r="HC319" s="33"/>
      <c r="HD319" s="33"/>
      <c r="HE319" s="33"/>
      <c r="HF319" s="33"/>
      <c r="HG319" s="33"/>
      <c r="HH319" s="33"/>
      <c r="HI319" s="33"/>
      <c r="HJ319" s="33"/>
      <c r="HK319" s="33"/>
      <c r="HL319" s="33"/>
      <c r="HM319" s="33"/>
      <c r="HN319" s="33"/>
      <c r="HO319" s="33"/>
      <c r="HP319" s="33"/>
      <c r="HQ319" s="33"/>
      <c r="HR319" s="33"/>
      <c r="HS319" s="33"/>
      <c r="HT319" s="33"/>
      <c r="HU319" s="33"/>
      <c r="HV319" s="33"/>
      <c r="HW319" s="33"/>
      <c r="HX319" s="33"/>
      <c r="HY319" s="33"/>
      <c r="HZ319" s="33"/>
      <c r="IA319" s="33"/>
      <c r="IB319" s="33"/>
      <c r="IC319" s="33"/>
      <c r="ID319" s="33"/>
      <c r="IE319" s="33"/>
      <c r="IF319" s="33"/>
      <c r="IG319" s="33"/>
      <c r="IH319" s="33"/>
      <c r="II319" s="33"/>
      <c r="IJ319" s="33"/>
      <c r="IK319" s="33"/>
      <c r="IL319" s="33"/>
      <c r="IM319" s="33"/>
      <c r="IN319" s="33"/>
      <c r="IO319" s="33"/>
      <c r="IP319" s="33"/>
      <c r="IQ319" s="33"/>
      <c r="IR319" s="33"/>
      <c r="IS319" s="33"/>
      <c r="IT319" s="33"/>
      <c r="IU319" s="33"/>
      <c r="IV319" s="33"/>
      <c r="IW319" s="33"/>
      <c r="IX319" s="33"/>
      <c r="IY319" s="33"/>
      <c r="IZ319" s="33"/>
      <c r="JA319" s="33"/>
      <c r="JB319" s="33"/>
      <c r="JC319" s="33"/>
      <c r="JD319" s="33"/>
      <c r="JE319" s="33"/>
      <c r="JF319" s="33"/>
      <c r="JG319" s="33"/>
      <c r="JH319" s="33"/>
      <c r="JI319" s="33"/>
      <c r="JJ319" s="33"/>
      <c r="JK319" s="33"/>
      <c r="JL319" s="33"/>
      <c r="JM319" s="33"/>
      <c r="JN319" s="33"/>
      <c r="JO319" s="33"/>
      <c r="JP319" s="33"/>
      <c r="JQ319" s="33"/>
      <c r="JR319" s="33"/>
      <c r="JS319" s="33"/>
      <c r="JT319" s="33"/>
      <c r="JU319" s="33"/>
      <c r="JV319" s="33"/>
      <c r="JW319" s="33"/>
      <c r="JX319" s="33"/>
      <c r="JY319" s="33"/>
      <c r="JZ319" s="33"/>
      <c r="KA319" s="33"/>
      <c r="KB319" s="33"/>
      <c r="KC319" s="33"/>
      <c r="KD319" s="33"/>
      <c r="KE319" s="33"/>
      <c r="KF319" s="33"/>
      <c r="KG319" s="33"/>
      <c r="KH319" s="33"/>
      <c r="KI319" s="33"/>
      <c r="KJ319" s="33"/>
      <c r="KK319" s="33"/>
      <c r="KL319" s="33"/>
      <c r="KM319" s="33"/>
      <c r="KN319" s="33"/>
      <c r="KO319" s="33"/>
      <c r="KP319" s="33"/>
      <c r="KQ319" s="33"/>
      <c r="KR319" s="33"/>
      <c r="KS319" s="33"/>
      <c r="KT319" s="33"/>
      <c r="KU319" s="33"/>
      <c r="KV319" s="33"/>
      <c r="KW319" s="33"/>
      <c r="KX319" s="33"/>
      <c r="KY319" s="33"/>
      <c r="KZ319" s="33"/>
      <c r="LA319" s="33"/>
      <c r="LB319" s="33"/>
      <c r="LC319" s="33"/>
      <c r="LD319" s="33"/>
      <c r="LE319" s="33"/>
      <c r="LF319" s="33"/>
      <c r="LG319" s="33"/>
      <c r="LH319" s="33"/>
      <c r="LI319" s="33"/>
      <c r="LJ319" s="33"/>
      <c r="LK319" s="33"/>
      <c r="LL319" s="33"/>
      <c r="LM319" s="33"/>
      <c r="LN319" s="33"/>
      <c r="LO319" s="33"/>
      <c r="LP319" s="33"/>
      <c r="LQ319" s="33"/>
      <c r="LR319" s="33"/>
      <c r="LS319" s="33"/>
      <c r="LT319" s="33"/>
      <c r="LU319" s="33"/>
      <c r="LV319" s="33"/>
      <c r="LW319" s="33"/>
      <c r="LX319" s="33"/>
      <c r="LY319" s="33"/>
      <c r="LZ319" s="33"/>
      <c r="MA319" s="33"/>
      <c r="MB319" s="33"/>
      <c r="MC319" s="33"/>
      <c r="MD319" s="33"/>
      <c r="ME319" s="33"/>
      <c r="MF319" s="33"/>
      <c r="MG319" s="33"/>
      <c r="MH319" s="33"/>
      <c r="MI319" s="33"/>
      <c r="MJ319" s="33"/>
      <c r="MK319" s="33"/>
      <c r="ML319" s="33"/>
      <c r="MM319" s="33"/>
      <c r="MN319" s="33"/>
      <c r="MO319" s="33"/>
      <c r="MP319" s="33"/>
      <c r="MQ319" s="33"/>
      <c r="MR319" s="33"/>
      <c r="MS319" s="33"/>
      <c r="MT319" s="33"/>
      <c r="MU319" s="33"/>
      <c r="MV319" s="33"/>
      <c r="MW319" s="33"/>
      <c r="MX319" s="33"/>
      <c r="MY319" s="33"/>
      <c r="MZ319" s="33"/>
      <c r="NA319" s="33"/>
      <c r="NB319" s="33"/>
      <c r="NC319" s="33"/>
      <c r="ND319" s="33"/>
      <c r="NE319" s="33"/>
      <c r="NF319" s="33"/>
      <c r="NG319" s="33"/>
      <c r="NH319" s="33"/>
      <c r="NI319" s="33"/>
      <c r="NJ319" s="33"/>
      <c r="NK319" s="33"/>
      <c r="NL319" s="33"/>
      <c r="NM319" s="33"/>
      <c r="NN319" s="33"/>
      <c r="NO319" s="33"/>
      <c r="NP319" s="33"/>
      <c r="NQ319" s="33"/>
      <c r="NR319" s="33"/>
      <c r="NS319" s="33"/>
      <c r="NT319" s="33"/>
      <c r="NU319" s="33"/>
      <c r="NV319" s="33"/>
      <c r="NW319" s="33"/>
      <c r="NX319" s="33"/>
      <c r="NY319" s="33"/>
      <c r="NZ319" s="33"/>
      <c r="OA319" s="33"/>
      <c r="OB319" s="33"/>
      <c r="OC319" s="33"/>
      <c r="OD319" s="33"/>
      <c r="OE319" s="33"/>
      <c r="OF319" s="33"/>
      <c r="OG319" s="33"/>
      <c r="OH319" s="33"/>
      <c r="OI319" s="33"/>
      <c r="OJ319" s="33"/>
      <c r="OK319" s="33"/>
      <c r="OL319" s="33"/>
      <c r="OM319" s="33"/>
      <c r="ON319" s="33"/>
      <c r="OO319" s="33"/>
      <c r="OP319" s="33"/>
      <c r="OQ319" s="33"/>
      <c r="OR319" s="33"/>
      <c r="OS319" s="33"/>
      <c r="OT319" s="33"/>
      <c r="OU319" s="33"/>
      <c r="OV319" s="33"/>
      <c r="OW319" s="33"/>
      <c r="OX319" s="33"/>
      <c r="OY319" s="33"/>
      <c r="OZ319" s="33"/>
      <c r="PA319" s="33"/>
      <c r="PB319" s="33"/>
      <c r="PC319" s="33"/>
      <c r="PD319" s="33"/>
      <c r="PE319" s="33"/>
      <c r="PF319" s="33"/>
      <c r="PG319" s="33"/>
      <c r="PH319" s="33"/>
      <c r="PI319" s="33"/>
      <c r="PJ319" s="33"/>
      <c r="PK319" s="33"/>
      <c r="PL319" s="33"/>
      <c r="PM319" s="33"/>
      <c r="PN319" s="33"/>
      <c r="PO319" s="33"/>
      <c r="PP319" s="33"/>
      <c r="PQ319" s="33"/>
      <c r="PR319" s="33"/>
      <c r="PS319" s="33"/>
      <c r="PT319" s="33"/>
      <c r="PU319" s="33"/>
      <c r="PV319" s="33"/>
      <c r="PW319" s="33"/>
      <c r="PX319" s="33"/>
      <c r="PY319" s="33"/>
      <c r="PZ319" s="33"/>
      <c r="QA319" s="33"/>
      <c r="QB319" s="33"/>
      <c r="QC319" s="33"/>
      <c r="QD319" s="33"/>
      <c r="QE319" s="33"/>
      <c r="QF319" s="33"/>
      <c r="QG319" s="33"/>
      <c r="QH319" s="33"/>
      <c r="QI319" s="33"/>
      <c r="QJ319" s="33"/>
      <c r="QK319" s="33"/>
      <c r="QL319" s="33"/>
      <c r="QM319" s="33"/>
      <c r="QN319" s="33"/>
      <c r="QO319" s="33"/>
      <c r="QP319" s="33"/>
      <c r="QQ319" s="33"/>
      <c r="QR319" s="33"/>
      <c r="QS319" s="33"/>
      <c r="QT319" s="33"/>
      <c r="QU319" s="33"/>
      <c r="QV319" s="33"/>
      <c r="QW319" s="33"/>
      <c r="QX319" s="33"/>
      <c r="QY319" s="33"/>
      <c r="QZ319" s="33"/>
      <c r="RA319" s="33"/>
      <c r="RB319" s="33"/>
      <c r="RC319" s="33"/>
      <c r="RD319" s="33"/>
      <c r="RE319" s="33"/>
      <c r="RF319" s="33"/>
      <c r="RG319" s="33"/>
      <c r="RH319" s="33"/>
      <c r="RI319" s="33"/>
      <c r="RJ319" s="33"/>
      <c r="RK319" s="33"/>
      <c r="RL319" s="33"/>
      <c r="RM319" s="33"/>
      <c r="RN319" s="33"/>
      <c r="RO319" s="33"/>
      <c r="RP319" s="33"/>
      <c r="RQ319" s="33"/>
      <c r="RR319" s="33"/>
      <c r="RS319" s="33"/>
      <c r="RT319" s="33"/>
      <c r="RU319" s="33"/>
      <c r="RV319" s="33"/>
      <c r="RW319" s="33"/>
      <c r="RX319" s="33"/>
      <c r="RY319" s="33"/>
      <c r="RZ319" s="33"/>
      <c r="SA319" s="33"/>
      <c r="SB319" s="33"/>
      <c r="SC319" s="33"/>
      <c r="SD319" s="33"/>
      <c r="SE319" s="33"/>
      <c r="SF319" s="33"/>
      <c r="SG319" s="33"/>
      <c r="SH319" s="33"/>
      <c r="SI319" s="33"/>
      <c r="SJ319" s="33"/>
      <c r="SK319" s="33"/>
      <c r="SL319" s="33"/>
      <c r="SM319" s="33"/>
      <c r="SN319" s="33"/>
      <c r="SO319" s="33"/>
      <c r="SP319" s="33"/>
      <c r="SQ319" s="33"/>
      <c r="SR319" s="33"/>
      <c r="SS319" s="33"/>
      <c r="ST319" s="33"/>
      <c r="SU319" s="33"/>
      <c r="SV319" s="33"/>
      <c r="SW319" s="33"/>
      <c r="SX319" s="33"/>
      <c r="SY319" s="33"/>
      <c r="SZ319" s="33"/>
      <c r="TA319" s="33"/>
      <c r="TB319" s="33"/>
      <c r="TC319" s="33"/>
      <c r="TD319" s="33"/>
      <c r="TE319" s="33"/>
      <c r="TF319" s="33"/>
      <c r="TG319" s="33"/>
    </row>
    <row r="320" spans="1:527" s="27" customFormat="1" ht="24.75" customHeight="1" x14ac:dyDescent="0.2">
      <c r="A320" s="66"/>
      <c r="B320" s="67"/>
      <c r="C320" s="68"/>
      <c r="D320" s="6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/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  <c r="FK320" s="32"/>
      <c r="FL320" s="32"/>
      <c r="FM320" s="32"/>
      <c r="FN320" s="32"/>
      <c r="FO320" s="32"/>
      <c r="FP320" s="32"/>
      <c r="FQ320" s="32"/>
      <c r="FR320" s="32"/>
      <c r="FS320" s="32"/>
      <c r="FT320" s="32"/>
      <c r="FU320" s="32"/>
      <c r="FV320" s="32"/>
      <c r="FW320" s="32"/>
      <c r="FX320" s="32"/>
      <c r="FY320" s="32"/>
      <c r="FZ320" s="32"/>
      <c r="GA320" s="32"/>
      <c r="GB320" s="32"/>
      <c r="GC320" s="32"/>
      <c r="GD320" s="32"/>
      <c r="GE320" s="32"/>
      <c r="GF320" s="32"/>
      <c r="GG320" s="32"/>
      <c r="GH320" s="32"/>
      <c r="GI320" s="32"/>
      <c r="GJ320" s="32"/>
      <c r="GK320" s="32"/>
      <c r="GL320" s="32"/>
      <c r="GM320" s="32"/>
      <c r="GN320" s="32"/>
      <c r="GO320" s="32"/>
      <c r="GP320" s="32"/>
      <c r="GQ320" s="32"/>
      <c r="GR320" s="32"/>
      <c r="GS320" s="32"/>
      <c r="GT320" s="32"/>
      <c r="GU320" s="32"/>
      <c r="GV320" s="32"/>
      <c r="GW320" s="32"/>
      <c r="GX320" s="32"/>
      <c r="GY320" s="32"/>
      <c r="GZ320" s="32"/>
      <c r="HA320" s="32"/>
      <c r="HB320" s="32"/>
      <c r="HC320" s="32"/>
      <c r="HD320" s="32"/>
      <c r="HE320" s="32"/>
      <c r="HF320" s="32"/>
      <c r="HG320" s="32"/>
      <c r="HH320" s="32"/>
      <c r="HI320" s="32"/>
      <c r="HJ320" s="32"/>
      <c r="HK320" s="32"/>
      <c r="HL320" s="32"/>
      <c r="HM320" s="32"/>
      <c r="HN320" s="32"/>
      <c r="HO320" s="32"/>
      <c r="HP320" s="32"/>
      <c r="HQ320" s="32"/>
      <c r="HR320" s="32"/>
      <c r="HS320" s="32"/>
      <c r="HT320" s="32"/>
      <c r="HU320" s="32"/>
      <c r="HV320" s="32"/>
      <c r="HW320" s="32"/>
      <c r="HX320" s="32"/>
      <c r="HY320" s="32"/>
      <c r="HZ320" s="32"/>
      <c r="IA320" s="32"/>
      <c r="IB320" s="32"/>
      <c r="IC320" s="32"/>
      <c r="ID320" s="32"/>
      <c r="IE320" s="32"/>
      <c r="IF320" s="32"/>
      <c r="IG320" s="32"/>
      <c r="IH320" s="32"/>
      <c r="II320" s="32"/>
      <c r="IJ320" s="32"/>
      <c r="IK320" s="32"/>
      <c r="IL320" s="32"/>
      <c r="IM320" s="32"/>
      <c r="IN320" s="32"/>
      <c r="IO320" s="32"/>
      <c r="IP320" s="32"/>
      <c r="IQ320" s="32"/>
      <c r="IR320" s="32"/>
      <c r="IS320" s="32"/>
      <c r="IT320" s="32"/>
      <c r="IU320" s="32"/>
      <c r="IV320" s="32"/>
      <c r="IW320" s="32"/>
      <c r="IX320" s="32"/>
      <c r="IY320" s="32"/>
      <c r="IZ320" s="32"/>
      <c r="JA320" s="32"/>
      <c r="JB320" s="32"/>
      <c r="JC320" s="32"/>
      <c r="JD320" s="32"/>
      <c r="JE320" s="32"/>
      <c r="JF320" s="32"/>
      <c r="JG320" s="32"/>
      <c r="JH320" s="32"/>
      <c r="JI320" s="32"/>
      <c r="JJ320" s="32"/>
      <c r="JK320" s="32"/>
      <c r="JL320" s="32"/>
      <c r="JM320" s="32"/>
      <c r="JN320" s="32"/>
      <c r="JO320" s="32"/>
      <c r="JP320" s="32"/>
      <c r="JQ320" s="32"/>
      <c r="JR320" s="32"/>
      <c r="JS320" s="32"/>
      <c r="JT320" s="32"/>
      <c r="JU320" s="32"/>
      <c r="JV320" s="32"/>
      <c r="JW320" s="32"/>
      <c r="JX320" s="32"/>
      <c r="JY320" s="32"/>
      <c r="JZ320" s="32"/>
      <c r="KA320" s="32"/>
      <c r="KB320" s="32"/>
      <c r="KC320" s="32"/>
      <c r="KD320" s="32"/>
      <c r="KE320" s="32"/>
      <c r="KF320" s="32"/>
      <c r="KG320" s="32"/>
      <c r="KH320" s="32"/>
      <c r="KI320" s="32"/>
      <c r="KJ320" s="32"/>
      <c r="KK320" s="32"/>
      <c r="KL320" s="32"/>
      <c r="KM320" s="32"/>
      <c r="KN320" s="32"/>
      <c r="KO320" s="32"/>
      <c r="KP320" s="32"/>
      <c r="KQ320" s="32"/>
      <c r="KR320" s="32"/>
      <c r="KS320" s="32"/>
      <c r="KT320" s="32"/>
      <c r="KU320" s="32"/>
      <c r="KV320" s="32"/>
      <c r="KW320" s="32"/>
      <c r="KX320" s="32"/>
      <c r="KY320" s="32"/>
      <c r="KZ320" s="32"/>
      <c r="LA320" s="32"/>
      <c r="LB320" s="32"/>
      <c r="LC320" s="32"/>
      <c r="LD320" s="32"/>
      <c r="LE320" s="32"/>
      <c r="LF320" s="32"/>
      <c r="LG320" s="32"/>
      <c r="LH320" s="32"/>
      <c r="LI320" s="32"/>
      <c r="LJ320" s="32"/>
      <c r="LK320" s="32"/>
      <c r="LL320" s="32"/>
      <c r="LM320" s="32"/>
      <c r="LN320" s="32"/>
      <c r="LO320" s="32"/>
      <c r="LP320" s="32"/>
      <c r="LQ320" s="32"/>
      <c r="LR320" s="32"/>
      <c r="LS320" s="32"/>
      <c r="LT320" s="32"/>
      <c r="LU320" s="32"/>
      <c r="LV320" s="32"/>
      <c r="LW320" s="32"/>
      <c r="LX320" s="32"/>
      <c r="LY320" s="32"/>
      <c r="LZ320" s="32"/>
      <c r="MA320" s="32"/>
      <c r="MB320" s="32"/>
      <c r="MC320" s="32"/>
      <c r="MD320" s="32"/>
      <c r="ME320" s="32"/>
      <c r="MF320" s="32"/>
      <c r="MG320" s="32"/>
      <c r="MH320" s="32"/>
      <c r="MI320" s="32"/>
      <c r="MJ320" s="32"/>
      <c r="MK320" s="32"/>
      <c r="ML320" s="32"/>
      <c r="MM320" s="32"/>
      <c r="MN320" s="32"/>
      <c r="MO320" s="32"/>
      <c r="MP320" s="32"/>
      <c r="MQ320" s="32"/>
      <c r="MR320" s="32"/>
      <c r="MS320" s="32"/>
      <c r="MT320" s="32"/>
      <c r="MU320" s="32"/>
      <c r="MV320" s="32"/>
      <c r="MW320" s="32"/>
      <c r="MX320" s="32"/>
      <c r="MY320" s="32"/>
      <c r="MZ320" s="32"/>
      <c r="NA320" s="32"/>
      <c r="NB320" s="32"/>
      <c r="NC320" s="32"/>
      <c r="ND320" s="32"/>
      <c r="NE320" s="32"/>
      <c r="NF320" s="32"/>
      <c r="NG320" s="32"/>
      <c r="NH320" s="32"/>
      <c r="NI320" s="32"/>
      <c r="NJ320" s="32"/>
      <c r="NK320" s="32"/>
      <c r="NL320" s="32"/>
      <c r="NM320" s="32"/>
      <c r="NN320" s="32"/>
      <c r="NO320" s="32"/>
      <c r="NP320" s="32"/>
      <c r="NQ320" s="32"/>
      <c r="NR320" s="32"/>
      <c r="NS320" s="32"/>
      <c r="NT320" s="32"/>
      <c r="NU320" s="32"/>
      <c r="NV320" s="32"/>
      <c r="NW320" s="32"/>
      <c r="NX320" s="32"/>
      <c r="NY320" s="32"/>
      <c r="NZ320" s="32"/>
      <c r="OA320" s="32"/>
      <c r="OB320" s="32"/>
      <c r="OC320" s="32"/>
      <c r="OD320" s="32"/>
      <c r="OE320" s="32"/>
      <c r="OF320" s="32"/>
      <c r="OG320" s="32"/>
      <c r="OH320" s="32"/>
      <c r="OI320" s="32"/>
      <c r="OJ320" s="32"/>
      <c r="OK320" s="32"/>
      <c r="OL320" s="32"/>
      <c r="OM320" s="32"/>
      <c r="ON320" s="32"/>
      <c r="OO320" s="32"/>
      <c r="OP320" s="32"/>
      <c r="OQ320" s="32"/>
      <c r="OR320" s="32"/>
      <c r="OS320" s="32"/>
      <c r="OT320" s="32"/>
      <c r="OU320" s="32"/>
      <c r="OV320" s="32"/>
      <c r="OW320" s="32"/>
      <c r="OX320" s="32"/>
      <c r="OY320" s="32"/>
      <c r="OZ320" s="32"/>
      <c r="PA320" s="32"/>
      <c r="PB320" s="32"/>
      <c r="PC320" s="32"/>
      <c r="PD320" s="32"/>
      <c r="PE320" s="32"/>
      <c r="PF320" s="32"/>
      <c r="PG320" s="32"/>
      <c r="PH320" s="32"/>
      <c r="PI320" s="32"/>
      <c r="PJ320" s="32"/>
      <c r="PK320" s="32"/>
      <c r="PL320" s="32"/>
      <c r="PM320" s="32"/>
      <c r="PN320" s="32"/>
      <c r="PO320" s="32"/>
      <c r="PP320" s="32"/>
      <c r="PQ320" s="32"/>
      <c r="PR320" s="32"/>
      <c r="PS320" s="32"/>
      <c r="PT320" s="32"/>
      <c r="PU320" s="32"/>
      <c r="PV320" s="32"/>
      <c r="PW320" s="32"/>
      <c r="PX320" s="32"/>
      <c r="PY320" s="32"/>
      <c r="PZ320" s="32"/>
      <c r="QA320" s="32"/>
      <c r="QB320" s="32"/>
      <c r="QC320" s="32"/>
      <c r="QD320" s="32"/>
      <c r="QE320" s="32"/>
      <c r="QF320" s="32"/>
      <c r="QG320" s="32"/>
      <c r="QH320" s="32"/>
      <c r="QI320" s="32"/>
      <c r="QJ320" s="32"/>
      <c r="QK320" s="32"/>
      <c r="QL320" s="32"/>
      <c r="QM320" s="32"/>
      <c r="QN320" s="32"/>
      <c r="QO320" s="32"/>
      <c r="QP320" s="32"/>
      <c r="QQ320" s="32"/>
      <c r="QR320" s="32"/>
      <c r="QS320" s="32"/>
      <c r="QT320" s="32"/>
      <c r="QU320" s="32"/>
      <c r="QV320" s="32"/>
      <c r="QW320" s="32"/>
      <c r="QX320" s="32"/>
      <c r="QY320" s="32"/>
      <c r="QZ320" s="32"/>
      <c r="RA320" s="32"/>
      <c r="RB320" s="32"/>
      <c r="RC320" s="32"/>
      <c r="RD320" s="32"/>
      <c r="RE320" s="32"/>
      <c r="RF320" s="32"/>
      <c r="RG320" s="32"/>
      <c r="RH320" s="32"/>
      <c r="RI320" s="32"/>
      <c r="RJ320" s="32"/>
      <c r="RK320" s="32"/>
      <c r="RL320" s="32"/>
      <c r="RM320" s="32"/>
      <c r="RN320" s="32"/>
      <c r="RO320" s="32"/>
      <c r="RP320" s="32"/>
      <c r="RQ320" s="32"/>
      <c r="RR320" s="32"/>
      <c r="RS320" s="32"/>
      <c r="RT320" s="32"/>
      <c r="RU320" s="32"/>
      <c r="RV320" s="32"/>
      <c r="RW320" s="32"/>
      <c r="RX320" s="32"/>
      <c r="RY320" s="32"/>
      <c r="RZ320" s="32"/>
      <c r="SA320" s="32"/>
      <c r="SB320" s="32"/>
      <c r="SC320" s="32"/>
      <c r="SD320" s="32"/>
      <c r="SE320" s="32"/>
      <c r="SF320" s="32"/>
      <c r="SG320" s="32"/>
      <c r="SH320" s="32"/>
      <c r="SI320" s="32"/>
      <c r="SJ320" s="32"/>
      <c r="SK320" s="32"/>
      <c r="SL320" s="32"/>
      <c r="SM320" s="32"/>
      <c r="SN320" s="32"/>
      <c r="SO320" s="32"/>
      <c r="SP320" s="32"/>
      <c r="SQ320" s="32"/>
      <c r="SR320" s="32"/>
      <c r="SS320" s="32"/>
      <c r="ST320" s="32"/>
      <c r="SU320" s="32"/>
      <c r="SV320" s="32"/>
      <c r="SW320" s="32"/>
      <c r="SX320" s="32"/>
      <c r="SY320" s="32"/>
      <c r="SZ320" s="32"/>
      <c r="TA320" s="32"/>
      <c r="TB320" s="32"/>
      <c r="TC320" s="32"/>
      <c r="TD320" s="32"/>
      <c r="TE320" s="32"/>
      <c r="TF320" s="32"/>
      <c r="TG320" s="32"/>
    </row>
    <row r="321" spans="1:527" s="27" customFormat="1" ht="25.5" customHeight="1" x14ac:dyDescent="0.25">
      <c r="A321" s="66"/>
      <c r="B321" s="67"/>
      <c r="C321" s="68"/>
      <c r="D321" s="69"/>
      <c r="E321" s="154">
        <f>E316-'дод 8'!D255</f>
        <v>0</v>
      </c>
      <c r="F321" s="154">
        <f>F316-'дод 8'!E255</f>
        <v>0</v>
      </c>
      <c r="G321" s="154">
        <f>G316-'дод 8'!F255</f>
        <v>0</v>
      </c>
      <c r="H321" s="154">
        <f>H316-'дод 8'!G255</f>
        <v>0</v>
      </c>
      <c r="I321" s="154">
        <f>I316-'дод 8'!H255</f>
        <v>0</v>
      </c>
      <c r="J321" s="154">
        <f>J316-'дод 8'!I255</f>
        <v>0</v>
      </c>
      <c r="K321" s="154">
        <f>K316-'дод 8'!J255</f>
        <v>0</v>
      </c>
      <c r="L321" s="154">
        <f>L316-'дод 8'!K255</f>
        <v>0</v>
      </c>
      <c r="M321" s="154">
        <f>M316-'дод 8'!L255</f>
        <v>0</v>
      </c>
      <c r="N321" s="154">
        <f>N316-'дод 8'!M255</f>
        <v>0</v>
      </c>
      <c r="O321" s="154">
        <f>O316-'дод 8'!N255</f>
        <v>0</v>
      </c>
      <c r="P321" s="154">
        <f>P316-'дод 8'!O255</f>
        <v>0</v>
      </c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/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2"/>
      <c r="FK321" s="32"/>
      <c r="FL321" s="32"/>
      <c r="FM321" s="32"/>
      <c r="FN321" s="32"/>
      <c r="FO321" s="32"/>
      <c r="FP321" s="32"/>
      <c r="FQ321" s="32"/>
      <c r="FR321" s="32"/>
      <c r="FS321" s="32"/>
      <c r="FT321" s="32"/>
      <c r="FU321" s="32"/>
      <c r="FV321" s="32"/>
      <c r="FW321" s="32"/>
      <c r="FX321" s="32"/>
      <c r="FY321" s="32"/>
      <c r="FZ321" s="32"/>
      <c r="GA321" s="32"/>
      <c r="GB321" s="32"/>
      <c r="GC321" s="32"/>
      <c r="GD321" s="32"/>
      <c r="GE321" s="32"/>
      <c r="GF321" s="32"/>
      <c r="GG321" s="32"/>
      <c r="GH321" s="32"/>
      <c r="GI321" s="32"/>
      <c r="GJ321" s="32"/>
      <c r="GK321" s="32"/>
      <c r="GL321" s="32"/>
      <c r="GM321" s="32"/>
      <c r="GN321" s="32"/>
      <c r="GO321" s="32"/>
      <c r="GP321" s="32"/>
      <c r="GQ321" s="32"/>
      <c r="GR321" s="32"/>
      <c r="GS321" s="32"/>
      <c r="GT321" s="32"/>
      <c r="GU321" s="32"/>
      <c r="GV321" s="32"/>
      <c r="GW321" s="32"/>
      <c r="GX321" s="32"/>
      <c r="GY321" s="32"/>
      <c r="GZ321" s="32"/>
      <c r="HA321" s="32"/>
      <c r="HB321" s="32"/>
      <c r="HC321" s="32"/>
      <c r="HD321" s="32"/>
      <c r="HE321" s="32"/>
      <c r="HF321" s="32"/>
      <c r="HG321" s="32"/>
      <c r="HH321" s="32"/>
      <c r="HI321" s="32"/>
      <c r="HJ321" s="32"/>
      <c r="HK321" s="32"/>
      <c r="HL321" s="32"/>
      <c r="HM321" s="32"/>
      <c r="HN321" s="32"/>
      <c r="HO321" s="32"/>
      <c r="HP321" s="32"/>
      <c r="HQ321" s="32"/>
      <c r="HR321" s="32"/>
      <c r="HS321" s="32"/>
      <c r="HT321" s="32"/>
      <c r="HU321" s="32"/>
      <c r="HV321" s="32"/>
      <c r="HW321" s="32"/>
      <c r="HX321" s="32"/>
      <c r="HY321" s="32"/>
      <c r="HZ321" s="32"/>
      <c r="IA321" s="32"/>
      <c r="IB321" s="32"/>
      <c r="IC321" s="32"/>
      <c r="ID321" s="32"/>
      <c r="IE321" s="32"/>
      <c r="IF321" s="32"/>
      <c r="IG321" s="32"/>
      <c r="IH321" s="32"/>
      <c r="II321" s="32"/>
      <c r="IJ321" s="32"/>
      <c r="IK321" s="32"/>
      <c r="IL321" s="32"/>
      <c r="IM321" s="32"/>
      <c r="IN321" s="32"/>
      <c r="IO321" s="32"/>
      <c r="IP321" s="32"/>
      <c r="IQ321" s="32"/>
      <c r="IR321" s="32"/>
      <c r="IS321" s="32"/>
      <c r="IT321" s="32"/>
      <c r="IU321" s="32"/>
      <c r="IV321" s="32"/>
      <c r="IW321" s="32"/>
      <c r="IX321" s="32"/>
      <c r="IY321" s="32"/>
      <c r="IZ321" s="32"/>
      <c r="JA321" s="32"/>
      <c r="JB321" s="32"/>
      <c r="JC321" s="32"/>
      <c r="JD321" s="32"/>
      <c r="JE321" s="32"/>
      <c r="JF321" s="32"/>
      <c r="JG321" s="32"/>
      <c r="JH321" s="32"/>
      <c r="JI321" s="32"/>
      <c r="JJ321" s="32"/>
      <c r="JK321" s="32"/>
      <c r="JL321" s="32"/>
      <c r="JM321" s="32"/>
      <c r="JN321" s="32"/>
      <c r="JO321" s="32"/>
      <c r="JP321" s="32"/>
      <c r="JQ321" s="32"/>
      <c r="JR321" s="32"/>
      <c r="JS321" s="32"/>
      <c r="JT321" s="32"/>
      <c r="JU321" s="32"/>
      <c r="JV321" s="32"/>
      <c r="JW321" s="32"/>
      <c r="JX321" s="32"/>
      <c r="JY321" s="32"/>
      <c r="JZ321" s="32"/>
      <c r="KA321" s="32"/>
      <c r="KB321" s="32"/>
      <c r="KC321" s="32"/>
      <c r="KD321" s="32"/>
      <c r="KE321" s="32"/>
      <c r="KF321" s="32"/>
      <c r="KG321" s="32"/>
      <c r="KH321" s="32"/>
      <c r="KI321" s="32"/>
      <c r="KJ321" s="32"/>
      <c r="KK321" s="32"/>
      <c r="KL321" s="32"/>
      <c r="KM321" s="32"/>
      <c r="KN321" s="32"/>
      <c r="KO321" s="32"/>
      <c r="KP321" s="32"/>
      <c r="KQ321" s="32"/>
      <c r="KR321" s="32"/>
      <c r="KS321" s="32"/>
      <c r="KT321" s="32"/>
      <c r="KU321" s="32"/>
      <c r="KV321" s="32"/>
      <c r="KW321" s="32"/>
      <c r="KX321" s="32"/>
      <c r="KY321" s="32"/>
      <c r="KZ321" s="32"/>
      <c r="LA321" s="32"/>
      <c r="LB321" s="32"/>
      <c r="LC321" s="32"/>
      <c r="LD321" s="32"/>
      <c r="LE321" s="32"/>
      <c r="LF321" s="32"/>
      <c r="LG321" s="32"/>
      <c r="LH321" s="32"/>
      <c r="LI321" s="32"/>
      <c r="LJ321" s="32"/>
      <c r="LK321" s="32"/>
      <c r="LL321" s="32"/>
      <c r="LM321" s="32"/>
      <c r="LN321" s="32"/>
      <c r="LO321" s="32"/>
      <c r="LP321" s="32"/>
      <c r="LQ321" s="32"/>
      <c r="LR321" s="32"/>
      <c r="LS321" s="32"/>
      <c r="LT321" s="32"/>
      <c r="LU321" s="32"/>
      <c r="LV321" s="32"/>
      <c r="LW321" s="32"/>
      <c r="LX321" s="32"/>
      <c r="LY321" s="32"/>
      <c r="LZ321" s="32"/>
      <c r="MA321" s="32"/>
      <c r="MB321" s="32"/>
      <c r="MC321" s="32"/>
      <c r="MD321" s="32"/>
      <c r="ME321" s="32"/>
      <c r="MF321" s="32"/>
      <c r="MG321" s="32"/>
      <c r="MH321" s="32"/>
      <c r="MI321" s="32"/>
      <c r="MJ321" s="32"/>
      <c r="MK321" s="32"/>
      <c r="ML321" s="32"/>
      <c r="MM321" s="32"/>
      <c r="MN321" s="32"/>
      <c r="MO321" s="32"/>
      <c r="MP321" s="32"/>
      <c r="MQ321" s="32"/>
      <c r="MR321" s="32"/>
      <c r="MS321" s="32"/>
      <c r="MT321" s="32"/>
      <c r="MU321" s="32"/>
      <c r="MV321" s="32"/>
      <c r="MW321" s="32"/>
      <c r="MX321" s="32"/>
      <c r="MY321" s="32"/>
      <c r="MZ321" s="32"/>
      <c r="NA321" s="32"/>
      <c r="NB321" s="32"/>
      <c r="NC321" s="32"/>
      <c r="ND321" s="32"/>
      <c r="NE321" s="32"/>
      <c r="NF321" s="32"/>
      <c r="NG321" s="32"/>
      <c r="NH321" s="32"/>
      <c r="NI321" s="32"/>
      <c r="NJ321" s="32"/>
      <c r="NK321" s="32"/>
      <c r="NL321" s="32"/>
      <c r="NM321" s="32"/>
      <c r="NN321" s="32"/>
      <c r="NO321" s="32"/>
      <c r="NP321" s="32"/>
      <c r="NQ321" s="32"/>
      <c r="NR321" s="32"/>
      <c r="NS321" s="32"/>
      <c r="NT321" s="32"/>
      <c r="NU321" s="32"/>
      <c r="NV321" s="32"/>
      <c r="NW321" s="32"/>
      <c r="NX321" s="32"/>
      <c r="NY321" s="32"/>
      <c r="NZ321" s="32"/>
      <c r="OA321" s="32"/>
      <c r="OB321" s="32"/>
      <c r="OC321" s="32"/>
      <c r="OD321" s="32"/>
      <c r="OE321" s="32"/>
      <c r="OF321" s="32"/>
      <c r="OG321" s="32"/>
      <c r="OH321" s="32"/>
      <c r="OI321" s="32"/>
      <c r="OJ321" s="32"/>
      <c r="OK321" s="32"/>
      <c r="OL321" s="32"/>
      <c r="OM321" s="32"/>
      <c r="ON321" s="32"/>
      <c r="OO321" s="32"/>
      <c r="OP321" s="32"/>
      <c r="OQ321" s="32"/>
      <c r="OR321" s="32"/>
      <c r="OS321" s="32"/>
      <c r="OT321" s="32"/>
      <c r="OU321" s="32"/>
      <c r="OV321" s="32"/>
      <c r="OW321" s="32"/>
      <c r="OX321" s="32"/>
      <c r="OY321" s="32"/>
      <c r="OZ321" s="32"/>
      <c r="PA321" s="32"/>
      <c r="PB321" s="32"/>
      <c r="PC321" s="32"/>
      <c r="PD321" s="32"/>
      <c r="PE321" s="32"/>
      <c r="PF321" s="32"/>
      <c r="PG321" s="32"/>
      <c r="PH321" s="32"/>
      <c r="PI321" s="32"/>
      <c r="PJ321" s="32"/>
      <c r="PK321" s="32"/>
      <c r="PL321" s="32"/>
      <c r="PM321" s="32"/>
      <c r="PN321" s="32"/>
      <c r="PO321" s="32"/>
      <c r="PP321" s="32"/>
      <c r="PQ321" s="32"/>
      <c r="PR321" s="32"/>
      <c r="PS321" s="32"/>
      <c r="PT321" s="32"/>
      <c r="PU321" s="32"/>
      <c r="PV321" s="32"/>
      <c r="PW321" s="32"/>
      <c r="PX321" s="32"/>
      <c r="PY321" s="32"/>
      <c r="PZ321" s="32"/>
      <c r="QA321" s="32"/>
      <c r="QB321" s="32"/>
      <c r="QC321" s="32"/>
      <c r="QD321" s="32"/>
      <c r="QE321" s="32"/>
      <c r="QF321" s="32"/>
      <c r="QG321" s="32"/>
      <c r="QH321" s="32"/>
      <c r="QI321" s="32"/>
      <c r="QJ321" s="32"/>
      <c r="QK321" s="32"/>
      <c r="QL321" s="32"/>
      <c r="QM321" s="32"/>
      <c r="QN321" s="32"/>
      <c r="QO321" s="32"/>
      <c r="QP321" s="32"/>
      <c r="QQ321" s="32"/>
      <c r="QR321" s="32"/>
      <c r="QS321" s="32"/>
      <c r="QT321" s="32"/>
      <c r="QU321" s="32"/>
      <c r="QV321" s="32"/>
      <c r="QW321" s="32"/>
      <c r="QX321" s="32"/>
      <c r="QY321" s="32"/>
      <c r="QZ321" s="32"/>
      <c r="RA321" s="32"/>
      <c r="RB321" s="32"/>
      <c r="RC321" s="32"/>
      <c r="RD321" s="32"/>
      <c r="RE321" s="32"/>
      <c r="RF321" s="32"/>
      <c r="RG321" s="32"/>
      <c r="RH321" s="32"/>
      <c r="RI321" s="32"/>
      <c r="RJ321" s="32"/>
      <c r="RK321" s="32"/>
      <c r="RL321" s="32"/>
      <c r="RM321" s="32"/>
      <c r="RN321" s="32"/>
      <c r="RO321" s="32"/>
      <c r="RP321" s="32"/>
      <c r="RQ321" s="32"/>
      <c r="RR321" s="32"/>
      <c r="RS321" s="32"/>
      <c r="RT321" s="32"/>
      <c r="RU321" s="32"/>
      <c r="RV321" s="32"/>
      <c r="RW321" s="32"/>
      <c r="RX321" s="32"/>
      <c r="RY321" s="32"/>
      <c r="RZ321" s="32"/>
      <c r="SA321" s="32"/>
      <c r="SB321" s="32"/>
      <c r="SC321" s="32"/>
      <c r="SD321" s="32"/>
      <c r="SE321" s="32"/>
      <c r="SF321" s="32"/>
      <c r="SG321" s="32"/>
      <c r="SH321" s="32"/>
      <c r="SI321" s="32"/>
      <c r="SJ321" s="32"/>
      <c r="SK321" s="32"/>
      <c r="SL321" s="32"/>
      <c r="SM321" s="32"/>
      <c r="SN321" s="32"/>
      <c r="SO321" s="32"/>
      <c r="SP321" s="32"/>
      <c r="SQ321" s="32"/>
      <c r="SR321" s="32"/>
      <c r="SS321" s="32"/>
      <c r="ST321" s="32"/>
      <c r="SU321" s="32"/>
      <c r="SV321" s="32"/>
      <c r="SW321" s="32"/>
      <c r="SX321" s="32"/>
      <c r="SY321" s="32"/>
      <c r="SZ321" s="32"/>
      <c r="TA321" s="32"/>
      <c r="TB321" s="32"/>
      <c r="TC321" s="32"/>
      <c r="TD321" s="32"/>
      <c r="TE321" s="32"/>
      <c r="TF321" s="32"/>
      <c r="TG321" s="32"/>
    </row>
    <row r="322" spans="1:527" s="27" customFormat="1" ht="24.75" customHeight="1" x14ac:dyDescent="0.25">
      <c r="A322" s="66"/>
      <c r="B322" s="67"/>
      <c r="C322" s="68"/>
      <c r="D322" s="69"/>
      <c r="E322" s="154">
        <f>E317-'дод 8'!D256</f>
        <v>0</v>
      </c>
      <c r="F322" s="154">
        <f>F317-'дод 8'!E256</f>
        <v>0</v>
      </c>
      <c r="G322" s="154">
        <f>G317-'дод 8'!F256</f>
        <v>0</v>
      </c>
      <c r="H322" s="154">
        <f>H317-'дод 8'!G256</f>
        <v>0</v>
      </c>
      <c r="I322" s="154">
        <f>I317-'дод 8'!H256</f>
        <v>0</v>
      </c>
      <c r="J322" s="154">
        <f>J317-'дод 8'!I256</f>
        <v>0</v>
      </c>
      <c r="K322" s="154">
        <f>K317-'дод 8'!J256</f>
        <v>0</v>
      </c>
      <c r="L322" s="154">
        <f>L317-'дод 8'!K256</f>
        <v>0</v>
      </c>
      <c r="M322" s="154">
        <f>M317-'дод 8'!L256</f>
        <v>0</v>
      </c>
      <c r="N322" s="154">
        <f>N317-'дод 8'!M256</f>
        <v>0</v>
      </c>
      <c r="O322" s="154">
        <f>O317-'дод 8'!N256</f>
        <v>0</v>
      </c>
      <c r="P322" s="154">
        <f>P317-'дод 8'!O256</f>
        <v>0</v>
      </c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  <c r="EH322" s="32"/>
      <c r="EI322" s="32"/>
      <c r="EJ322" s="32"/>
      <c r="EK322" s="32"/>
      <c r="EL322" s="32"/>
      <c r="EM322" s="32"/>
      <c r="EN322" s="32"/>
      <c r="EO322" s="32"/>
      <c r="EP322" s="32"/>
      <c r="EQ322" s="32"/>
      <c r="ER322" s="32"/>
      <c r="ES322" s="32"/>
      <c r="ET322" s="32"/>
      <c r="EU322" s="32"/>
      <c r="EV322" s="32"/>
      <c r="EW322" s="32"/>
      <c r="EX322" s="32"/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2"/>
      <c r="FK322" s="32"/>
      <c r="FL322" s="32"/>
      <c r="FM322" s="32"/>
      <c r="FN322" s="32"/>
      <c r="FO322" s="32"/>
      <c r="FP322" s="32"/>
      <c r="FQ322" s="32"/>
      <c r="FR322" s="32"/>
      <c r="FS322" s="32"/>
      <c r="FT322" s="32"/>
      <c r="FU322" s="32"/>
      <c r="FV322" s="32"/>
      <c r="FW322" s="32"/>
      <c r="FX322" s="32"/>
      <c r="FY322" s="32"/>
      <c r="FZ322" s="32"/>
      <c r="GA322" s="32"/>
      <c r="GB322" s="32"/>
      <c r="GC322" s="32"/>
      <c r="GD322" s="32"/>
      <c r="GE322" s="32"/>
      <c r="GF322" s="32"/>
      <c r="GG322" s="32"/>
      <c r="GH322" s="32"/>
      <c r="GI322" s="32"/>
      <c r="GJ322" s="32"/>
      <c r="GK322" s="32"/>
      <c r="GL322" s="32"/>
      <c r="GM322" s="32"/>
      <c r="GN322" s="32"/>
      <c r="GO322" s="32"/>
      <c r="GP322" s="32"/>
      <c r="GQ322" s="32"/>
      <c r="GR322" s="32"/>
      <c r="GS322" s="32"/>
      <c r="GT322" s="32"/>
      <c r="GU322" s="32"/>
      <c r="GV322" s="32"/>
      <c r="GW322" s="32"/>
      <c r="GX322" s="32"/>
      <c r="GY322" s="32"/>
      <c r="GZ322" s="32"/>
      <c r="HA322" s="32"/>
      <c r="HB322" s="32"/>
      <c r="HC322" s="32"/>
      <c r="HD322" s="32"/>
      <c r="HE322" s="32"/>
      <c r="HF322" s="32"/>
      <c r="HG322" s="32"/>
      <c r="HH322" s="32"/>
      <c r="HI322" s="32"/>
      <c r="HJ322" s="32"/>
      <c r="HK322" s="32"/>
      <c r="HL322" s="32"/>
      <c r="HM322" s="32"/>
      <c r="HN322" s="32"/>
      <c r="HO322" s="32"/>
      <c r="HP322" s="32"/>
      <c r="HQ322" s="32"/>
      <c r="HR322" s="32"/>
      <c r="HS322" s="32"/>
      <c r="HT322" s="32"/>
      <c r="HU322" s="32"/>
      <c r="HV322" s="32"/>
      <c r="HW322" s="32"/>
      <c r="HX322" s="32"/>
      <c r="HY322" s="32"/>
      <c r="HZ322" s="32"/>
      <c r="IA322" s="32"/>
      <c r="IB322" s="32"/>
      <c r="IC322" s="32"/>
      <c r="ID322" s="32"/>
      <c r="IE322" s="32"/>
      <c r="IF322" s="32"/>
      <c r="IG322" s="32"/>
      <c r="IH322" s="32"/>
      <c r="II322" s="32"/>
      <c r="IJ322" s="32"/>
      <c r="IK322" s="32"/>
      <c r="IL322" s="32"/>
      <c r="IM322" s="32"/>
      <c r="IN322" s="32"/>
      <c r="IO322" s="32"/>
      <c r="IP322" s="32"/>
      <c r="IQ322" s="32"/>
      <c r="IR322" s="32"/>
      <c r="IS322" s="32"/>
      <c r="IT322" s="32"/>
      <c r="IU322" s="32"/>
      <c r="IV322" s="32"/>
      <c r="IW322" s="32"/>
      <c r="IX322" s="32"/>
      <c r="IY322" s="32"/>
      <c r="IZ322" s="32"/>
      <c r="JA322" s="32"/>
      <c r="JB322" s="32"/>
      <c r="JC322" s="32"/>
      <c r="JD322" s="32"/>
      <c r="JE322" s="32"/>
      <c r="JF322" s="32"/>
      <c r="JG322" s="32"/>
      <c r="JH322" s="32"/>
      <c r="JI322" s="32"/>
      <c r="JJ322" s="32"/>
      <c r="JK322" s="32"/>
      <c r="JL322" s="32"/>
      <c r="JM322" s="32"/>
      <c r="JN322" s="32"/>
      <c r="JO322" s="32"/>
      <c r="JP322" s="32"/>
      <c r="JQ322" s="32"/>
      <c r="JR322" s="32"/>
      <c r="JS322" s="32"/>
      <c r="JT322" s="32"/>
      <c r="JU322" s="32"/>
      <c r="JV322" s="32"/>
      <c r="JW322" s="32"/>
      <c r="JX322" s="32"/>
      <c r="JY322" s="32"/>
      <c r="JZ322" s="32"/>
      <c r="KA322" s="32"/>
      <c r="KB322" s="32"/>
      <c r="KC322" s="32"/>
      <c r="KD322" s="32"/>
      <c r="KE322" s="32"/>
      <c r="KF322" s="32"/>
      <c r="KG322" s="32"/>
      <c r="KH322" s="32"/>
      <c r="KI322" s="32"/>
      <c r="KJ322" s="32"/>
      <c r="KK322" s="32"/>
      <c r="KL322" s="32"/>
      <c r="KM322" s="32"/>
      <c r="KN322" s="32"/>
      <c r="KO322" s="32"/>
      <c r="KP322" s="32"/>
      <c r="KQ322" s="32"/>
      <c r="KR322" s="32"/>
      <c r="KS322" s="32"/>
      <c r="KT322" s="32"/>
      <c r="KU322" s="32"/>
      <c r="KV322" s="32"/>
      <c r="KW322" s="32"/>
      <c r="KX322" s="32"/>
      <c r="KY322" s="32"/>
      <c r="KZ322" s="32"/>
      <c r="LA322" s="32"/>
      <c r="LB322" s="32"/>
      <c r="LC322" s="32"/>
      <c r="LD322" s="32"/>
      <c r="LE322" s="32"/>
      <c r="LF322" s="32"/>
      <c r="LG322" s="32"/>
      <c r="LH322" s="32"/>
      <c r="LI322" s="32"/>
      <c r="LJ322" s="32"/>
      <c r="LK322" s="32"/>
      <c r="LL322" s="32"/>
      <c r="LM322" s="32"/>
      <c r="LN322" s="32"/>
      <c r="LO322" s="32"/>
      <c r="LP322" s="32"/>
      <c r="LQ322" s="32"/>
      <c r="LR322" s="32"/>
      <c r="LS322" s="32"/>
      <c r="LT322" s="32"/>
      <c r="LU322" s="32"/>
      <c r="LV322" s="32"/>
      <c r="LW322" s="32"/>
      <c r="LX322" s="32"/>
      <c r="LY322" s="32"/>
      <c r="LZ322" s="32"/>
      <c r="MA322" s="32"/>
      <c r="MB322" s="32"/>
      <c r="MC322" s="32"/>
      <c r="MD322" s="32"/>
      <c r="ME322" s="32"/>
      <c r="MF322" s="32"/>
      <c r="MG322" s="32"/>
      <c r="MH322" s="32"/>
      <c r="MI322" s="32"/>
      <c r="MJ322" s="32"/>
      <c r="MK322" s="32"/>
      <c r="ML322" s="32"/>
      <c r="MM322" s="32"/>
      <c r="MN322" s="32"/>
      <c r="MO322" s="32"/>
      <c r="MP322" s="32"/>
      <c r="MQ322" s="32"/>
      <c r="MR322" s="32"/>
      <c r="MS322" s="32"/>
      <c r="MT322" s="32"/>
      <c r="MU322" s="32"/>
      <c r="MV322" s="32"/>
      <c r="MW322" s="32"/>
      <c r="MX322" s="32"/>
      <c r="MY322" s="32"/>
      <c r="MZ322" s="32"/>
      <c r="NA322" s="32"/>
      <c r="NB322" s="32"/>
      <c r="NC322" s="32"/>
      <c r="ND322" s="32"/>
      <c r="NE322" s="32"/>
      <c r="NF322" s="32"/>
      <c r="NG322" s="32"/>
      <c r="NH322" s="32"/>
      <c r="NI322" s="32"/>
      <c r="NJ322" s="32"/>
      <c r="NK322" s="32"/>
      <c r="NL322" s="32"/>
      <c r="NM322" s="32"/>
      <c r="NN322" s="32"/>
      <c r="NO322" s="32"/>
      <c r="NP322" s="32"/>
      <c r="NQ322" s="32"/>
      <c r="NR322" s="32"/>
      <c r="NS322" s="32"/>
      <c r="NT322" s="32"/>
      <c r="NU322" s="32"/>
      <c r="NV322" s="32"/>
      <c r="NW322" s="32"/>
      <c r="NX322" s="32"/>
      <c r="NY322" s="32"/>
      <c r="NZ322" s="32"/>
      <c r="OA322" s="32"/>
      <c r="OB322" s="32"/>
      <c r="OC322" s="32"/>
      <c r="OD322" s="32"/>
      <c r="OE322" s="32"/>
      <c r="OF322" s="32"/>
      <c r="OG322" s="32"/>
      <c r="OH322" s="32"/>
      <c r="OI322" s="32"/>
      <c r="OJ322" s="32"/>
      <c r="OK322" s="32"/>
      <c r="OL322" s="32"/>
      <c r="OM322" s="32"/>
      <c r="ON322" s="32"/>
      <c r="OO322" s="32"/>
      <c r="OP322" s="32"/>
      <c r="OQ322" s="32"/>
      <c r="OR322" s="32"/>
      <c r="OS322" s="32"/>
      <c r="OT322" s="32"/>
      <c r="OU322" s="32"/>
      <c r="OV322" s="32"/>
      <c r="OW322" s="32"/>
      <c r="OX322" s="32"/>
      <c r="OY322" s="32"/>
      <c r="OZ322" s="32"/>
      <c r="PA322" s="32"/>
      <c r="PB322" s="32"/>
      <c r="PC322" s="32"/>
      <c r="PD322" s="32"/>
      <c r="PE322" s="32"/>
      <c r="PF322" s="32"/>
      <c r="PG322" s="32"/>
      <c r="PH322" s="32"/>
      <c r="PI322" s="32"/>
      <c r="PJ322" s="32"/>
      <c r="PK322" s="32"/>
      <c r="PL322" s="32"/>
      <c r="PM322" s="32"/>
      <c r="PN322" s="32"/>
      <c r="PO322" s="32"/>
      <c r="PP322" s="32"/>
      <c r="PQ322" s="32"/>
      <c r="PR322" s="32"/>
      <c r="PS322" s="32"/>
      <c r="PT322" s="32"/>
      <c r="PU322" s="32"/>
      <c r="PV322" s="32"/>
      <c r="PW322" s="32"/>
      <c r="PX322" s="32"/>
      <c r="PY322" s="32"/>
      <c r="PZ322" s="32"/>
      <c r="QA322" s="32"/>
      <c r="QB322" s="32"/>
      <c r="QC322" s="32"/>
      <c r="QD322" s="32"/>
      <c r="QE322" s="32"/>
      <c r="QF322" s="32"/>
      <c r="QG322" s="32"/>
      <c r="QH322" s="32"/>
      <c r="QI322" s="32"/>
      <c r="QJ322" s="32"/>
      <c r="QK322" s="32"/>
      <c r="QL322" s="32"/>
      <c r="QM322" s="32"/>
      <c r="QN322" s="32"/>
      <c r="QO322" s="32"/>
      <c r="QP322" s="32"/>
      <c r="QQ322" s="32"/>
      <c r="QR322" s="32"/>
      <c r="QS322" s="32"/>
      <c r="QT322" s="32"/>
      <c r="QU322" s="32"/>
      <c r="QV322" s="32"/>
      <c r="QW322" s="32"/>
      <c r="QX322" s="32"/>
      <c r="QY322" s="32"/>
      <c r="QZ322" s="32"/>
      <c r="RA322" s="32"/>
      <c r="RB322" s="32"/>
      <c r="RC322" s="32"/>
      <c r="RD322" s="32"/>
      <c r="RE322" s="32"/>
      <c r="RF322" s="32"/>
      <c r="RG322" s="32"/>
      <c r="RH322" s="32"/>
      <c r="RI322" s="32"/>
      <c r="RJ322" s="32"/>
      <c r="RK322" s="32"/>
      <c r="RL322" s="32"/>
      <c r="RM322" s="32"/>
      <c r="RN322" s="32"/>
      <c r="RO322" s="32"/>
      <c r="RP322" s="32"/>
      <c r="RQ322" s="32"/>
      <c r="RR322" s="32"/>
      <c r="RS322" s="32"/>
      <c r="RT322" s="32"/>
      <c r="RU322" s="32"/>
      <c r="RV322" s="32"/>
      <c r="RW322" s="32"/>
      <c r="RX322" s="32"/>
      <c r="RY322" s="32"/>
      <c r="RZ322" s="32"/>
      <c r="SA322" s="32"/>
      <c r="SB322" s="32"/>
      <c r="SC322" s="32"/>
      <c r="SD322" s="32"/>
      <c r="SE322" s="32"/>
      <c r="SF322" s="32"/>
      <c r="SG322" s="32"/>
      <c r="SH322" s="32"/>
      <c r="SI322" s="32"/>
      <c r="SJ322" s="32"/>
      <c r="SK322" s="32"/>
      <c r="SL322" s="32"/>
      <c r="SM322" s="32"/>
      <c r="SN322" s="32"/>
      <c r="SO322" s="32"/>
      <c r="SP322" s="32"/>
      <c r="SQ322" s="32"/>
      <c r="SR322" s="32"/>
      <c r="SS322" s="32"/>
      <c r="ST322" s="32"/>
      <c r="SU322" s="32"/>
      <c r="SV322" s="32"/>
      <c r="SW322" s="32"/>
      <c r="SX322" s="32"/>
      <c r="SY322" s="32"/>
      <c r="SZ322" s="32"/>
      <c r="TA322" s="32"/>
      <c r="TB322" s="32"/>
      <c r="TC322" s="32"/>
      <c r="TD322" s="32"/>
      <c r="TE322" s="32"/>
      <c r="TF322" s="32"/>
      <c r="TG322" s="32"/>
    </row>
    <row r="323" spans="1:527" s="27" customFormat="1" ht="22.5" customHeight="1" x14ac:dyDescent="0.25">
      <c r="A323" s="66"/>
      <c r="B323" s="67"/>
      <c r="C323" s="68"/>
      <c r="D323" s="69"/>
      <c r="E323" s="154">
        <f>E318-'дод 8'!D257</f>
        <v>0</v>
      </c>
      <c r="F323" s="154">
        <f>F318-'дод 8'!E257</f>
        <v>0</v>
      </c>
      <c r="G323" s="154">
        <f>G318-'дод 8'!F257</f>
        <v>0</v>
      </c>
      <c r="H323" s="154">
        <f>H318-'дод 8'!G257</f>
        <v>0</v>
      </c>
      <c r="I323" s="154">
        <f>I318-'дод 8'!H257</f>
        <v>0</v>
      </c>
      <c r="J323" s="154">
        <f>J318-'дод 8'!I257</f>
        <v>0</v>
      </c>
      <c r="K323" s="154">
        <f>K318-'дод 8'!J257</f>
        <v>0</v>
      </c>
      <c r="L323" s="154">
        <f>L318-'дод 8'!K257</f>
        <v>0</v>
      </c>
      <c r="M323" s="154">
        <f>M318-'дод 8'!L257</f>
        <v>0</v>
      </c>
      <c r="N323" s="154">
        <f>N318-'дод 8'!M257</f>
        <v>0</v>
      </c>
      <c r="O323" s="154">
        <f>O318-'дод 8'!N257</f>
        <v>0</v>
      </c>
      <c r="P323" s="154">
        <f>P318-'дод 8'!O257</f>
        <v>0</v>
      </c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  <c r="EH323" s="32"/>
      <c r="EI323" s="32"/>
      <c r="EJ323" s="32"/>
      <c r="EK323" s="32"/>
      <c r="EL323" s="32"/>
      <c r="EM323" s="32"/>
      <c r="EN323" s="32"/>
      <c r="EO323" s="32"/>
      <c r="EP323" s="32"/>
      <c r="EQ323" s="32"/>
      <c r="ER323" s="32"/>
      <c r="ES323" s="32"/>
      <c r="ET323" s="32"/>
      <c r="EU323" s="32"/>
      <c r="EV323" s="32"/>
      <c r="EW323" s="32"/>
      <c r="EX323" s="32"/>
      <c r="EY323" s="32"/>
      <c r="EZ323" s="32"/>
      <c r="FA323" s="32"/>
      <c r="FB323" s="32"/>
      <c r="FC323" s="32"/>
      <c r="FD323" s="32"/>
      <c r="FE323" s="32"/>
      <c r="FF323" s="32"/>
      <c r="FG323" s="32"/>
      <c r="FH323" s="32"/>
      <c r="FI323" s="32"/>
      <c r="FJ323" s="32"/>
      <c r="FK323" s="32"/>
      <c r="FL323" s="32"/>
      <c r="FM323" s="32"/>
      <c r="FN323" s="32"/>
      <c r="FO323" s="32"/>
      <c r="FP323" s="32"/>
      <c r="FQ323" s="32"/>
      <c r="FR323" s="32"/>
      <c r="FS323" s="32"/>
      <c r="FT323" s="32"/>
      <c r="FU323" s="32"/>
      <c r="FV323" s="32"/>
      <c r="FW323" s="32"/>
      <c r="FX323" s="32"/>
      <c r="FY323" s="32"/>
      <c r="FZ323" s="32"/>
      <c r="GA323" s="32"/>
      <c r="GB323" s="32"/>
      <c r="GC323" s="32"/>
      <c r="GD323" s="32"/>
      <c r="GE323" s="32"/>
      <c r="GF323" s="32"/>
      <c r="GG323" s="32"/>
      <c r="GH323" s="32"/>
      <c r="GI323" s="32"/>
      <c r="GJ323" s="32"/>
      <c r="GK323" s="32"/>
      <c r="GL323" s="32"/>
      <c r="GM323" s="32"/>
      <c r="GN323" s="32"/>
      <c r="GO323" s="32"/>
      <c r="GP323" s="32"/>
      <c r="GQ323" s="32"/>
      <c r="GR323" s="32"/>
      <c r="GS323" s="32"/>
      <c r="GT323" s="32"/>
      <c r="GU323" s="32"/>
      <c r="GV323" s="32"/>
      <c r="GW323" s="32"/>
      <c r="GX323" s="32"/>
      <c r="GY323" s="32"/>
      <c r="GZ323" s="32"/>
      <c r="HA323" s="32"/>
      <c r="HB323" s="32"/>
      <c r="HC323" s="32"/>
      <c r="HD323" s="32"/>
      <c r="HE323" s="32"/>
      <c r="HF323" s="32"/>
      <c r="HG323" s="32"/>
      <c r="HH323" s="32"/>
      <c r="HI323" s="32"/>
      <c r="HJ323" s="32"/>
      <c r="HK323" s="32"/>
      <c r="HL323" s="32"/>
      <c r="HM323" s="32"/>
      <c r="HN323" s="32"/>
      <c r="HO323" s="32"/>
      <c r="HP323" s="32"/>
      <c r="HQ323" s="32"/>
      <c r="HR323" s="32"/>
      <c r="HS323" s="32"/>
      <c r="HT323" s="32"/>
      <c r="HU323" s="32"/>
      <c r="HV323" s="32"/>
      <c r="HW323" s="32"/>
      <c r="HX323" s="32"/>
      <c r="HY323" s="32"/>
      <c r="HZ323" s="32"/>
      <c r="IA323" s="32"/>
      <c r="IB323" s="32"/>
      <c r="IC323" s="32"/>
      <c r="ID323" s="32"/>
      <c r="IE323" s="32"/>
      <c r="IF323" s="32"/>
      <c r="IG323" s="32"/>
      <c r="IH323" s="32"/>
      <c r="II323" s="32"/>
      <c r="IJ323" s="32"/>
      <c r="IK323" s="32"/>
      <c r="IL323" s="32"/>
      <c r="IM323" s="32"/>
      <c r="IN323" s="32"/>
      <c r="IO323" s="32"/>
      <c r="IP323" s="32"/>
      <c r="IQ323" s="32"/>
      <c r="IR323" s="32"/>
      <c r="IS323" s="32"/>
      <c r="IT323" s="32"/>
      <c r="IU323" s="32"/>
      <c r="IV323" s="32"/>
      <c r="IW323" s="32"/>
      <c r="IX323" s="32"/>
      <c r="IY323" s="32"/>
      <c r="IZ323" s="32"/>
      <c r="JA323" s="32"/>
      <c r="JB323" s="32"/>
      <c r="JC323" s="32"/>
      <c r="JD323" s="32"/>
      <c r="JE323" s="32"/>
      <c r="JF323" s="32"/>
      <c r="JG323" s="32"/>
      <c r="JH323" s="32"/>
      <c r="JI323" s="32"/>
      <c r="JJ323" s="32"/>
      <c r="JK323" s="32"/>
      <c r="JL323" s="32"/>
      <c r="JM323" s="32"/>
      <c r="JN323" s="32"/>
      <c r="JO323" s="32"/>
      <c r="JP323" s="32"/>
      <c r="JQ323" s="32"/>
      <c r="JR323" s="32"/>
      <c r="JS323" s="32"/>
      <c r="JT323" s="32"/>
      <c r="JU323" s="32"/>
      <c r="JV323" s="32"/>
      <c r="JW323" s="32"/>
      <c r="JX323" s="32"/>
      <c r="JY323" s="32"/>
      <c r="JZ323" s="32"/>
      <c r="KA323" s="32"/>
      <c r="KB323" s="32"/>
      <c r="KC323" s="32"/>
      <c r="KD323" s="32"/>
      <c r="KE323" s="32"/>
      <c r="KF323" s="32"/>
      <c r="KG323" s="32"/>
      <c r="KH323" s="32"/>
      <c r="KI323" s="32"/>
      <c r="KJ323" s="32"/>
      <c r="KK323" s="32"/>
      <c r="KL323" s="32"/>
      <c r="KM323" s="32"/>
      <c r="KN323" s="32"/>
      <c r="KO323" s="32"/>
      <c r="KP323" s="32"/>
      <c r="KQ323" s="32"/>
      <c r="KR323" s="32"/>
      <c r="KS323" s="32"/>
      <c r="KT323" s="32"/>
      <c r="KU323" s="32"/>
      <c r="KV323" s="32"/>
      <c r="KW323" s="32"/>
      <c r="KX323" s="32"/>
      <c r="KY323" s="32"/>
      <c r="KZ323" s="32"/>
      <c r="LA323" s="32"/>
      <c r="LB323" s="32"/>
      <c r="LC323" s="32"/>
      <c r="LD323" s="32"/>
      <c r="LE323" s="32"/>
      <c r="LF323" s="32"/>
      <c r="LG323" s="32"/>
      <c r="LH323" s="32"/>
      <c r="LI323" s="32"/>
      <c r="LJ323" s="32"/>
      <c r="LK323" s="32"/>
      <c r="LL323" s="32"/>
      <c r="LM323" s="32"/>
      <c r="LN323" s="32"/>
      <c r="LO323" s="32"/>
      <c r="LP323" s="32"/>
      <c r="LQ323" s="32"/>
      <c r="LR323" s="32"/>
      <c r="LS323" s="32"/>
      <c r="LT323" s="32"/>
      <c r="LU323" s="32"/>
      <c r="LV323" s="32"/>
      <c r="LW323" s="32"/>
      <c r="LX323" s="32"/>
      <c r="LY323" s="32"/>
      <c r="LZ323" s="32"/>
      <c r="MA323" s="32"/>
      <c r="MB323" s="32"/>
      <c r="MC323" s="32"/>
      <c r="MD323" s="32"/>
      <c r="ME323" s="32"/>
      <c r="MF323" s="32"/>
      <c r="MG323" s="32"/>
      <c r="MH323" s="32"/>
      <c r="MI323" s="32"/>
      <c r="MJ323" s="32"/>
      <c r="MK323" s="32"/>
      <c r="ML323" s="32"/>
      <c r="MM323" s="32"/>
      <c r="MN323" s="32"/>
      <c r="MO323" s="32"/>
      <c r="MP323" s="32"/>
      <c r="MQ323" s="32"/>
      <c r="MR323" s="32"/>
      <c r="MS323" s="32"/>
      <c r="MT323" s="32"/>
      <c r="MU323" s="32"/>
      <c r="MV323" s="32"/>
      <c r="MW323" s="32"/>
      <c r="MX323" s="32"/>
      <c r="MY323" s="32"/>
      <c r="MZ323" s="32"/>
      <c r="NA323" s="32"/>
      <c r="NB323" s="32"/>
      <c r="NC323" s="32"/>
      <c r="ND323" s="32"/>
      <c r="NE323" s="32"/>
      <c r="NF323" s="32"/>
      <c r="NG323" s="32"/>
      <c r="NH323" s="32"/>
      <c r="NI323" s="32"/>
      <c r="NJ323" s="32"/>
      <c r="NK323" s="32"/>
      <c r="NL323" s="32"/>
      <c r="NM323" s="32"/>
      <c r="NN323" s="32"/>
      <c r="NO323" s="32"/>
      <c r="NP323" s="32"/>
      <c r="NQ323" s="32"/>
      <c r="NR323" s="32"/>
      <c r="NS323" s="32"/>
      <c r="NT323" s="32"/>
      <c r="NU323" s="32"/>
      <c r="NV323" s="32"/>
      <c r="NW323" s="32"/>
      <c r="NX323" s="32"/>
      <c r="NY323" s="32"/>
      <c r="NZ323" s="32"/>
      <c r="OA323" s="32"/>
      <c r="OB323" s="32"/>
      <c r="OC323" s="32"/>
      <c r="OD323" s="32"/>
      <c r="OE323" s="32"/>
      <c r="OF323" s="32"/>
      <c r="OG323" s="32"/>
      <c r="OH323" s="32"/>
      <c r="OI323" s="32"/>
      <c r="OJ323" s="32"/>
      <c r="OK323" s="32"/>
      <c r="OL323" s="32"/>
      <c r="OM323" s="32"/>
      <c r="ON323" s="32"/>
      <c r="OO323" s="32"/>
      <c r="OP323" s="32"/>
      <c r="OQ323" s="32"/>
      <c r="OR323" s="32"/>
      <c r="OS323" s="32"/>
      <c r="OT323" s="32"/>
      <c r="OU323" s="32"/>
      <c r="OV323" s="32"/>
      <c r="OW323" s="32"/>
      <c r="OX323" s="32"/>
      <c r="OY323" s="32"/>
      <c r="OZ323" s="32"/>
      <c r="PA323" s="32"/>
      <c r="PB323" s="32"/>
      <c r="PC323" s="32"/>
      <c r="PD323" s="32"/>
      <c r="PE323" s="32"/>
      <c r="PF323" s="32"/>
      <c r="PG323" s="32"/>
      <c r="PH323" s="32"/>
      <c r="PI323" s="32"/>
      <c r="PJ323" s="32"/>
      <c r="PK323" s="32"/>
      <c r="PL323" s="32"/>
      <c r="PM323" s="32"/>
      <c r="PN323" s="32"/>
      <c r="PO323" s="32"/>
      <c r="PP323" s="32"/>
      <c r="PQ323" s="32"/>
      <c r="PR323" s="32"/>
      <c r="PS323" s="32"/>
      <c r="PT323" s="32"/>
      <c r="PU323" s="32"/>
      <c r="PV323" s="32"/>
      <c r="PW323" s="32"/>
      <c r="PX323" s="32"/>
      <c r="PY323" s="32"/>
      <c r="PZ323" s="32"/>
      <c r="QA323" s="32"/>
      <c r="QB323" s="32"/>
      <c r="QC323" s="32"/>
      <c r="QD323" s="32"/>
      <c r="QE323" s="32"/>
      <c r="QF323" s="32"/>
      <c r="QG323" s="32"/>
      <c r="QH323" s="32"/>
      <c r="QI323" s="32"/>
      <c r="QJ323" s="32"/>
      <c r="QK323" s="32"/>
      <c r="QL323" s="32"/>
      <c r="QM323" s="32"/>
      <c r="QN323" s="32"/>
      <c r="QO323" s="32"/>
      <c r="QP323" s="32"/>
      <c r="QQ323" s="32"/>
      <c r="QR323" s="32"/>
      <c r="QS323" s="32"/>
      <c r="QT323" s="32"/>
      <c r="QU323" s="32"/>
      <c r="QV323" s="32"/>
      <c r="QW323" s="32"/>
      <c r="QX323" s="32"/>
      <c r="QY323" s="32"/>
      <c r="QZ323" s="32"/>
      <c r="RA323" s="32"/>
      <c r="RB323" s="32"/>
      <c r="RC323" s="32"/>
      <c r="RD323" s="32"/>
      <c r="RE323" s="32"/>
      <c r="RF323" s="32"/>
      <c r="RG323" s="32"/>
      <c r="RH323" s="32"/>
      <c r="RI323" s="32"/>
      <c r="RJ323" s="32"/>
      <c r="RK323" s="32"/>
      <c r="RL323" s="32"/>
      <c r="RM323" s="32"/>
      <c r="RN323" s="32"/>
      <c r="RO323" s="32"/>
      <c r="RP323" s="32"/>
      <c r="RQ323" s="32"/>
      <c r="RR323" s="32"/>
      <c r="RS323" s="32"/>
      <c r="RT323" s="32"/>
      <c r="RU323" s="32"/>
      <c r="RV323" s="32"/>
      <c r="RW323" s="32"/>
      <c r="RX323" s="32"/>
      <c r="RY323" s="32"/>
      <c r="RZ323" s="32"/>
      <c r="SA323" s="32"/>
      <c r="SB323" s="32"/>
      <c r="SC323" s="32"/>
      <c r="SD323" s="32"/>
      <c r="SE323" s="32"/>
      <c r="SF323" s="32"/>
      <c r="SG323" s="32"/>
      <c r="SH323" s="32"/>
      <c r="SI323" s="32"/>
      <c r="SJ323" s="32"/>
      <c r="SK323" s="32"/>
      <c r="SL323" s="32"/>
      <c r="SM323" s="32"/>
      <c r="SN323" s="32"/>
      <c r="SO323" s="32"/>
      <c r="SP323" s="32"/>
      <c r="SQ323" s="32"/>
      <c r="SR323" s="32"/>
      <c r="SS323" s="32"/>
      <c r="ST323" s="32"/>
      <c r="SU323" s="32"/>
      <c r="SV323" s="32"/>
      <c r="SW323" s="32"/>
      <c r="SX323" s="32"/>
      <c r="SY323" s="32"/>
      <c r="SZ323" s="32"/>
      <c r="TA323" s="32"/>
      <c r="TB323" s="32"/>
      <c r="TC323" s="32"/>
      <c r="TD323" s="32"/>
      <c r="TE323" s="32"/>
      <c r="TF323" s="32"/>
      <c r="TG323" s="32"/>
    </row>
    <row r="324" spans="1:527" s="146" customFormat="1" ht="54" customHeight="1" x14ac:dyDescent="0.55000000000000004">
      <c r="A324" s="143" t="s">
        <v>621</v>
      </c>
      <c r="B324" s="144"/>
      <c r="C324" s="145"/>
      <c r="D324" s="135"/>
      <c r="E324" s="154">
        <f>E319-'дод 8'!D258</f>
        <v>0</v>
      </c>
      <c r="F324" s="135"/>
      <c r="G324" s="135"/>
      <c r="H324" s="135"/>
      <c r="I324" s="135"/>
      <c r="J324" s="135"/>
      <c r="M324" s="135"/>
      <c r="N324" s="135" t="s">
        <v>622</v>
      </c>
      <c r="O324" s="136"/>
      <c r="P324" s="136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  <c r="AE324" s="147"/>
      <c r="AF324" s="147"/>
      <c r="AG324" s="147"/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147"/>
      <c r="BC324" s="147"/>
      <c r="BD324" s="147"/>
      <c r="BE324" s="147"/>
      <c r="BF324" s="147"/>
      <c r="BG324" s="147"/>
      <c r="BH324" s="147"/>
      <c r="BI324" s="147"/>
      <c r="BJ324" s="147"/>
      <c r="BK324" s="147"/>
      <c r="BL324" s="147"/>
      <c r="BM324" s="147"/>
      <c r="BN324" s="147"/>
      <c r="BO324" s="147"/>
      <c r="BP324" s="147"/>
      <c r="BQ324" s="147"/>
      <c r="BR324" s="147"/>
      <c r="BS324" s="147"/>
      <c r="BT324" s="147"/>
      <c r="BU324" s="147"/>
      <c r="BV324" s="147"/>
      <c r="BW324" s="147"/>
      <c r="BX324" s="147"/>
      <c r="BY324" s="147"/>
      <c r="BZ324" s="147"/>
      <c r="CA324" s="147"/>
      <c r="CB324" s="147"/>
      <c r="CC324" s="147"/>
      <c r="CD324" s="147"/>
      <c r="CE324" s="147"/>
      <c r="CF324" s="147"/>
      <c r="CG324" s="147"/>
      <c r="CH324" s="147"/>
      <c r="CI324" s="147"/>
      <c r="CJ324" s="147"/>
      <c r="CK324" s="147"/>
      <c r="CL324" s="147"/>
      <c r="CM324" s="147"/>
      <c r="CN324" s="147"/>
      <c r="CO324" s="147"/>
      <c r="CP324" s="147"/>
      <c r="CQ324" s="147"/>
      <c r="CR324" s="147"/>
      <c r="CS324" s="147"/>
      <c r="CT324" s="147"/>
      <c r="CU324" s="147"/>
      <c r="CV324" s="147"/>
      <c r="CW324" s="147"/>
      <c r="CX324" s="147"/>
      <c r="CY324" s="147"/>
      <c r="CZ324" s="147"/>
      <c r="DA324" s="147"/>
      <c r="DB324" s="147"/>
      <c r="DC324" s="147"/>
      <c r="DD324" s="147"/>
      <c r="DE324" s="147"/>
      <c r="DF324" s="147"/>
      <c r="DG324" s="147"/>
      <c r="DH324" s="147"/>
      <c r="DI324" s="147"/>
      <c r="DJ324" s="147"/>
      <c r="DK324" s="147"/>
      <c r="DL324" s="147"/>
      <c r="DM324" s="147"/>
      <c r="DN324" s="147"/>
      <c r="DO324" s="147"/>
      <c r="DP324" s="147"/>
      <c r="DQ324" s="147"/>
      <c r="DR324" s="147"/>
      <c r="DS324" s="147"/>
      <c r="DT324" s="147"/>
      <c r="DU324" s="147"/>
      <c r="DV324" s="147"/>
      <c r="DW324" s="147"/>
      <c r="DX324" s="147"/>
      <c r="DY324" s="147"/>
      <c r="DZ324" s="147"/>
      <c r="EA324" s="147"/>
      <c r="EB324" s="147"/>
      <c r="EC324" s="147"/>
      <c r="ED324" s="147"/>
      <c r="EE324" s="147"/>
      <c r="EF324" s="147"/>
      <c r="EG324" s="147"/>
      <c r="EH324" s="147"/>
      <c r="EI324" s="147"/>
      <c r="EJ324" s="147"/>
      <c r="EK324" s="147"/>
      <c r="EL324" s="147"/>
      <c r="EM324" s="147"/>
      <c r="EN324" s="147"/>
      <c r="EO324" s="147"/>
      <c r="EP324" s="147"/>
      <c r="EQ324" s="147"/>
      <c r="ER324" s="147"/>
      <c r="ES324" s="147"/>
      <c r="ET324" s="147"/>
      <c r="EU324" s="147"/>
      <c r="EV324" s="147"/>
      <c r="EW324" s="147"/>
      <c r="EX324" s="147"/>
      <c r="EY324" s="147"/>
      <c r="EZ324" s="147"/>
      <c r="FA324" s="147"/>
      <c r="FB324" s="147"/>
      <c r="FC324" s="147"/>
      <c r="FD324" s="147"/>
      <c r="FE324" s="147"/>
      <c r="FF324" s="147"/>
      <c r="FG324" s="147"/>
      <c r="FH324" s="147"/>
      <c r="FI324" s="147"/>
      <c r="FJ324" s="147"/>
      <c r="FK324" s="147"/>
      <c r="FL324" s="147"/>
      <c r="FM324" s="147"/>
      <c r="FN324" s="147"/>
      <c r="FO324" s="147"/>
      <c r="FP324" s="147"/>
      <c r="FQ324" s="147"/>
      <c r="FR324" s="147"/>
      <c r="FS324" s="147"/>
      <c r="FT324" s="147"/>
      <c r="FU324" s="147"/>
      <c r="FV324" s="147"/>
      <c r="FW324" s="147"/>
      <c r="FX324" s="147"/>
      <c r="FY324" s="147"/>
      <c r="FZ324" s="147"/>
      <c r="GA324" s="147"/>
      <c r="GB324" s="147"/>
      <c r="GC324" s="147"/>
      <c r="GD324" s="147"/>
      <c r="GE324" s="147"/>
      <c r="GF324" s="147"/>
      <c r="GG324" s="147"/>
      <c r="GH324" s="147"/>
      <c r="GI324" s="147"/>
      <c r="GJ324" s="147"/>
      <c r="GK324" s="147"/>
      <c r="GL324" s="147"/>
      <c r="GM324" s="147"/>
      <c r="GN324" s="147"/>
      <c r="GO324" s="147"/>
      <c r="GP324" s="147"/>
      <c r="GQ324" s="147"/>
      <c r="GR324" s="147"/>
      <c r="GS324" s="147"/>
      <c r="GT324" s="147"/>
      <c r="GU324" s="147"/>
      <c r="GV324" s="147"/>
      <c r="GW324" s="147"/>
      <c r="GX324" s="147"/>
      <c r="GY324" s="147"/>
      <c r="GZ324" s="147"/>
      <c r="HA324" s="147"/>
      <c r="HB324" s="147"/>
      <c r="HC324" s="147"/>
      <c r="HD324" s="147"/>
      <c r="HE324" s="147"/>
      <c r="HF324" s="147"/>
      <c r="HG324" s="147"/>
      <c r="HH324" s="147"/>
      <c r="HI324" s="147"/>
      <c r="HJ324" s="147"/>
      <c r="HK324" s="147"/>
      <c r="HL324" s="147"/>
      <c r="HM324" s="147"/>
      <c r="HN324" s="147"/>
      <c r="HO324" s="147"/>
      <c r="HP324" s="147"/>
      <c r="HQ324" s="147"/>
      <c r="HR324" s="147"/>
      <c r="HS324" s="147"/>
      <c r="HT324" s="147"/>
      <c r="HU324" s="147"/>
      <c r="HV324" s="147"/>
      <c r="HW324" s="147"/>
      <c r="HX324" s="147"/>
      <c r="HY324" s="147"/>
      <c r="HZ324" s="147"/>
      <c r="IA324" s="147"/>
      <c r="IB324" s="147"/>
      <c r="IC324" s="147"/>
      <c r="ID324" s="147"/>
      <c r="IE324" s="147"/>
      <c r="IF324" s="147"/>
      <c r="IG324" s="147"/>
      <c r="IH324" s="147"/>
      <c r="II324" s="147"/>
      <c r="IJ324" s="147"/>
      <c r="IK324" s="147"/>
      <c r="IL324" s="147"/>
      <c r="IM324" s="147"/>
      <c r="IN324" s="147"/>
      <c r="IO324" s="147"/>
      <c r="IP324" s="147"/>
      <c r="IQ324" s="147"/>
      <c r="IR324" s="147"/>
      <c r="IS324" s="147"/>
      <c r="IT324" s="147"/>
      <c r="IU324" s="147"/>
      <c r="IV324" s="147"/>
      <c r="IW324" s="147"/>
      <c r="IX324" s="147"/>
      <c r="IY324" s="147"/>
      <c r="IZ324" s="147"/>
      <c r="JA324" s="147"/>
      <c r="JB324" s="147"/>
      <c r="JC324" s="147"/>
      <c r="JD324" s="147"/>
      <c r="JE324" s="147"/>
      <c r="JF324" s="147"/>
      <c r="JG324" s="147"/>
      <c r="JH324" s="147"/>
      <c r="JI324" s="147"/>
      <c r="JJ324" s="147"/>
      <c r="JK324" s="147"/>
      <c r="JL324" s="147"/>
      <c r="JM324" s="147"/>
      <c r="JN324" s="147"/>
      <c r="JO324" s="147"/>
      <c r="JP324" s="147"/>
      <c r="JQ324" s="147"/>
      <c r="JR324" s="147"/>
      <c r="JS324" s="147"/>
      <c r="JT324" s="147"/>
      <c r="JU324" s="147"/>
      <c r="JV324" s="147"/>
      <c r="JW324" s="147"/>
      <c r="JX324" s="147"/>
      <c r="JY324" s="147"/>
      <c r="JZ324" s="147"/>
      <c r="KA324" s="147"/>
      <c r="KB324" s="147"/>
      <c r="KC324" s="147"/>
      <c r="KD324" s="147"/>
      <c r="KE324" s="147"/>
      <c r="KF324" s="147"/>
      <c r="KG324" s="147"/>
      <c r="KH324" s="147"/>
      <c r="KI324" s="147"/>
      <c r="KJ324" s="147"/>
      <c r="KK324" s="147"/>
      <c r="KL324" s="147"/>
      <c r="KM324" s="147"/>
      <c r="KN324" s="147"/>
      <c r="KO324" s="147"/>
      <c r="KP324" s="147"/>
      <c r="KQ324" s="147"/>
      <c r="KR324" s="147"/>
      <c r="KS324" s="147"/>
      <c r="KT324" s="147"/>
      <c r="KU324" s="147"/>
      <c r="KV324" s="147"/>
      <c r="KW324" s="147"/>
      <c r="KX324" s="147"/>
      <c r="KY324" s="147"/>
      <c r="KZ324" s="147"/>
      <c r="LA324" s="147"/>
      <c r="LB324" s="147"/>
      <c r="LC324" s="147"/>
      <c r="LD324" s="147"/>
      <c r="LE324" s="147"/>
      <c r="LF324" s="147"/>
      <c r="LG324" s="147"/>
      <c r="LH324" s="147"/>
      <c r="LI324" s="147"/>
      <c r="LJ324" s="147"/>
      <c r="LK324" s="147"/>
      <c r="LL324" s="147"/>
      <c r="LM324" s="147"/>
      <c r="LN324" s="147"/>
      <c r="LO324" s="147"/>
      <c r="LP324" s="147"/>
      <c r="LQ324" s="147"/>
      <c r="LR324" s="147"/>
      <c r="LS324" s="147"/>
      <c r="LT324" s="147"/>
      <c r="LU324" s="147"/>
      <c r="LV324" s="147"/>
      <c r="LW324" s="147"/>
      <c r="LX324" s="147"/>
      <c r="LY324" s="147"/>
      <c r="LZ324" s="147"/>
      <c r="MA324" s="147"/>
      <c r="MB324" s="147"/>
      <c r="MC324" s="147"/>
      <c r="MD324" s="147"/>
      <c r="ME324" s="147"/>
      <c r="MF324" s="147"/>
      <c r="MG324" s="147"/>
      <c r="MH324" s="147"/>
      <c r="MI324" s="147"/>
      <c r="MJ324" s="147"/>
      <c r="MK324" s="147"/>
      <c r="ML324" s="147"/>
      <c r="MM324" s="147"/>
      <c r="MN324" s="147"/>
      <c r="MO324" s="147"/>
      <c r="MP324" s="147"/>
      <c r="MQ324" s="147"/>
      <c r="MR324" s="147"/>
      <c r="MS324" s="147"/>
      <c r="MT324" s="147"/>
      <c r="MU324" s="147"/>
      <c r="MV324" s="147"/>
      <c r="MW324" s="147"/>
      <c r="MX324" s="147"/>
      <c r="MY324" s="147"/>
      <c r="MZ324" s="147"/>
      <c r="NA324" s="147"/>
      <c r="NB324" s="147"/>
      <c r="NC324" s="147"/>
      <c r="ND324" s="147"/>
      <c r="NE324" s="147"/>
      <c r="NF324" s="147"/>
      <c r="NG324" s="147"/>
      <c r="NH324" s="147"/>
      <c r="NI324" s="147"/>
      <c r="NJ324" s="147"/>
      <c r="NK324" s="147"/>
      <c r="NL324" s="147"/>
      <c r="NM324" s="147"/>
      <c r="NN324" s="147"/>
      <c r="NO324" s="147"/>
      <c r="NP324" s="147"/>
      <c r="NQ324" s="147"/>
      <c r="NR324" s="147"/>
      <c r="NS324" s="147"/>
      <c r="NT324" s="147"/>
      <c r="NU324" s="147"/>
      <c r="NV324" s="147"/>
      <c r="NW324" s="147"/>
      <c r="NX324" s="147"/>
      <c r="NY324" s="147"/>
      <c r="NZ324" s="147"/>
      <c r="OA324" s="147"/>
      <c r="OB324" s="147"/>
      <c r="OC324" s="147"/>
      <c r="OD324" s="147"/>
      <c r="OE324" s="147"/>
      <c r="OF324" s="147"/>
      <c r="OG324" s="147"/>
      <c r="OH324" s="147"/>
      <c r="OI324" s="147"/>
      <c r="OJ324" s="147"/>
      <c r="OK324" s="147"/>
      <c r="OL324" s="147"/>
      <c r="OM324" s="147"/>
      <c r="ON324" s="147"/>
      <c r="OO324" s="147"/>
      <c r="OP324" s="147"/>
      <c r="OQ324" s="147"/>
      <c r="OR324" s="147"/>
      <c r="OS324" s="147"/>
      <c r="OT324" s="147"/>
      <c r="OU324" s="147"/>
      <c r="OV324" s="147"/>
      <c r="OW324" s="147"/>
      <c r="OX324" s="147"/>
      <c r="OY324" s="147"/>
      <c r="OZ324" s="147"/>
      <c r="PA324" s="147"/>
      <c r="PB324" s="147"/>
      <c r="PC324" s="147"/>
      <c r="PD324" s="147"/>
      <c r="PE324" s="147"/>
      <c r="PF324" s="147"/>
      <c r="PG324" s="147"/>
      <c r="PH324" s="147"/>
      <c r="PI324" s="147"/>
      <c r="PJ324" s="147"/>
      <c r="PK324" s="147"/>
      <c r="PL324" s="147"/>
      <c r="PM324" s="147"/>
      <c r="PN324" s="147"/>
      <c r="PO324" s="147"/>
      <c r="PP324" s="147"/>
      <c r="PQ324" s="147"/>
      <c r="PR324" s="147"/>
      <c r="PS324" s="147"/>
      <c r="PT324" s="147"/>
      <c r="PU324" s="147"/>
      <c r="PV324" s="147"/>
      <c r="PW324" s="147"/>
      <c r="PX324" s="147"/>
      <c r="PY324" s="147"/>
      <c r="PZ324" s="147"/>
      <c r="QA324" s="147"/>
      <c r="QB324" s="147"/>
      <c r="QC324" s="147"/>
      <c r="QD324" s="147"/>
      <c r="QE324" s="147"/>
      <c r="QF324" s="147"/>
      <c r="QG324" s="147"/>
      <c r="QH324" s="147"/>
      <c r="QI324" s="147"/>
      <c r="QJ324" s="147"/>
      <c r="QK324" s="147"/>
      <c r="QL324" s="147"/>
      <c r="QM324" s="147"/>
      <c r="QN324" s="147"/>
      <c r="QO324" s="147"/>
      <c r="QP324" s="147"/>
      <c r="QQ324" s="147"/>
      <c r="QR324" s="147"/>
      <c r="QS324" s="147"/>
      <c r="QT324" s="147"/>
      <c r="QU324" s="147"/>
      <c r="QV324" s="147"/>
      <c r="QW324" s="147"/>
      <c r="QX324" s="147"/>
      <c r="QY324" s="147"/>
      <c r="QZ324" s="147"/>
      <c r="RA324" s="147"/>
      <c r="RB324" s="147"/>
      <c r="RC324" s="147"/>
      <c r="RD324" s="147"/>
      <c r="RE324" s="147"/>
      <c r="RF324" s="147"/>
      <c r="RG324" s="147"/>
      <c r="RH324" s="147"/>
      <c r="RI324" s="147"/>
      <c r="RJ324" s="147"/>
      <c r="RK324" s="147"/>
      <c r="RL324" s="147"/>
      <c r="RM324" s="147"/>
      <c r="RN324" s="147"/>
      <c r="RO324" s="147"/>
      <c r="RP324" s="147"/>
      <c r="RQ324" s="147"/>
      <c r="RR324" s="147"/>
      <c r="RS324" s="147"/>
      <c r="RT324" s="147"/>
      <c r="RU324" s="147"/>
      <c r="RV324" s="147"/>
      <c r="RW324" s="147"/>
      <c r="RX324" s="147"/>
      <c r="RY324" s="147"/>
      <c r="RZ324" s="147"/>
      <c r="SA324" s="147"/>
      <c r="SB324" s="147"/>
      <c r="SC324" s="147"/>
      <c r="SD324" s="147"/>
      <c r="SE324" s="147"/>
      <c r="SF324" s="147"/>
      <c r="SG324" s="147"/>
      <c r="SH324" s="147"/>
      <c r="SI324" s="147"/>
      <c r="SJ324" s="147"/>
      <c r="SK324" s="147"/>
      <c r="SL324" s="147"/>
      <c r="SM324" s="147"/>
      <c r="SN324" s="147"/>
      <c r="SO324" s="147"/>
      <c r="SP324" s="147"/>
      <c r="SQ324" s="147"/>
      <c r="SR324" s="147"/>
      <c r="SS324" s="147"/>
      <c r="ST324" s="147"/>
      <c r="SU324" s="147"/>
      <c r="SV324" s="147"/>
      <c r="SW324" s="147"/>
      <c r="SX324" s="147"/>
      <c r="SY324" s="147"/>
      <c r="SZ324" s="147"/>
      <c r="TA324" s="147"/>
      <c r="TB324" s="147"/>
      <c r="TC324" s="147"/>
      <c r="TD324" s="147"/>
      <c r="TE324" s="147"/>
      <c r="TF324" s="147"/>
      <c r="TG324" s="147"/>
    </row>
    <row r="325" spans="1:527" s="28" customFormat="1" ht="34.5" customHeight="1" x14ac:dyDescent="0.25">
      <c r="A325" s="56"/>
      <c r="B325" s="61"/>
      <c r="C325" s="61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155"/>
    </row>
    <row r="326" spans="1:527" s="139" customFormat="1" ht="41.25" customHeight="1" x14ac:dyDescent="0.45">
      <c r="A326" s="137" t="s">
        <v>620</v>
      </c>
      <c r="B326" s="137"/>
      <c r="C326" s="137"/>
      <c r="D326" s="137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</row>
    <row r="327" spans="1:527" s="126" customFormat="1" ht="39.75" customHeight="1" x14ac:dyDescent="0.4">
      <c r="A327" s="157" t="s">
        <v>623</v>
      </c>
      <c r="B327" s="157"/>
      <c r="C327" s="157"/>
      <c r="D327" s="157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1:527" s="126" customFormat="1" ht="26.25" x14ac:dyDescent="0.4">
      <c r="A328" s="127"/>
      <c r="B328" s="128"/>
      <c r="C328" s="128"/>
      <c r="D328" s="129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1:527" s="28" customFormat="1" x14ac:dyDescent="0.25">
      <c r="A329" s="56"/>
      <c r="B329" s="61"/>
      <c r="C329" s="61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</row>
    <row r="330" spans="1:527" s="28" customFormat="1" x14ac:dyDescent="0.25">
      <c r="A330" s="56"/>
      <c r="B330" s="61"/>
      <c r="C330" s="61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</row>
    <row r="331" spans="1:527" s="28" customFormat="1" x14ac:dyDescent="0.25">
      <c r="A331" s="56"/>
      <c r="B331" s="61"/>
      <c r="C331" s="61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</row>
    <row r="332" spans="1:527" s="28" customFormat="1" x14ac:dyDescent="0.25">
      <c r="A332" s="56"/>
      <c r="B332" s="61"/>
      <c r="C332" s="61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</row>
    <row r="333" spans="1:527" s="28" customFormat="1" x14ac:dyDescent="0.25">
      <c r="A333" s="56"/>
      <c r="B333" s="61"/>
      <c r="C333" s="61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155"/>
    </row>
    <row r="334" spans="1:527" s="28" customFormat="1" x14ac:dyDescent="0.25">
      <c r="A334" s="56"/>
      <c r="B334" s="61"/>
      <c r="C334" s="61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155"/>
    </row>
    <row r="335" spans="1:527" s="28" customFormat="1" x14ac:dyDescent="0.25">
      <c r="A335" s="56"/>
      <c r="B335" s="61"/>
      <c r="C335" s="61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155"/>
    </row>
    <row r="336" spans="1:527" s="28" customFormat="1" x14ac:dyDescent="0.25">
      <c r="A336" s="56"/>
      <c r="B336" s="61"/>
      <c r="C336" s="61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155"/>
    </row>
    <row r="337" spans="1:16" s="28" customFormat="1" x14ac:dyDescent="0.25">
      <c r="A337" s="56"/>
      <c r="B337" s="61"/>
      <c r="C337" s="61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155"/>
    </row>
    <row r="338" spans="1:16" s="28" customFormat="1" x14ac:dyDescent="0.25">
      <c r="A338" s="56"/>
      <c r="B338" s="61"/>
      <c r="C338" s="61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155"/>
    </row>
    <row r="339" spans="1:16" s="28" customFormat="1" x14ac:dyDescent="0.25">
      <c r="A339" s="56"/>
      <c r="B339" s="61"/>
      <c r="C339" s="61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155"/>
    </row>
    <row r="340" spans="1:16" s="28" customFormat="1" x14ac:dyDescent="0.25">
      <c r="A340" s="56"/>
      <c r="B340" s="61"/>
      <c r="C340" s="61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155"/>
    </row>
    <row r="341" spans="1:16" s="28" customFormat="1" x14ac:dyDescent="0.25">
      <c r="A341" s="56"/>
      <c r="B341" s="61"/>
      <c r="C341" s="61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155"/>
    </row>
    <row r="342" spans="1:16" s="28" customFormat="1" x14ac:dyDescent="0.25">
      <c r="A342" s="56"/>
      <c r="B342" s="61"/>
      <c r="C342" s="61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155"/>
    </row>
    <row r="343" spans="1:16" s="28" customFormat="1" x14ac:dyDescent="0.25">
      <c r="A343" s="56"/>
      <c r="B343" s="61"/>
      <c r="C343" s="61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155"/>
    </row>
    <row r="344" spans="1:16" s="28" customFormat="1" x14ac:dyDescent="0.25">
      <c r="A344" s="56"/>
      <c r="B344" s="61"/>
      <c r="C344" s="61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55"/>
    </row>
    <row r="345" spans="1:16" s="28" customFormat="1" x14ac:dyDescent="0.25">
      <c r="A345" s="56"/>
      <c r="B345" s="61"/>
      <c r="C345" s="61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155"/>
    </row>
    <row r="346" spans="1:16" s="28" customFormat="1" x14ac:dyDescent="0.25">
      <c r="A346" s="56"/>
      <c r="B346" s="61"/>
      <c r="C346" s="61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155"/>
    </row>
    <row r="347" spans="1:16" s="28" customForma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155"/>
    </row>
    <row r="348" spans="1:16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155"/>
    </row>
    <row r="349" spans="1:16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155"/>
    </row>
    <row r="350" spans="1:16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155"/>
    </row>
    <row r="351" spans="1:16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55"/>
    </row>
    <row r="352" spans="1:16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55"/>
    </row>
    <row r="353" spans="1:16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55"/>
    </row>
    <row r="354" spans="1:16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55"/>
    </row>
    <row r="355" spans="1:16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55"/>
    </row>
    <row r="356" spans="1:16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55"/>
    </row>
    <row r="357" spans="1:16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55"/>
    </row>
    <row r="358" spans="1:16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55"/>
    </row>
    <row r="359" spans="1:16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55"/>
    </row>
    <row r="360" spans="1:16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55"/>
    </row>
    <row r="361" spans="1:16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55"/>
    </row>
    <row r="362" spans="1:16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55"/>
    </row>
    <row r="363" spans="1:16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55"/>
    </row>
    <row r="364" spans="1:16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55"/>
    </row>
    <row r="365" spans="1:16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55"/>
    </row>
    <row r="366" spans="1:16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55"/>
    </row>
    <row r="367" spans="1:16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55"/>
    </row>
    <row r="368" spans="1:16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55"/>
    </row>
    <row r="369" spans="1:16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55"/>
    </row>
    <row r="370" spans="1:16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55"/>
    </row>
    <row r="371" spans="1:16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55"/>
    </row>
    <row r="372" spans="1:16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55"/>
    </row>
    <row r="373" spans="1:16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55"/>
    </row>
    <row r="374" spans="1:16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55"/>
    </row>
    <row r="375" spans="1:16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55"/>
    </row>
    <row r="376" spans="1:16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55"/>
    </row>
    <row r="377" spans="1:16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55"/>
    </row>
    <row r="378" spans="1:16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55"/>
    </row>
    <row r="379" spans="1:16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55"/>
    </row>
    <row r="380" spans="1:16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55"/>
    </row>
    <row r="381" spans="1:16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55"/>
    </row>
    <row r="382" spans="1:16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55"/>
    </row>
    <row r="383" spans="1:16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55"/>
    </row>
    <row r="384" spans="1:16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55"/>
    </row>
    <row r="385" spans="1:16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55"/>
    </row>
    <row r="386" spans="1:16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55"/>
    </row>
    <row r="387" spans="1:16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55"/>
    </row>
    <row r="388" spans="1:16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55"/>
    </row>
    <row r="389" spans="1:16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55"/>
    </row>
    <row r="390" spans="1:16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55"/>
    </row>
    <row r="391" spans="1:16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55"/>
    </row>
    <row r="392" spans="1:16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55"/>
    </row>
    <row r="393" spans="1:16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55"/>
    </row>
    <row r="394" spans="1:16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55"/>
    </row>
    <row r="395" spans="1:16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55"/>
    </row>
    <row r="396" spans="1:16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55"/>
    </row>
    <row r="397" spans="1:16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55"/>
    </row>
    <row r="398" spans="1:16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55"/>
    </row>
    <row r="399" spans="1:16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55"/>
    </row>
    <row r="400" spans="1:16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55"/>
    </row>
    <row r="401" spans="1:16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55"/>
    </row>
    <row r="402" spans="1:16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55"/>
    </row>
    <row r="403" spans="1:16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55"/>
    </row>
    <row r="404" spans="1:16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55"/>
    </row>
    <row r="405" spans="1:16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55"/>
    </row>
    <row r="406" spans="1:16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55"/>
    </row>
    <row r="407" spans="1:16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55"/>
    </row>
    <row r="408" spans="1:16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55"/>
    </row>
    <row r="409" spans="1:16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55"/>
    </row>
    <row r="410" spans="1:16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55"/>
    </row>
    <row r="411" spans="1:16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55"/>
    </row>
    <row r="412" spans="1:16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55"/>
    </row>
    <row r="413" spans="1:16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55"/>
    </row>
    <row r="414" spans="1:16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55"/>
    </row>
    <row r="415" spans="1:16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55"/>
    </row>
    <row r="416" spans="1:16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55"/>
    </row>
    <row r="417" spans="1:16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55"/>
    </row>
    <row r="418" spans="1:16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55"/>
    </row>
    <row r="419" spans="1:16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55"/>
    </row>
    <row r="420" spans="1:16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55"/>
    </row>
    <row r="421" spans="1:16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55"/>
    </row>
    <row r="422" spans="1:16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55"/>
    </row>
    <row r="423" spans="1:16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55"/>
    </row>
    <row r="424" spans="1:16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55"/>
    </row>
    <row r="425" spans="1:16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55"/>
    </row>
    <row r="426" spans="1:16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55"/>
    </row>
    <row r="427" spans="1:16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55"/>
    </row>
    <row r="428" spans="1:16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55"/>
    </row>
    <row r="429" spans="1:16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55"/>
    </row>
    <row r="430" spans="1:16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55"/>
    </row>
    <row r="431" spans="1:16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55"/>
    </row>
    <row r="432" spans="1:16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55"/>
    </row>
    <row r="433" spans="1:16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55"/>
    </row>
    <row r="434" spans="1:16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55"/>
    </row>
    <row r="435" spans="1:16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55"/>
    </row>
    <row r="436" spans="1:16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55"/>
    </row>
    <row r="437" spans="1:16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55"/>
    </row>
    <row r="438" spans="1:16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55"/>
    </row>
    <row r="439" spans="1:16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55"/>
    </row>
    <row r="440" spans="1:16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55"/>
    </row>
    <row r="441" spans="1:16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55"/>
    </row>
    <row r="442" spans="1:16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55"/>
    </row>
    <row r="443" spans="1:16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55"/>
    </row>
    <row r="444" spans="1:16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55"/>
    </row>
    <row r="445" spans="1:16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55"/>
    </row>
    <row r="446" spans="1:16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55"/>
    </row>
    <row r="447" spans="1:16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55"/>
    </row>
    <row r="448" spans="1:16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55"/>
    </row>
    <row r="449" spans="1:16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55"/>
    </row>
    <row r="450" spans="1:16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55"/>
    </row>
    <row r="451" spans="1:16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55"/>
    </row>
    <row r="452" spans="1:16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55"/>
    </row>
    <row r="453" spans="1:16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55"/>
    </row>
    <row r="454" spans="1:16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55"/>
    </row>
    <row r="455" spans="1:16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55"/>
    </row>
    <row r="456" spans="1:16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55"/>
    </row>
    <row r="457" spans="1:16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55"/>
    </row>
    <row r="458" spans="1:16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55"/>
    </row>
    <row r="459" spans="1:16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55"/>
    </row>
    <row r="460" spans="1:16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55"/>
    </row>
    <row r="461" spans="1:16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55"/>
    </row>
    <row r="462" spans="1:16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55"/>
    </row>
    <row r="463" spans="1:16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55"/>
    </row>
    <row r="464" spans="1:16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55"/>
    </row>
    <row r="465" spans="1:16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55"/>
    </row>
    <row r="466" spans="1:16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55"/>
    </row>
    <row r="467" spans="1:16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55"/>
    </row>
    <row r="468" spans="1:16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55"/>
    </row>
    <row r="469" spans="1:16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55"/>
    </row>
    <row r="470" spans="1:16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55"/>
    </row>
    <row r="471" spans="1:16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55"/>
    </row>
    <row r="472" spans="1:16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55"/>
    </row>
    <row r="473" spans="1:16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55"/>
    </row>
    <row r="474" spans="1:16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55"/>
    </row>
    <row r="475" spans="1:16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55"/>
    </row>
    <row r="476" spans="1:16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55"/>
    </row>
    <row r="477" spans="1:16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55"/>
    </row>
    <row r="478" spans="1:16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55"/>
    </row>
    <row r="479" spans="1:16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55"/>
    </row>
    <row r="480" spans="1:16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55"/>
    </row>
    <row r="481" spans="1:16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55"/>
    </row>
    <row r="482" spans="1:16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55"/>
    </row>
    <row r="483" spans="1:16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55"/>
    </row>
    <row r="484" spans="1:16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55"/>
    </row>
    <row r="485" spans="1:16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55"/>
    </row>
    <row r="486" spans="1:16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55"/>
    </row>
    <row r="487" spans="1:16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55"/>
    </row>
    <row r="488" spans="1:16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55"/>
    </row>
    <row r="489" spans="1:16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55"/>
    </row>
    <row r="490" spans="1:16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55"/>
    </row>
    <row r="491" spans="1:16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55"/>
    </row>
    <row r="492" spans="1:16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55"/>
    </row>
    <row r="493" spans="1:16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55"/>
    </row>
    <row r="494" spans="1:16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55"/>
    </row>
    <row r="495" spans="1:16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55"/>
    </row>
    <row r="496" spans="1:16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55"/>
    </row>
    <row r="497" spans="1:16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55"/>
    </row>
    <row r="498" spans="1:16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55"/>
    </row>
    <row r="499" spans="1:16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55"/>
    </row>
    <row r="500" spans="1:16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55"/>
    </row>
    <row r="501" spans="1:16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55"/>
    </row>
    <row r="502" spans="1:16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55"/>
    </row>
    <row r="503" spans="1:16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55"/>
    </row>
    <row r="504" spans="1:16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55"/>
    </row>
    <row r="505" spans="1:16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55"/>
    </row>
    <row r="506" spans="1:16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55"/>
    </row>
    <row r="507" spans="1:16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55"/>
    </row>
    <row r="508" spans="1:16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55"/>
    </row>
    <row r="509" spans="1:16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55"/>
    </row>
    <row r="510" spans="1:16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55"/>
    </row>
    <row r="511" spans="1:16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55"/>
    </row>
    <row r="512" spans="1:16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55"/>
    </row>
    <row r="513" spans="1:16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55"/>
    </row>
    <row r="514" spans="1:16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55"/>
    </row>
    <row r="515" spans="1:16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55"/>
    </row>
    <row r="516" spans="1:16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55"/>
    </row>
    <row r="517" spans="1:16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55"/>
    </row>
    <row r="518" spans="1:16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55"/>
    </row>
    <row r="519" spans="1:16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55"/>
    </row>
    <row r="520" spans="1:16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55"/>
    </row>
    <row r="521" spans="1:16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55"/>
    </row>
    <row r="522" spans="1:16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55"/>
    </row>
    <row r="523" spans="1:16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55"/>
    </row>
    <row r="524" spans="1:16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55"/>
    </row>
    <row r="525" spans="1:16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55"/>
    </row>
    <row r="526" spans="1:16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55"/>
    </row>
    <row r="527" spans="1:16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55"/>
    </row>
    <row r="528" spans="1:16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55"/>
    </row>
    <row r="529" spans="1:16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55"/>
    </row>
    <row r="530" spans="1:16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55"/>
    </row>
    <row r="531" spans="1:16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55"/>
    </row>
    <row r="532" spans="1:16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55"/>
    </row>
    <row r="533" spans="1:16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55"/>
    </row>
    <row r="534" spans="1:16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55"/>
    </row>
    <row r="535" spans="1:16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55"/>
    </row>
    <row r="536" spans="1:16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55"/>
    </row>
    <row r="537" spans="1:16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55"/>
    </row>
    <row r="538" spans="1:16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55"/>
    </row>
    <row r="539" spans="1:16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55"/>
    </row>
    <row r="540" spans="1:16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55"/>
    </row>
    <row r="541" spans="1:16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55"/>
    </row>
    <row r="542" spans="1:16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55"/>
    </row>
    <row r="543" spans="1:16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55"/>
    </row>
    <row r="544" spans="1:16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55"/>
    </row>
    <row r="545" spans="1:16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55"/>
    </row>
    <row r="546" spans="1:16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55"/>
    </row>
    <row r="547" spans="1:16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55"/>
    </row>
    <row r="548" spans="1:16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55"/>
    </row>
    <row r="549" spans="1:16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55"/>
    </row>
    <row r="550" spans="1:16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55"/>
    </row>
    <row r="551" spans="1:16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55"/>
    </row>
    <row r="552" spans="1:16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55"/>
    </row>
    <row r="553" spans="1:16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55"/>
    </row>
    <row r="554" spans="1:16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55"/>
    </row>
    <row r="555" spans="1:16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55"/>
    </row>
    <row r="556" spans="1:16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55"/>
    </row>
    <row r="557" spans="1:16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55"/>
    </row>
    <row r="558" spans="1:16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55"/>
    </row>
    <row r="559" spans="1:16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55"/>
    </row>
    <row r="560" spans="1:16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55"/>
    </row>
    <row r="561" spans="1:16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55"/>
    </row>
    <row r="562" spans="1:16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55"/>
    </row>
    <row r="563" spans="1:16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55"/>
    </row>
    <row r="564" spans="1:16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55"/>
    </row>
    <row r="565" spans="1:16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55"/>
    </row>
    <row r="566" spans="1:16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55"/>
    </row>
    <row r="567" spans="1:16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55"/>
    </row>
    <row r="568" spans="1:16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55"/>
    </row>
    <row r="569" spans="1:16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55"/>
    </row>
    <row r="570" spans="1:16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55"/>
    </row>
    <row r="571" spans="1:16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55"/>
    </row>
    <row r="572" spans="1:16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55"/>
    </row>
    <row r="573" spans="1:16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55"/>
    </row>
    <row r="574" spans="1:16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55"/>
    </row>
    <row r="575" spans="1:16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55"/>
    </row>
    <row r="576" spans="1:16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55"/>
    </row>
    <row r="577" spans="1:16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55"/>
    </row>
    <row r="578" spans="1:16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55"/>
    </row>
    <row r="579" spans="1:16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55"/>
    </row>
    <row r="580" spans="1:16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55"/>
    </row>
    <row r="581" spans="1:16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55"/>
    </row>
    <row r="582" spans="1:16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55"/>
    </row>
    <row r="583" spans="1:16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55"/>
    </row>
    <row r="584" spans="1:16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55"/>
    </row>
    <row r="585" spans="1:16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55"/>
    </row>
    <row r="586" spans="1:16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55"/>
    </row>
    <row r="587" spans="1:16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55"/>
    </row>
    <row r="588" spans="1:16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55"/>
    </row>
    <row r="589" spans="1:16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55"/>
    </row>
    <row r="590" spans="1:16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55"/>
    </row>
    <row r="591" spans="1:16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55"/>
    </row>
    <row r="592" spans="1:16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55"/>
    </row>
    <row r="593" spans="1:16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55"/>
    </row>
    <row r="594" spans="1:16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55"/>
    </row>
    <row r="595" spans="1:16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55"/>
    </row>
    <row r="596" spans="1:16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55"/>
    </row>
    <row r="597" spans="1:16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55"/>
    </row>
    <row r="598" spans="1:16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55"/>
    </row>
    <row r="599" spans="1:16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55"/>
    </row>
    <row r="600" spans="1:16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55"/>
    </row>
    <row r="601" spans="1:16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55"/>
    </row>
    <row r="602" spans="1:16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55"/>
    </row>
    <row r="603" spans="1:16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55"/>
    </row>
    <row r="604" spans="1:16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55"/>
    </row>
    <row r="605" spans="1:16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55"/>
    </row>
    <row r="606" spans="1:16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55"/>
    </row>
    <row r="607" spans="1:16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55"/>
    </row>
    <row r="608" spans="1:16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55"/>
    </row>
    <row r="609" spans="1:16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55"/>
    </row>
    <row r="610" spans="1:16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55"/>
    </row>
    <row r="611" spans="1:16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55"/>
    </row>
    <row r="612" spans="1:16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55"/>
    </row>
    <row r="613" spans="1:16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55"/>
    </row>
    <row r="614" spans="1:16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55"/>
    </row>
    <row r="615" spans="1:16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55"/>
    </row>
    <row r="616" spans="1:16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55"/>
    </row>
    <row r="617" spans="1:16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55"/>
    </row>
    <row r="618" spans="1:16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55"/>
    </row>
    <row r="619" spans="1:16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55"/>
    </row>
    <row r="620" spans="1:16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55"/>
    </row>
    <row r="621" spans="1:16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55"/>
    </row>
    <row r="622" spans="1:16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55"/>
    </row>
    <row r="623" spans="1:16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55"/>
    </row>
    <row r="624" spans="1:16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55"/>
    </row>
    <row r="625" spans="1:16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55"/>
    </row>
    <row r="626" spans="1:16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55"/>
    </row>
    <row r="627" spans="1:16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55"/>
    </row>
    <row r="628" spans="1:16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55"/>
    </row>
    <row r="629" spans="1:16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55"/>
    </row>
    <row r="630" spans="1:16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55"/>
    </row>
    <row r="631" spans="1:16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55"/>
    </row>
    <row r="632" spans="1:16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55"/>
    </row>
    <row r="633" spans="1:16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55"/>
    </row>
    <row r="634" spans="1:16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55"/>
    </row>
    <row r="635" spans="1:16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55"/>
    </row>
    <row r="636" spans="1:16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55"/>
    </row>
    <row r="637" spans="1:16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55"/>
    </row>
    <row r="638" spans="1:16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55"/>
    </row>
    <row r="639" spans="1:16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55"/>
    </row>
    <row r="640" spans="1:16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55"/>
    </row>
    <row r="641" spans="1:16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55"/>
    </row>
    <row r="642" spans="1:16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55"/>
    </row>
    <row r="643" spans="1:16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55"/>
    </row>
    <row r="644" spans="1:16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55"/>
    </row>
    <row r="645" spans="1:16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55"/>
    </row>
    <row r="646" spans="1:16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55"/>
    </row>
    <row r="647" spans="1:16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55"/>
    </row>
    <row r="648" spans="1:16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55"/>
    </row>
    <row r="649" spans="1:16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55"/>
    </row>
    <row r="650" spans="1:16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55"/>
    </row>
    <row r="651" spans="1:16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55"/>
    </row>
    <row r="652" spans="1:16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55"/>
    </row>
    <row r="653" spans="1:16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55"/>
    </row>
    <row r="654" spans="1:16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55"/>
    </row>
    <row r="655" spans="1:16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55"/>
    </row>
    <row r="656" spans="1:16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55"/>
    </row>
    <row r="657" spans="1:16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55"/>
    </row>
    <row r="658" spans="1:16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55"/>
    </row>
    <row r="659" spans="1:16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55"/>
    </row>
    <row r="660" spans="1:16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55"/>
    </row>
    <row r="661" spans="1:16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55"/>
    </row>
    <row r="662" spans="1:16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55"/>
    </row>
    <row r="663" spans="1:16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55"/>
    </row>
    <row r="664" spans="1:16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55"/>
    </row>
    <row r="665" spans="1:16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55"/>
    </row>
    <row r="666" spans="1:16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55"/>
    </row>
    <row r="667" spans="1:16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55"/>
    </row>
    <row r="668" spans="1:16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55"/>
    </row>
    <row r="669" spans="1:16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55"/>
    </row>
    <row r="670" spans="1:16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55"/>
    </row>
    <row r="671" spans="1:16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55"/>
    </row>
    <row r="672" spans="1:16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55"/>
    </row>
    <row r="673" spans="1:16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55"/>
    </row>
    <row r="674" spans="1:16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55"/>
    </row>
    <row r="675" spans="1:16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55"/>
    </row>
    <row r="676" spans="1:16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55"/>
    </row>
    <row r="677" spans="1:16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55"/>
    </row>
    <row r="678" spans="1:16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55"/>
    </row>
    <row r="679" spans="1:16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55"/>
    </row>
    <row r="680" spans="1:16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55"/>
    </row>
    <row r="681" spans="1:16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55"/>
    </row>
    <row r="682" spans="1:16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55"/>
    </row>
    <row r="683" spans="1:16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55"/>
    </row>
    <row r="684" spans="1:16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55"/>
    </row>
    <row r="685" spans="1:16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55"/>
    </row>
    <row r="686" spans="1:16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55"/>
    </row>
    <row r="687" spans="1:16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55"/>
    </row>
    <row r="688" spans="1:16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55"/>
    </row>
    <row r="689" spans="1:16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55"/>
    </row>
    <row r="690" spans="1:16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55"/>
    </row>
    <row r="691" spans="1:16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55"/>
    </row>
    <row r="692" spans="1:16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55"/>
    </row>
    <row r="693" spans="1:16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55"/>
    </row>
    <row r="694" spans="1:16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55"/>
    </row>
    <row r="695" spans="1:16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55"/>
    </row>
    <row r="696" spans="1:16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55"/>
    </row>
    <row r="697" spans="1:16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55"/>
    </row>
    <row r="698" spans="1:16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55"/>
    </row>
    <row r="699" spans="1:16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55"/>
    </row>
    <row r="700" spans="1:16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55"/>
    </row>
    <row r="701" spans="1:16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55"/>
    </row>
    <row r="702" spans="1:16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55"/>
    </row>
    <row r="703" spans="1:16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55"/>
    </row>
    <row r="704" spans="1:16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55"/>
    </row>
    <row r="705" spans="1:16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55"/>
    </row>
    <row r="706" spans="1:16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55"/>
    </row>
    <row r="707" spans="1:16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55"/>
    </row>
    <row r="708" spans="1:16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55"/>
    </row>
    <row r="709" spans="1:16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55"/>
    </row>
    <row r="710" spans="1:16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55"/>
    </row>
    <row r="711" spans="1:16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55"/>
    </row>
    <row r="712" spans="1:16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55"/>
    </row>
    <row r="713" spans="1:16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55"/>
    </row>
    <row r="714" spans="1:16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55"/>
    </row>
    <row r="715" spans="1:16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55"/>
    </row>
    <row r="716" spans="1:16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55"/>
    </row>
    <row r="717" spans="1:16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55"/>
    </row>
    <row r="718" spans="1:16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55"/>
    </row>
    <row r="719" spans="1:16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55"/>
    </row>
    <row r="720" spans="1:16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55"/>
    </row>
    <row r="721" spans="1:16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55"/>
    </row>
    <row r="722" spans="1:16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55"/>
    </row>
    <row r="723" spans="1:16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55"/>
    </row>
    <row r="724" spans="1:16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55"/>
    </row>
    <row r="725" spans="1:16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55"/>
    </row>
    <row r="726" spans="1:16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55"/>
    </row>
    <row r="727" spans="1:16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55"/>
    </row>
    <row r="728" spans="1:16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55"/>
    </row>
    <row r="729" spans="1:16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55"/>
    </row>
    <row r="730" spans="1:16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55"/>
    </row>
    <row r="731" spans="1:16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55"/>
    </row>
    <row r="732" spans="1:16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55"/>
    </row>
    <row r="733" spans="1:16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55"/>
    </row>
    <row r="734" spans="1:16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55"/>
    </row>
    <row r="735" spans="1:16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55"/>
    </row>
    <row r="736" spans="1:16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55"/>
    </row>
    <row r="737" spans="1:16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55"/>
    </row>
    <row r="738" spans="1:16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55"/>
    </row>
    <row r="739" spans="1:16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55"/>
    </row>
    <row r="740" spans="1:16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55"/>
    </row>
    <row r="741" spans="1:16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55"/>
    </row>
    <row r="742" spans="1:16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55"/>
    </row>
    <row r="743" spans="1:16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55"/>
    </row>
    <row r="744" spans="1:16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55"/>
    </row>
    <row r="745" spans="1:16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55"/>
    </row>
    <row r="746" spans="1:16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55"/>
    </row>
    <row r="747" spans="1:16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55"/>
    </row>
    <row r="748" spans="1:16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55"/>
    </row>
    <row r="749" spans="1:16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55"/>
    </row>
    <row r="750" spans="1:16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55"/>
    </row>
    <row r="751" spans="1:16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55"/>
    </row>
    <row r="752" spans="1:16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55"/>
    </row>
    <row r="753" spans="1:16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55"/>
    </row>
    <row r="754" spans="1:16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55"/>
    </row>
    <row r="755" spans="1:16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55"/>
    </row>
    <row r="756" spans="1:16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55"/>
    </row>
    <row r="757" spans="1:16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55"/>
    </row>
    <row r="758" spans="1:16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55"/>
    </row>
    <row r="759" spans="1:16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55"/>
    </row>
    <row r="760" spans="1:16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55"/>
    </row>
    <row r="761" spans="1:16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55"/>
    </row>
    <row r="762" spans="1:16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55"/>
    </row>
    <row r="763" spans="1:16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55"/>
    </row>
    <row r="764" spans="1:16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55"/>
    </row>
    <row r="765" spans="1:16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55"/>
    </row>
    <row r="766" spans="1:16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55"/>
    </row>
    <row r="767" spans="1:16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55"/>
    </row>
    <row r="768" spans="1:16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55"/>
    </row>
    <row r="769" spans="1:16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55"/>
    </row>
    <row r="770" spans="1:16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55"/>
    </row>
    <row r="771" spans="1:16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55"/>
    </row>
    <row r="772" spans="1:16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55"/>
    </row>
    <row r="773" spans="1:16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55"/>
    </row>
    <row r="774" spans="1:16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55"/>
    </row>
    <row r="775" spans="1:16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55"/>
    </row>
    <row r="776" spans="1:16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55"/>
    </row>
    <row r="777" spans="1:16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55"/>
    </row>
    <row r="778" spans="1:16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55"/>
    </row>
    <row r="779" spans="1:16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55"/>
    </row>
    <row r="780" spans="1:16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55"/>
    </row>
    <row r="781" spans="1:16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55"/>
    </row>
    <row r="782" spans="1:16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55"/>
    </row>
    <row r="783" spans="1:16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55"/>
    </row>
    <row r="784" spans="1:16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55"/>
    </row>
    <row r="785" spans="1:16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55"/>
    </row>
    <row r="786" spans="1:16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55"/>
    </row>
    <row r="787" spans="1:16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55"/>
    </row>
    <row r="788" spans="1:16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55"/>
    </row>
    <row r="789" spans="1:16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55"/>
    </row>
    <row r="790" spans="1:16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55"/>
    </row>
    <row r="791" spans="1:16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55"/>
    </row>
    <row r="792" spans="1:16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55"/>
    </row>
    <row r="793" spans="1:16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55"/>
    </row>
    <row r="794" spans="1:16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55"/>
    </row>
    <row r="795" spans="1:16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55"/>
    </row>
    <row r="796" spans="1:16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55"/>
    </row>
    <row r="797" spans="1:16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55"/>
    </row>
    <row r="798" spans="1:16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55"/>
    </row>
    <row r="799" spans="1:16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55"/>
    </row>
    <row r="800" spans="1:16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55"/>
    </row>
    <row r="801" spans="1:16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55"/>
    </row>
    <row r="802" spans="1:16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55"/>
    </row>
    <row r="803" spans="1:16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55"/>
    </row>
    <row r="804" spans="1:16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55"/>
    </row>
    <row r="805" spans="1:16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55"/>
    </row>
    <row r="806" spans="1:16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55"/>
    </row>
    <row r="807" spans="1:16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55"/>
    </row>
    <row r="808" spans="1:16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55"/>
    </row>
    <row r="809" spans="1:16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55"/>
    </row>
    <row r="810" spans="1:16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55"/>
    </row>
    <row r="811" spans="1:16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55"/>
    </row>
    <row r="812" spans="1:16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55"/>
    </row>
    <row r="813" spans="1:16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55"/>
    </row>
    <row r="814" spans="1:16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55"/>
    </row>
    <row r="815" spans="1:16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55"/>
    </row>
    <row r="816" spans="1:16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55"/>
    </row>
    <row r="817" spans="1:16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55"/>
    </row>
    <row r="818" spans="1:16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55"/>
    </row>
    <row r="819" spans="1:16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55"/>
    </row>
    <row r="820" spans="1:16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55"/>
    </row>
    <row r="821" spans="1:16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55"/>
    </row>
    <row r="822" spans="1:16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55"/>
    </row>
    <row r="823" spans="1:16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55"/>
    </row>
    <row r="824" spans="1:16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55"/>
    </row>
    <row r="825" spans="1:16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55"/>
    </row>
    <row r="826" spans="1:16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55"/>
    </row>
    <row r="827" spans="1:16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55"/>
    </row>
    <row r="828" spans="1:16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55"/>
    </row>
    <row r="829" spans="1:16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55"/>
    </row>
    <row r="830" spans="1:16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55"/>
    </row>
    <row r="831" spans="1:16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55"/>
    </row>
    <row r="832" spans="1:16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55"/>
    </row>
    <row r="833" spans="1:16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55"/>
    </row>
    <row r="834" spans="1:16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55"/>
    </row>
    <row r="835" spans="1:16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55"/>
    </row>
    <row r="836" spans="1:16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55"/>
    </row>
    <row r="837" spans="1:16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55"/>
    </row>
    <row r="838" spans="1:16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55"/>
    </row>
    <row r="839" spans="1:16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55"/>
    </row>
    <row r="840" spans="1:16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55"/>
    </row>
    <row r="841" spans="1:16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55"/>
    </row>
    <row r="842" spans="1:16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55"/>
    </row>
    <row r="843" spans="1:16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55"/>
    </row>
    <row r="844" spans="1:16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55"/>
    </row>
    <row r="845" spans="1:16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55"/>
    </row>
    <row r="846" spans="1:16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55"/>
    </row>
    <row r="847" spans="1:16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55"/>
    </row>
    <row r="848" spans="1:16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55"/>
    </row>
    <row r="849" spans="1:16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55"/>
    </row>
    <row r="850" spans="1:16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55"/>
    </row>
    <row r="851" spans="1:16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55"/>
    </row>
    <row r="852" spans="1:16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55"/>
    </row>
    <row r="853" spans="1:16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55"/>
    </row>
    <row r="854" spans="1:16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55"/>
    </row>
    <row r="855" spans="1:16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55"/>
    </row>
    <row r="856" spans="1:16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55"/>
    </row>
    <row r="857" spans="1:16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55"/>
    </row>
    <row r="858" spans="1:16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55"/>
    </row>
    <row r="859" spans="1:16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55"/>
    </row>
    <row r="860" spans="1:16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55"/>
    </row>
    <row r="861" spans="1:16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55"/>
    </row>
    <row r="862" spans="1:16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55"/>
    </row>
    <row r="863" spans="1:16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55"/>
    </row>
    <row r="864" spans="1:16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55"/>
    </row>
    <row r="865" spans="1:16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55"/>
    </row>
    <row r="866" spans="1:16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55"/>
    </row>
    <row r="867" spans="1:16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55"/>
    </row>
    <row r="868" spans="1:16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55"/>
    </row>
    <row r="869" spans="1:16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55"/>
    </row>
    <row r="870" spans="1:16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55"/>
    </row>
    <row r="871" spans="1:16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55"/>
    </row>
    <row r="872" spans="1:16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55"/>
    </row>
    <row r="873" spans="1:16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55"/>
    </row>
    <row r="874" spans="1:16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55"/>
    </row>
    <row r="875" spans="1:16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55"/>
    </row>
    <row r="876" spans="1:16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55"/>
    </row>
    <row r="877" spans="1:16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55"/>
    </row>
    <row r="878" spans="1:16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55"/>
    </row>
    <row r="879" spans="1:16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55"/>
    </row>
    <row r="880" spans="1:16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55"/>
    </row>
    <row r="881" spans="1:16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55"/>
    </row>
    <row r="882" spans="1:16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55"/>
    </row>
    <row r="883" spans="1:16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55"/>
    </row>
    <row r="884" spans="1:16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55"/>
    </row>
    <row r="885" spans="1:16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55"/>
    </row>
    <row r="886" spans="1:16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55"/>
    </row>
    <row r="887" spans="1:16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55"/>
    </row>
    <row r="888" spans="1:16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55"/>
    </row>
    <row r="889" spans="1:16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55"/>
    </row>
    <row r="890" spans="1:16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55"/>
    </row>
    <row r="891" spans="1:16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55"/>
    </row>
    <row r="892" spans="1:16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55"/>
    </row>
    <row r="893" spans="1:16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55"/>
    </row>
    <row r="894" spans="1:16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55"/>
    </row>
    <row r="895" spans="1:16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55"/>
    </row>
    <row r="896" spans="1:16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55"/>
    </row>
    <row r="897" spans="1:16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55"/>
    </row>
    <row r="898" spans="1:16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55"/>
    </row>
    <row r="899" spans="1:16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55"/>
    </row>
    <row r="900" spans="1:16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55"/>
    </row>
    <row r="901" spans="1:16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55"/>
    </row>
    <row r="902" spans="1:16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55"/>
    </row>
    <row r="903" spans="1:16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55"/>
    </row>
    <row r="904" spans="1:16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55"/>
    </row>
    <row r="905" spans="1:16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55"/>
    </row>
    <row r="906" spans="1:16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55"/>
    </row>
    <row r="907" spans="1:16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55"/>
    </row>
    <row r="908" spans="1:16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55"/>
    </row>
    <row r="909" spans="1:16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55"/>
    </row>
    <row r="910" spans="1:16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55"/>
    </row>
    <row r="911" spans="1:16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55"/>
    </row>
    <row r="912" spans="1:16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55"/>
    </row>
    <row r="913" spans="1:16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55"/>
    </row>
    <row r="914" spans="1:16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55"/>
    </row>
    <row r="915" spans="1:16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55"/>
    </row>
    <row r="916" spans="1:16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55"/>
    </row>
    <row r="917" spans="1:16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55"/>
    </row>
    <row r="918" spans="1:16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55"/>
    </row>
    <row r="919" spans="1:16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55"/>
    </row>
    <row r="920" spans="1:16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55"/>
    </row>
    <row r="921" spans="1:16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55"/>
    </row>
    <row r="922" spans="1:16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55"/>
    </row>
    <row r="923" spans="1:16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55"/>
    </row>
    <row r="924" spans="1:16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55"/>
    </row>
    <row r="925" spans="1:16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55"/>
    </row>
    <row r="926" spans="1:16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55"/>
    </row>
    <row r="927" spans="1:16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55"/>
    </row>
    <row r="928" spans="1:16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55"/>
    </row>
    <row r="929" spans="1:16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55"/>
    </row>
    <row r="930" spans="1:16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55"/>
    </row>
    <row r="931" spans="1:16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55"/>
    </row>
    <row r="932" spans="1:16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55"/>
    </row>
    <row r="933" spans="1:16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55"/>
    </row>
    <row r="934" spans="1:16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55"/>
    </row>
    <row r="935" spans="1:16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55"/>
    </row>
    <row r="936" spans="1:16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55"/>
    </row>
    <row r="937" spans="1:16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55"/>
    </row>
    <row r="938" spans="1:16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55"/>
    </row>
    <row r="939" spans="1:16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55"/>
    </row>
    <row r="940" spans="1:16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55"/>
    </row>
    <row r="941" spans="1:16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55"/>
    </row>
    <row r="942" spans="1:16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55"/>
    </row>
    <row r="943" spans="1:16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55"/>
    </row>
    <row r="944" spans="1:16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55"/>
    </row>
    <row r="945" spans="1:16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55"/>
    </row>
    <row r="946" spans="1:16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55"/>
    </row>
    <row r="947" spans="1:16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55"/>
    </row>
    <row r="948" spans="1:16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55"/>
    </row>
    <row r="949" spans="1:16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55"/>
    </row>
    <row r="950" spans="1:16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55"/>
    </row>
    <row r="951" spans="1:16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55"/>
    </row>
    <row r="952" spans="1:16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55"/>
    </row>
    <row r="953" spans="1:16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55"/>
    </row>
    <row r="954" spans="1:16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55"/>
    </row>
    <row r="955" spans="1:16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55"/>
    </row>
    <row r="956" spans="1:16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55"/>
    </row>
    <row r="957" spans="1:16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55"/>
    </row>
    <row r="958" spans="1:16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55"/>
    </row>
    <row r="959" spans="1:16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55"/>
    </row>
    <row r="960" spans="1:16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55"/>
    </row>
    <row r="961" spans="1:16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55"/>
    </row>
    <row r="962" spans="1:16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55"/>
    </row>
    <row r="963" spans="1:16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55"/>
    </row>
    <row r="964" spans="1:16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55"/>
    </row>
    <row r="965" spans="1:16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55"/>
    </row>
    <row r="966" spans="1:16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55"/>
    </row>
    <row r="967" spans="1:16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55"/>
    </row>
    <row r="968" spans="1:16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55"/>
    </row>
    <row r="969" spans="1:16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55"/>
    </row>
    <row r="970" spans="1:16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55"/>
    </row>
    <row r="971" spans="1:16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55"/>
    </row>
    <row r="972" spans="1:16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55"/>
    </row>
    <row r="973" spans="1:16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55"/>
    </row>
    <row r="974" spans="1:16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55"/>
    </row>
    <row r="975" spans="1:16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55"/>
    </row>
    <row r="976" spans="1:16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55"/>
    </row>
    <row r="977" spans="1:16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55"/>
    </row>
    <row r="978" spans="1:16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55"/>
    </row>
    <row r="979" spans="1:16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55"/>
    </row>
    <row r="980" spans="1:16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55"/>
    </row>
    <row r="981" spans="1:16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55"/>
    </row>
    <row r="982" spans="1:16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55"/>
    </row>
    <row r="983" spans="1:16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55"/>
    </row>
    <row r="984" spans="1:16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55"/>
    </row>
    <row r="985" spans="1:16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55"/>
    </row>
    <row r="986" spans="1:16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55"/>
    </row>
    <row r="987" spans="1:16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55"/>
    </row>
    <row r="988" spans="1:16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55"/>
    </row>
    <row r="989" spans="1:16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55"/>
    </row>
    <row r="990" spans="1:16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55"/>
    </row>
    <row r="991" spans="1:16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55"/>
    </row>
    <row r="992" spans="1:16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55"/>
    </row>
    <row r="993" spans="1:16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55"/>
    </row>
    <row r="994" spans="1:16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55"/>
    </row>
    <row r="995" spans="1:16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55"/>
    </row>
    <row r="996" spans="1:16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55"/>
    </row>
    <row r="997" spans="1:16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55"/>
    </row>
    <row r="998" spans="1:16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55"/>
    </row>
    <row r="999" spans="1:16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55"/>
    </row>
    <row r="1000" spans="1:16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55"/>
    </row>
    <row r="1001" spans="1:16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55"/>
    </row>
    <row r="1002" spans="1:16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55"/>
    </row>
    <row r="1003" spans="1:16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55"/>
    </row>
    <row r="1004" spans="1:16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55"/>
    </row>
    <row r="1005" spans="1:16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55"/>
    </row>
    <row r="1006" spans="1:16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55"/>
    </row>
    <row r="1007" spans="1:16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55"/>
    </row>
    <row r="1008" spans="1:16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55"/>
    </row>
    <row r="1009" spans="1:16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55"/>
    </row>
    <row r="1010" spans="1:16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55"/>
    </row>
    <row r="1011" spans="1:16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55"/>
    </row>
    <row r="1012" spans="1:16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55"/>
    </row>
    <row r="1013" spans="1:16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55"/>
    </row>
    <row r="1014" spans="1:16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55"/>
    </row>
    <row r="1015" spans="1:16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55"/>
    </row>
    <row r="1016" spans="1:16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55"/>
    </row>
    <row r="1017" spans="1:16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55"/>
    </row>
    <row r="1018" spans="1:16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55"/>
    </row>
    <row r="1019" spans="1:16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55"/>
    </row>
    <row r="1020" spans="1:16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55"/>
    </row>
    <row r="1021" spans="1:16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55"/>
    </row>
    <row r="1022" spans="1:16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55"/>
    </row>
    <row r="1023" spans="1:16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55"/>
    </row>
    <row r="1024" spans="1:16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55"/>
    </row>
    <row r="1025" spans="1:16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55"/>
    </row>
    <row r="1026" spans="1:16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55"/>
    </row>
    <row r="1027" spans="1:16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55"/>
    </row>
    <row r="1028" spans="1:16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55"/>
    </row>
    <row r="1029" spans="1:16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55"/>
    </row>
    <row r="1030" spans="1:16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55"/>
    </row>
    <row r="1031" spans="1:16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55"/>
    </row>
    <row r="1032" spans="1:16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55"/>
    </row>
    <row r="1033" spans="1:16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55"/>
    </row>
    <row r="1034" spans="1:16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55"/>
    </row>
    <row r="1035" spans="1:16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55"/>
    </row>
    <row r="1036" spans="1:16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55"/>
    </row>
    <row r="1037" spans="1:16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55"/>
    </row>
    <row r="1038" spans="1:16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55"/>
    </row>
    <row r="1039" spans="1:16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55"/>
    </row>
    <row r="1040" spans="1:16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55"/>
    </row>
    <row r="1041" spans="1:16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55"/>
    </row>
    <row r="1042" spans="1:16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55"/>
    </row>
    <row r="1043" spans="1:16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55"/>
    </row>
    <row r="1044" spans="1:16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55"/>
    </row>
    <row r="1045" spans="1:16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55"/>
    </row>
    <row r="1046" spans="1:16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55"/>
    </row>
    <row r="1047" spans="1:16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55"/>
    </row>
    <row r="1048" spans="1:16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55"/>
    </row>
    <row r="1049" spans="1:16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55"/>
    </row>
    <row r="1050" spans="1:16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55"/>
    </row>
    <row r="1051" spans="1:16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55"/>
    </row>
    <row r="1052" spans="1:16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55"/>
    </row>
    <row r="1053" spans="1:16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55"/>
    </row>
    <row r="1054" spans="1:16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55"/>
    </row>
    <row r="1055" spans="1:16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55"/>
    </row>
    <row r="1056" spans="1:16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55"/>
    </row>
    <row r="1057" spans="1:16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55"/>
    </row>
    <row r="1058" spans="1:16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55"/>
    </row>
    <row r="1059" spans="1:16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55"/>
    </row>
    <row r="1060" spans="1:16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55"/>
    </row>
    <row r="1061" spans="1:16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55"/>
    </row>
    <row r="1062" spans="1:16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55"/>
    </row>
    <row r="1063" spans="1:16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55"/>
    </row>
    <row r="1064" spans="1:16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55"/>
    </row>
    <row r="1065" spans="1:16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55"/>
    </row>
    <row r="1066" spans="1:16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55"/>
    </row>
    <row r="1067" spans="1:16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55"/>
    </row>
    <row r="1068" spans="1:16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55"/>
    </row>
    <row r="1069" spans="1:16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55"/>
    </row>
    <row r="1070" spans="1:16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55"/>
    </row>
    <row r="1071" spans="1:16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55"/>
    </row>
    <row r="1072" spans="1:16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55"/>
    </row>
    <row r="1073" spans="1:16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55"/>
    </row>
    <row r="1074" spans="1:16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55"/>
    </row>
    <row r="1075" spans="1:16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55"/>
    </row>
    <row r="1076" spans="1:16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55"/>
    </row>
    <row r="1077" spans="1:16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55"/>
    </row>
    <row r="1078" spans="1:16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55"/>
    </row>
    <row r="1079" spans="1:16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55"/>
    </row>
    <row r="1080" spans="1:16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55"/>
    </row>
    <row r="1081" spans="1:16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55"/>
    </row>
    <row r="1082" spans="1:16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55"/>
    </row>
    <row r="1083" spans="1:16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55"/>
    </row>
    <row r="1084" spans="1:16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55"/>
    </row>
    <row r="1085" spans="1:16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55"/>
    </row>
    <row r="1086" spans="1:16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55"/>
    </row>
    <row r="1087" spans="1:16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55"/>
    </row>
    <row r="1088" spans="1:16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55"/>
    </row>
    <row r="1089" spans="1:16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55"/>
    </row>
    <row r="1090" spans="1:16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55"/>
    </row>
    <row r="1091" spans="1:16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55"/>
    </row>
    <row r="1092" spans="1:16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55"/>
    </row>
    <row r="1093" spans="1:16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55"/>
    </row>
    <row r="1094" spans="1:16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55"/>
    </row>
    <row r="1095" spans="1:16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55"/>
    </row>
    <row r="1096" spans="1:16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55"/>
    </row>
    <row r="1097" spans="1:16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55"/>
    </row>
    <row r="1098" spans="1:16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55"/>
    </row>
    <row r="1099" spans="1:16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55"/>
    </row>
    <row r="1100" spans="1:16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55"/>
    </row>
    <row r="1101" spans="1:16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55"/>
    </row>
    <row r="1102" spans="1:16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55"/>
    </row>
    <row r="1103" spans="1:16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55"/>
    </row>
    <row r="1104" spans="1:16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55"/>
    </row>
    <row r="1105" spans="1:16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55"/>
    </row>
    <row r="1106" spans="1:16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55"/>
    </row>
    <row r="1107" spans="1:16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55"/>
    </row>
    <row r="1108" spans="1:16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55"/>
    </row>
    <row r="1109" spans="1:16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55"/>
    </row>
    <row r="1110" spans="1:16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55"/>
    </row>
    <row r="1111" spans="1:16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55"/>
    </row>
    <row r="1112" spans="1:16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55"/>
    </row>
    <row r="1113" spans="1:16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55"/>
    </row>
    <row r="1114" spans="1:16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55"/>
    </row>
    <row r="1115" spans="1:16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55"/>
    </row>
    <row r="1116" spans="1:16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55"/>
    </row>
    <row r="1117" spans="1:16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55"/>
    </row>
    <row r="1118" spans="1:16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55"/>
    </row>
    <row r="1119" spans="1:16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55"/>
    </row>
    <row r="1120" spans="1:16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55"/>
    </row>
    <row r="1121" spans="1:16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55"/>
    </row>
    <row r="1122" spans="1:16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55"/>
    </row>
    <row r="1123" spans="1:16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55"/>
    </row>
    <row r="1124" spans="1:16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55"/>
    </row>
    <row r="1125" spans="1:16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55"/>
    </row>
    <row r="1126" spans="1:16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55"/>
    </row>
    <row r="1127" spans="1:16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55"/>
    </row>
    <row r="1128" spans="1:16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55"/>
    </row>
    <row r="1129" spans="1:16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55"/>
    </row>
    <row r="1130" spans="1:16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55"/>
    </row>
    <row r="1131" spans="1:16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55"/>
    </row>
    <row r="1132" spans="1:16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55"/>
    </row>
    <row r="1133" spans="1:16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55"/>
    </row>
    <row r="1134" spans="1:16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55"/>
    </row>
    <row r="1135" spans="1:16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55"/>
    </row>
    <row r="1136" spans="1:16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55"/>
    </row>
    <row r="1137" spans="1:16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55"/>
    </row>
    <row r="1138" spans="1:16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55"/>
    </row>
    <row r="1139" spans="1:16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55"/>
    </row>
    <row r="1140" spans="1:16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55"/>
    </row>
    <row r="1141" spans="1:16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55"/>
    </row>
    <row r="1142" spans="1:16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55"/>
    </row>
    <row r="1143" spans="1:16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55"/>
    </row>
    <row r="1144" spans="1:16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55"/>
    </row>
    <row r="1145" spans="1:16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55"/>
    </row>
    <row r="1146" spans="1:16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55"/>
    </row>
    <row r="1147" spans="1:16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55"/>
    </row>
    <row r="1148" spans="1:16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55"/>
    </row>
    <row r="1149" spans="1:16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55"/>
    </row>
    <row r="1150" spans="1:16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55"/>
    </row>
    <row r="1151" spans="1:16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55"/>
    </row>
    <row r="1152" spans="1:16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55"/>
    </row>
    <row r="1153" spans="1:16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55"/>
    </row>
    <row r="1154" spans="1:16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55"/>
    </row>
    <row r="1155" spans="1:16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55"/>
    </row>
    <row r="1156" spans="1:16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55"/>
    </row>
    <row r="1157" spans="1:16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55"/>
    </row>
    <row r="1158" spans="1:16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55"/>
    </row>
    <row r="1159" spans="1:16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55"/>
    </row>
    <row r="1160" spans="1:16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55"/>
    </row>
    <row r="1161" spans="1:16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55"/>
    </row>
    <row r="1162" spans="1:16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55"/>
    </row>
    <row r="1163" spans="1:16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55"/>
    </row>
    <row r="1164" spans="1:16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55"/>
    </row>
    <row r="1165" spans="1:16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55"/>
    </row>
    <row r="1166" spans="1:16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55"/>
    </row>
    <row r="1167" spans="1:16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55"/>
    </row>
    <row r="1168" spans="1:16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55"/>
    </row>
    <row r="1169" spans="1:16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55"/>
    </row>
    <row r="1170" spans="1:16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55"/>
    </row>
    <row r="1171" spans="1:16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55"/>
    </row>
    <row r="1172" spans="1:16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55"/>
    </row>
    <row r="1173" spans="1:16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55"/>
    </row>
    <row r="1174" spans="1:16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55"/>
    </row>
    <row r="1175" spans="1:16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55"/>
    </row>
    <row r="1176" spans="1:16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55"/>
    </row>
    <row r="1177" spans="1:16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55"/>
    </row>
    <row r="1178" spans="1:16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55"/>
    </row>
    <row r="1179" spans="1:16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55"/>
    </row>
    <row r="1180" spans="1:16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55"/>
    </row>
    <row r="1181" spans="1:16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55"/>
    </row>
    <row r="1182" spans="1:16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55"/>
    </row>
    <row r="1183" spans="1:16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55"/>
    </row>
    <row r="1184" spans="1:16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55"/>
    </row>
    <row r="1185" spans="1:16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55"/>
    </row>
    <row r="1186" spans="1:16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55"/>
    </row>
    <row r="1187" spans="1:16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55"/>
    </row>
    <row r="1188" spans="1:16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55"/>
    </row>
    <row r="1189" spans="1:16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55"/>
    </row>
    <row r="1190" spans="1:16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55"/>
    </row>
    <row r="1191" spans="1:16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55"/>
    </row>
    <row r="1192" spans="1:16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55"/>
    </row>
    <row r="1193" spans="1:16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55"/>
    </row>
    <row r="1194" spans="1:16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55"/>
    </row>
    <row r="1195" spans="1:16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55"/>
    </row>
    <row r="1196" spans="1:16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55"/>
    </row>
    <row r="1197" spans="1:16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55"/>
    </row>
    <row r="1198" spans="1:16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55"/>
    </row>
    <row r="1199" spans="1:16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55"/>
    </row>
    <row r="1200" spans="1:16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55"/>
    </row>
    <row r="1201" spans="1:16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55"/>
    </row>
    <row r="1202" spans="1:16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55"/>
    </row>
    <row r="1203" spans="1:16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55"/>
    </row>
    <row r="1204" spans="1:16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55"/>
    </row>
    <row r="1205" spans="1:16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55"/>
    </row>
    <row r="1206" spans="1:16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55"/>
    </row>
    <row r="1207" spans="1:16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55"/>
    </row>
    <row r="1208" spans="1:16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55"/>
    </row>
    <row r="1209" spans="1:16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55"/>
    </row>
    <row r="1210" spans="1:16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55"/>
    </row>
    <row r="1211" spans="1:16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55"/>
    </row>
    <row r="1212" spans="1:16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55"/>
    </row>
    <row r="1213" spans="1:16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55"/>
    </row>
    <row r="1214" spans="1:16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55"/>
    </row>
    <row r="1215" spans="1:16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55"/>
    </row>
    <row r="1216" spans="1:16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55"/>
    </row>
    <row r="1217" spans="1:16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55"/>
    </row>
    <row r="1218" spans="1:16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55"/>
    </row>
    <row r="1219" spans="1:16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55"/>
    </row>
    <row r="1220" spans="1:16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55"/>
    </row>
    <row r="1221" spans="1:16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55"/>
    </row>
    <row r="1222" spans="1:16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55"/>
    </row>
    <row r="1223" spans="1:16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55"/>
    </row>
    <row r="1224" spans="1:16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55"/>
    </row>
    <row r="1225" spans="1:16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55"/>
    </row>
    <row r="1226" spans="1:16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55"/>
    </row>
    <row r="1227" spans="1:16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55"/>
    </row>
    <row r="1228" spans="1:16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55"/>
    </row>
    <row r="1229" spans="1:16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55"/>
    </row>
    <row r="1230" spans="1:16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55"/>
    </row>
    <row r="1231" spans="1:16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55"/>
    </row>
    <row r="1232" spans="1:16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55"/>
    </row>
    <row r="1233" spans="1:16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55"/>
    </row>
    <row r="1234" spans="1:16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55"/>
    </row>
    <row r="1235" spans="1:16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55"/>
    </row>
    <row r="1236" spans="1:16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55"/>
    </row>
    <row r="1237" spans="1:16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55"/>
    </row>
    <row r="1238" spans="1:16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55"/>
    </row>
    <row r="1239" spans="1:16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55"/>
    </row>
    <row r="1240" spans="1:16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55"/>
    </row>
    <row r="1241" spans="1:16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55"/>
    </row>
    <row r="1242" spans="1:16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55"/>
    </row>
    <row r="1243" spans="1:16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55"/>
    </row>
    <row r="1244" spans="1:16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55"/>
    </row>
    <row r="1245" spans="1:16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55"/>
    </row>
    <row r="1246" spans="1:16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55"/>
    </row>
    <row r="1247" spans="1:16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55"/>
    </row>
    <row r="1248" spans="1:16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55"/>
    </row>
    <row r="1249" spans="1:16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55"/>
    </row>
    <row r="1250" spans="1:16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55"/>
    </row>
    <row r="1251" spans="1:16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55"/>
    </row>
    <row r="1252" spans="1:16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55"/>
    </row>
    <row r="1253" spans="1:16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55"/>
    </row>
    <row r="1254" spans="1:16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55"/>
    </row>
    <row r="1255" spans="1:16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55"/>
    </row>
    <row r="1256" spans="1:16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55"/>
    </row>
    <row r="1257" spans="1:16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55"/>
    </row>
    <row r="1258" spans="1:16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55"/>
    </row>
    <row r="1259" spans="1:16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55"/>
    </row>
    <row r="1260" spans="1:16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55"/>
    </row>
    <row r="1261" spans="1:16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55"/>
    </row>
    <row r="1262" spans="1:16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55"/>
    </row>
    <row r="1263" spans="1:16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55"/>
    </row>
    <row r="1264" spans="1:16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55"/>
    </row>
    <row r="1265" spans="1:16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55"/>
    </row>
    <row r="1266" spans="1:16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55"/>
    </row>
    <row r="1267" spans="1:16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55"/>
    </row>
    <row r="1268" spans="1:16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55"/>
    </row>
    <row r="1269" spans="1:16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55"/>
    </row>
    <row r="1270" spans="1:16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55"/>
    </row>
    <row r="1271" spans="1:16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55"/>
    </row>
    <row r="1272" spans="1:16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55"/>
    </row>
    <row r="1273" spans="1:16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55"/>
    </row>
    <row r="1274" spans="1:16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55"/>
    </row>
    <row r="1275" spans="1:16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55"/>
    </row>
    <row r="1276" spans="1:16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55"/>
    </row>
    <row r="1277" spans="1:16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55"/>
    </row>
    <row r="1278" spans="1:16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55"/>
    </row>
    <row r="1279" spans="1:16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55"/>
    </row>
    <row r="1280" spans="1:16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55"/>
    </row>
    <row r="1281" spans="1:16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55"/>
    </row>
    <row r="1282" spans="1:16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55"/>
    </row>
    <row r="1283" spans="1:16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55"/>
    </row>
    <row r="1284" spans="1:16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55"/>
    </row>
    <row r="1285" spans="1:16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55"/>
    </row>
    <row r="1286" spans="1:16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55"/>
    </row>
    <row r="1287" spans="1:16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55"/>
    </row>
    <row r="1288" spans="1:16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55"/>
    </row>
    <row r="1289" spans="1:16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55"/>
    </row>
    <row r="1290" spans="1:16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55"/>
    </row>
    <row r="1291" spans="1:16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55"/>
    </row>
    <row r="1292" spans="1:16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55"/>
    </row>
    <row r="1293" spans="1:16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55"/>
    </row>
    <row r="1294" spans="1:16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55"/>
    </row>
    <row r="1295" spans="1:16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55"/>
    </row>
    <row r="1296" spans="1:16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55"/>
    </row>
    <row r="1297" spans="1:16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55"/>
    </row>
    <row r="1298" spans="1:16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55"/>
    </row>
    <row r="1299" spans="1:16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55"/>
    </row>
    <row r="1300" spans="1:16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55"/>
    </row>
    <row r="1301" spans="1:16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55"/>
    </row>
    <row r="1302" spans="1:16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55"/>
    </row>
    <row r="1303" spans="1:16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55"/>
    </row>
    <row r="1304" spans="1:16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55"/>
    </row>
    <row r="1305" spans="1:16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55"/>
    </row>
    <row r="1306" spans="1:16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55"/>
    </row>
    <row r="1307" spans="1:16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55"/>
    </row>
    <row r="1308" spans="1:16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55"/>
    </row>
    <row r="1309" spans="1:16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55"/>
    </row>
    <row r="1310" spans="1:16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55"/>
    </row>
    <row r="1311" spans="1:16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55"/>
    </row>
    <row r="1312" spans="1:16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55"/>
    </row>
    <row r="1313" spans="1:16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55"/>
    </row>
    <row r="1314" spans="1:16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55"/>
    </row>
    <row r="1315" spans="1:16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55"/>
    </row>
    <row r="1316" spans="1:16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55"/>
    </row>
    <row r="1317" spans="1:16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55"/>
    </row>
    <row r="1318" spans="1:16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55"/>
    </row>
    <row r="1319" spans="1:16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55"/>
    </row>
    <row r="1320" spans="1:16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55"/>
    </row>
    <row r="1321" spans="1:16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55"/>
    </row>
    <row r="1322" spans="1:16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55"/>
    </row>
    <row r="1323" spans="1:16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55"/>
    </row>
    <row r="1324" spans="1:16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55"/>
    </row>
    <row r="1325" spans="1:16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55"/>
    </row>
    <row r="1326" spans="1:16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55"/>
    </row>
    <row r="1327" spans="1:16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55"/>
    </row>
    <row r="1328" spans="1:16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55"/>
    </row>
    <row r="1329" spans="1:16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55"/>
    </row>
    <row r="1330" spans="1:16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55"/>
    </row>
    <row r="1331" spans="1:16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55"/>
    </row>
    <row r="1332" spans="1:16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55"/>
    </row>
    <row r="1333" spans="1:16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55"/>
    </row>
    <row r="1334" spans="1:16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55"/>
    </row>
    <row r="1335" spans="1:16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55"/>
    </row>
    <row r="1336" spans="1:16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55"/>
    </row>
    <row r="1337" spans="1:16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55"/>
    </row>
    <row r="1338" spans="1:16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55"/>
    </row>
    <row r="1339" spans="1:16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55"/>
    </row>
    <row r="1340" spans="1:16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55"/>
    </row>
    <row r="1341" spans="1:16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55"/>
    </row>
    <row r="1342" spans="1:16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55"/>
    </row>
    <row r="1343" spans="1:16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55"/>
    </row>
    <row r="1344" spans="1:16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55"/>
    </row>
    <row r="1345" spans="1:16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55"/>
    </row>
    <row r="1346" spans="1:16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55"/>
    </row>
    <row r="1347" spans="1:16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55"/>
    </row>
    <row r="1348" spans="1:16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55"/>
    </row>
    <row r="1349" spans="1:16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55"/>
    </row>
    <row r="1350" spans="1:16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55"/>
    </row>
    <row r="1351" spans="1:16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55"/>
    </row>
    <row r="1352" spans="1:16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55"/>
    </row>
    <row r="1353" spans="1:16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55"/>
    </row>
    <row r="1354" spans="1:16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55"/>
    </row>
    <row r="1355" spans="1:16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55"/>
    </row>
    <row r="1356" spans="1:16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55"/>
    </row>
    <row r="1357" spans="1:16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55"/>
    </row>
    <row r="1358" spans="1:16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55"/>
    </row>
    <row r="1359" spans="1:16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55"/>
    </row>
    <row r="1360" spans="1:16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55"/>
    </row>
    <row r="1361" spans="1:16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55"/>
    </row>
    <row r="1362" spans="1:16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55"/>
    </row>
    <row r="1363" spans="1:16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55"/>
    </row>
    <row r="1364" spans="1:16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55"/>
    </row>
    <row r="1365" spans="1:16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55"/>
    </row>
    <row r="1366" spans="1:16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55"/>
    </row>
    <row r="1367" spans="1:16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55"/>
    </row>
    <row r="1368" spans="1:16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55"/>
    </row>
    <row r="1369" spans="1:16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55"/>
    </row>
    <row r="1370" spans="1:16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55"/>
    </row>
    <row r="1371" spans="1:16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55"/>
    </row>
    <row r="1372" spans="1:16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55"/>
    </row>
    <row r="1373" spans="1:16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55"/>
    </row>
    <row r="1374" spans="1:16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55"/>
    </row>
    <row r="1375" spans="1:16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55"/>
    </row>
    <row r="1376" spans="1:16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55"/>
    </row>
    <row r="1377" spans="1:16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55"/>
    </row>
    <row r="1378" spans="1:16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55"/>
    </row>
    <row r="1379" spans="1:16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55"/>
    </row>
    <row r="1380" spans="1:16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55"/>
    </row>
    <row r="1381" spans="1:16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55"/>
    </row>
    <row r="1382" spans="1:16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55"/>
    </row>
    <row r="1383" spans="1:16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55"/>
    </row>
    <row r="1384" spans="1:16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55"/>
    </row>
    <row r="1385" spans="1:16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55"/>
    </row>
    <row r="1386" spans="1:16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55"/>
    </row>
    <row r="1387" spans="1:16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55"/>
    </row>
    <row r="1388" spans="1:16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55"/>
    </row>
    <row r="1389" spans="1:16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55"/>
    </row>
    <row r="1390" spans="1:16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55"/>
    </row>
    <row r="1391" spans="1:16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55"/>
    </row>
    <row r="1392" spans="1:16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55"/>
    </row>
    <row r="1393" spans="1:16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55"/>
    </row>
    <row r="1394" spans="1:16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55"/>
    </row>
    <row r="1395" spans="1:16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55"/>
    </row>
    <row r="1396" spans="1:16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55"/>
    </row>
    <row r="1397" spans="1:16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55"/>
    </row>
    <row r="1398" spans="1:16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55"/>
    </row>
    <row r="1399" spans="1:16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55"/>
    </row>
    <row r="1400" spans="1:16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55"/>
    </row>
    <row r="1401" spans="1:16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55"/>
    </row>
    <row r="1402" spans="1:16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55"/>
    </row>
    <row r="1403" spans="1:16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55"/>
    </row>
    <row r="1404" spans="1:16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55"/>
    </row>
    <row r="1405" spans="1:16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55"/>
    </row>
    <row r="1406" spans="1:16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55"/>
    </row>
    <row r="1407" spans="1:16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55"/>
    </row>
    <row r="1408" spans="1:16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55"/>
    </row>
    <row r="1409" spans="1:16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55"/>
    </row>
    <row r="1410" spans="1:16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55"/>
    </row>
    <row r="1411" spans="1:16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55"/>
    </row>
    <row r="1412" spans="1:16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55"/>
    </row>
    <row r="1413" spans="1:16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55"/>
    </row>
    <row r="1414" spans="1:16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55"/>
    </row>
    <row r="1415" spans="1:16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55"/>
    </row>
    <row r="1416" spans="1:16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55"/>
    </row>
    <row r="1417" spans="1:16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55"/>
    </row>
    <row r="1418" spans="1:16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55"/>
    </row>
    <row r="1419" spans="1:16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55"/>
    </row>
    <row r="1420" spans="1:16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55"/>
    </row>
    <row r="1421" spans="1:16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55"/>
    </row>
    <row r="1422" spans="1:16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55"/>
    </row>
    <row r="1423" spans="1:16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55"/>
    </row>
    <row r="1424" spans="1:16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55"/>
    </row>
    <row r="1425" spans="1:16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55"/>
    </row>
    <row r="1426" spans="1:16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55"/>
    </row>
    <row r="1427" spans="1:16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55"/>
    </row>
    <row r="1428" spans="1:16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55"/>
    </row>
    <row r="1429" spans="1:16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55"/>
    </row>
    <row r="1430" spans="1:16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55"/>
    </row>
    <row r="1431" spans="1:16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55"/>
    </row>
    <row r="1432" spans="1:16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55"/>
    </row>
    <row r="1433" spans="1:16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55"/>
    </row>
    <row r="1434" spans="1:16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55"/>
    </row>
    <row r="1435" spans="1:16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55"/>
    </row>
    <row r="1436" spans="1:16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55"/>
    </row>
    <row r="1437" spans="1:16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55"/>
    </row>
    <row r="1438" spans="1:16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55"/>
    </row>
    <row r="1439" spans="1:16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55"/>
    </row>
    <row r="1440" spans="1:16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55"/>
    </row>
    <row r="1441" spans="1:16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55"/>
    </row>
    <row r="1442" spans="1:16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55"/>
    </row>
    <row r="1443" spans="1:16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55"/>
    </row>
    <row r="1444" spans="1:16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55"/>
    </row>
    <row r="1445" spans="1:16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55"/>
    </row>
    <row r="1446" spans="1:16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55"/>
    </row>
    <row r="1447" spans="1:16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55"/>
    </row>
    <row r="1448" spans="1:16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55"/>
    </row>
    <row r="1449" spans="1:16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55"/>
    </row>
    <row r="1450" spans="1:16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55"/>
    </row>
    <row r="1451" spans="1:16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55"/>
    </row>
    <row r="1452" spans="1:16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55"/>
    </row>
    <row r="1453" spans="1:16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55"/>
    </row>
    <row r="1454" spans="1:16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55"/>
    </row>
    <row r="1455" spans="1:16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55"/>
    </row>
    <row r="1456" spans="1:16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55"/>
    </row>
    <row r="1457" spans="1:16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55"/>
    </row>
    <row r="1458" spans="1:16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55"/>
    </row>
    <row r="1459" spans="1:16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55"/>
    </row>
    <row r="1460" spans="1:16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55"/>
    </row>
    <row r="1461" spans="1:16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55"/>
    </row>
    <row r="1462" spans="1:16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55"/>
    </row>
    <row r="1463" spans="1:16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55"/>
    </row>
    <row r="1464" spans="1:16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55"/>
    </row>
    <row r="1465" spans="1:16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55"/>
    </row>
    <row r="1466" spans="1:16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55"/>
    </row>
    <row r="1467" spans="1:16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55"/>
    </row>
    <row r="1468" spans="1:16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55"/>
    </row>
    <row r="1469" spans="1:16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55"/>
    </row>
    <row r="1470" spans="1:16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55"/>
    </row>
    <row r="1471" spans="1:16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55"/>
    </row>
    <row r="1472" spans="1:16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55"/>
    </row>
    <row r="1473" spans="1:16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55"/>
    </row>
    <row r="1474" spans="1:16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55"/>
    </row>
    <row r="1475" spans="1:16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55"/>
    </row>
    <row r="1476" spans="1:16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55"/>
    </row>
    <row r="1477" spans="1:16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55"/>
    </row>
    <row r="1478" spans="1:16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55"/>
    </row>
    <row r="1479" spans="1:16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55"/>
    </row>
    <row r="1480" spans="1:16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55"/>
    </row>
    <row r="1481" spans="1:16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55"/>
    </row>
    <row r="1482" spans="1:16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55"/>
    </row>
    <row r="1483" spans="1:16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55"/>
    </row>
    <row r="1484" spans="1:16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55"/>
    </row>
    <row r="1485" spans="1:16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55"/>
    </row>
    <row r="1486" spans="1:16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55"/>
    </row>
    <row r="1487" spans="1:16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55"/>
    </row>
    <row r="1488" spans="1:16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55"/>
    </row>
    <row r="1489" spans="1:16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55"/>
    </row>
    <row r="1490" spans="1:16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55"/>
    </row>
    <row r="1491" spans="1:16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55"/>
    </row>
    <row r="1492" spans="1:16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55"/>
    </row>
    <row r="1493" spans="1:16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55"/>
    </row>
    <row r="1494" spans="1:16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55"/>
    </row>
    <row r="1495" spans="1:16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55"/>
    </row>
    <row r="1496" spans="1:16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55"/>
    </row>
    <row r="1497" spans="1:16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55"/>
    </row>
    <row r="1498" spans="1:16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55"/>
    </row>
    <row r="1499" spans="1:16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55"/>
    </row>
    <row r="1500" spans="1:16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55"/>
    </row>
    <row r="1501" spans="1:16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55"/>
    </row>
    <row r="1502" spans="1:16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55"/>
    </row>
    <row r="1503" spans="1:16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55"/>
    </row>
    <row r="1504" spans="1:16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55"/>
    </row>
    <row r="1505" spans="1:16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55"/>
    </row>
    <row r="1506" spans="1:16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55"/>
    </row>
    <row r="1507" spans="1:16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55"/>
    </row>
    <row r="1508" spans="1:16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55"/>
    </row>
    <row r="1509" spans="1:16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55"/>
    </row>
    <row r="1510" spans="1:16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55"/>
    </row>
    <row r="1511" spans="1:16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55"/>
    </row>
    <row r="1512" spans="1:16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55"/>
    </row>
    <row r="1513" spans="1:16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55"/>
    </row>
    <row r="1514" spans="1:16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55"/>
    </row>
    <row r="1515" spans="1:16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55"/>
    </row>
    <row r="1516" spans="1:16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55"/>
    </row>
    <row r="1517" spans="1:16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55"/>
    </row>
    <row r="1518" spans="1:16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55"/>
    </row>
    <row r="1519" spans="1:16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55"/>
    </row>
    <row r="1520" spans="1:16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55"/>
    </row>
    <row r="1521" spans="1:16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55"/>
    </row>
    <row r="1522" spans="1:16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55"/>
    </row>
    <row r="1523" spans="1:16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55"/>
    </row>
    <row r="1524" spans="1:16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55"/>
    </row>
    <row r="1525" spans="1:16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55"/>
    </row>
    <row r="1526" spans="1:16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55"/>
    </row>
    <row r="1527" spans="1:16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55"/>
    </row>
    <row r="1528" spans="1:16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55"/>
    </row>
    <row r="1529" spans="1:16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55"/>
    </row>
    <row r="1530" spans="1:16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55"/>
    </row>
    <row r="1531" spans="1:16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55"/>
    </row>
    <row r="1532" spans="1:16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55"/>
    </row>
    <row r="1533" spans="1:16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55"/>
    </row>
    <row r="1534" spans="1:16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55"/>
    </row>
    <row r="1535" spans="1:16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55"/>
    </row>
    <row r="1536" spans="1:16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55"/>
    </row>
    <row r="1537" spans="1:16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55"/>
    </row>
    <row r="1538" spans="1:16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55"/>
    </row>
    <row r="1539" spans="1:16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55"/>
    </row>
    <row r="1540" spans="1:16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55"/>
    </row>
    <row r="1541" spans="1:16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55"/>
    </row>
    <row r="1542" spans="1:16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55"/>
    </row>
    <row r="1543" spans="1:16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55"/>
    </row>
    <row r="1544" spans="1:16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55"/>
    </row>
    <row r="1545" spans="1:16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55"/>
    </row>
    <row r="1546" spans="1:16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55"/>
    </row>
    <row r="1547" spans="1:16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55"/>
    </row>
    <row r="1548" spans="1:16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55"/>
    </row>
    <row r="1549" spans="1:16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55"/>
    </row>
    <row r="1550" spans="1:16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55"/>
    </row>
    <row r="1551" spans="1:16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55"/>
    </row>
    <row r="1552" spans="1:16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55"/>
    </row>
    <row r="1553" spans="1:16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55"/>
    </row>
    <row r="1554" spans="1:16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55"/>
    </row>
    <row r="1555" spans="1:16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55"/>
    </row>
    <row r="1556" spans="1:16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55"/>
    </row>
    <row r="1557" spans="1:16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55"/>
    </row>
    <row r="1558" spans="1:16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55"/>
    </row>
    <row r="1559" spans="1:16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55"/>
    </row>
    <row r="1560" spans="1:16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55"/>
    </row>
    <row r="1561" spans="1:16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55"/>
    </row>
    <row r="1562" spans="1:16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55"/>
    </row>
    <row r="1563" spans="1:16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55"/>
    </row>
    <row r="1564" spans="1:16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55"/>
    </row>
    <row r="1565" spans="1:16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55"/>
    </row>
    <row r="1566" spans="1:16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55"/>
    </row>
    <row r="1567" spans="1:16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55"/>
    </row>
    <row r="1568" spans="1:16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55"/>
    </row>
    <row r="1569" spans="1:16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55"/>
    </row>
    <row r="1570" spans="1:16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55"/>
    </row>
    <row r="1571" spans="1:16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55"/>
    </row>
    <row r="1572" spans="1:16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55"/>
    </row>
    <row r="1573" spans="1:16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55"/>
    </row>
    <row r="1574" spans="1:16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55"/>
    </row>
    <row r="1575" spans="1:16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55"/>
    </row>
    <row r="1576" spans="1:16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55"/>
    </row>
    <row r="1577" spans="1:16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55"/>
    </row>
    <row r="1578" spans="1:16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55"/>
    </row>
    <row r="1579" spans="1:16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55"/>
    </row>
    <row r="1580" spans="1:16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55"/>
    </row>
    <row r="1581" spans="1:16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55"/>
    </row>
    <row r="1582" spans="1:16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55"/>
    </row>
    <row r="1583" spans="1:16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55"/>
    </row>
    <row r="1584" spans="1:16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55"/>
    </row>
    <row r="1585" spans="1:16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55"/>
    </row>
    <row r="1586" spans="1:16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55"/>
    </row>
    <row r="1587" spans="1:16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55"/>
    </row>
    <row r="1588" spans="1:16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55"/>
    </row>
    <row r="1589" spans="1:16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55"/>
    </row>
    <row r="1590" spans="1:16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55"/>
    </row>
    <row r="1591" spans="1:16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55"/>
    </row>
    <row r="1592" spans="1:16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55"/>
    </row>
    <row r="1593" spans="1:16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55"/>
    </row>
    <row r="1594" spans="1:16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55"/>
    </row>
    <row r="1595" spans="1:16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55"/>
    </row>
    <row r="1596" spans="1:16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55"/>
    </row>
    <row r="1597" spans="1:16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55"/>
    </row>
    <row r="1598" spans="1:16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55"/>
    </row>
    <row r="1599" spans="1:16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55"/>
    </row>
    <row r="1600" spans="1:16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55"/>
    </row>
    <row r="1601" spans="1:16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55"/>
    </row>
    <row r="1602" spans="1:16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55"/>
    </row>
    <row r="1603" spans="1:16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55"/>
    </row>
    <row r="1604" spans="1:16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55"/>
    </row>
    <row r="1605" spans="1:16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55"/>
    </row>
    <row r="1606" spans="1:16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55"/>
    </row>
    <row r="1607" spans="1:16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55"/>
    </row>
    <row r="1608" spans="1:16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55"/>
    </row>
    <row r="1609" spans="1:16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55"/>
    </row>
    <row r="1610" spans="1:16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55"/>
    </row>
    <row r="1611" spans="1:16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55"/>
    </row>
    <row r="1612" spans="1:16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55"/>
    </row>
    <row r="1613" spans="1:16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55"/>
    </row>
    <row r="1614" spans="1:16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55"/>
    </row>
    <row r="1615" spans="1:16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55"/>
    </row>
    <row r="1616" spans="1:16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55"/>
    </row>
    <row r="1617" spans="1:16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55"/>
    </row>
    <row r="1618" spans="1:16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55"/>
    </row>
    <row r="1619" spans="1:16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55"/>
    </row>
    <row r="1620" spans="1:16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55"/>
    </row>
    <row r="1621" spans="1:16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55"/>
    </row>
    <row r="1622" spans="1:16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55"/>
    </row>
    <row r="1623" spans="1:16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55"/>
    </row>
    <row r="1624" spans="1:16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55"/>
    </row>
    <row r="1625" spans="1:16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55"/>
    </row>
    <row r="1626" spans="1:16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55"/>
    </row>
    <row r="1627" spans="1:16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55"/>
    </row>
    <row r="1628" spans="1:16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55"/>
    </row>
    <row r="1629" spans="1:16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55"/>
    </row>
    <row r="1630" spans="1:16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55"/>
    </row>
    <row r="1631" spans="1:16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55"/>
    </row>
    <row r="1632" spans="1:16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55"/>
    </row>
    <row r="1633" spans="1:16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55"/>
    </row>
    <row r="1634" spans="1:16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55"/>
    </row>
    <row r="1635" spans="1:16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55"/>
    </row>
    <row r="1636" spans="1:16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55"/>
    </row>
    <row r="1637" spans="1:16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55"/>
    </row>
    <row r="1638" spans="1:16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55"/>
    </row>
    <row r="1639" spans="1:16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55"/>
    </row>
    <row r="1640" spans="1:16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55"/>
    </row>
    <row r="1641" spans="1:16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55"/>
    </row>
    <row r="1642" spans="1:16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55"/>
    </row>
    <row r="1643" spans="1:16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55"/>
    </row>
    <row r="1644" spans="1:16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55"/>
    </row>
    <row r="1645" spans="1:16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55"/>
    </row>
    <row r="1646" spans="1:16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55"/>
    </row>
    <row r="1647" spans="1:16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55"/>
    </row>
    <row r="1648" spans="1:16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55"/>
    </row>
    <row r="1649" spans="1:16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55"/>
    </row>
    <row r="1650" spans="1:16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55"/>
    </row>
    <row r="1651" spans="1:16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55"/>
    </row>
    <row r="1652" spans="1:16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55"/>
    </row>
    <row r="1653" spans="1:16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55"/>
    </row>
    <row r="1654" spans="1:16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55"/>
    </row>
    <row r="1655" spans="1:16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55"/>
    </row>
    <row r="1656" spans="1:16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55"/>
    </row>
    <row r="1657" spans="1:16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55"/>
    </row>
    <row r="1658" spans="1:16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55"/>
    </row>
    <row r="1659" spans="1:16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55"/>
    </row>
    <row r="1660" spans="1:16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55"/>
    </row>
    <row r="1661" spans="1:16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55"/>
    </row>
    <row r="1662" spans="1:16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55"/>
    </row>
    <row r="1663" spans="1:16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55"/>
    </row>
    <row r="1664" spans="1:16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55"/>
    </row>
    <row r="1665" spans="1:16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55"/>
    </row>
    <row r="1666" spans="1:16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55"/>
    </row>
    <row r="1667" spans="1:16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55"/>
    </row>
    <row r="1668" spans="1:16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55"/>
    </row>
    <row r="1669" spans="1:16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55"/>
    </row>
    <row r="1670" spans="1:16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55"/>
    </row>
    <row r="1671" spans="1:16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55"/>
    </row>
    <row r="1672" spans="1:16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155"/>
    </row>
    <row r="1673" spans="1:16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155"/>
    </row>
    <row r="1674" spans="1:16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155"/>
    </row>
    <row r="1675" spans="1:16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155"/>
    </row>
    <row r="1676" spans="1:16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155"/>
    </row>
    <row r="1677" spans="1:16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155"/>
    </row>
    <row r="1678" spans="1:16" s="28" customFormat="1" x14ac:dyDescent="0.25">
      <c r="A1678" s="56"/>
      <c r="B1678" s="61"/>
      <c r="C1678" s="61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155"/>
    </row>
    <row r="1679" spans="1:16" s="28" customFormat="1" x14ac:dyDescent="0.25">
      <c r="A1679" s="56"/>
      <c r="B1679" s="61"/>
      <c r="C1679" s="61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155"/>
    </row>
    <row r="1680" spans="1:16" s="28" customFormat="1" x14ac:dyDescent="0.25">
      <c r="A1680" s="56"/>
      <c r="B1680" s="61"/>
      <c r="C1680" s="61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155"/>
    </row>
    <row r="1681" spans="1:16" s="28" customFormat="1" x14ac:dyDescent="0.25">
      <c r="A1681" s="56"/>
      <c r="B1681" s="61"/>
      <c r="C1681" s="61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155"/>
    </row>
    <row r="1682" spans="1:16" s="28" customFormat="1" x14ac:dyDescent="0.25">
      <c r="A1682" s="56"/>
      <c r="B1682" s="61"/>
      <c r="C1682" s="61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155"/>
    </row>
    <row r="1683" spans="1:16" s="28" customFormat="1" x14ac:dyDescent="0.25">
      <c r="A1683" s="56"/>
      <c r="B1683" s="61"/>
      <c r="C1683" s="61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155"/>
    </row>
    <row r="1684" spans="1:16" s="28" customFormat="1" x14ac:dyDescent="0.25">
      <c r="A1684" s="56"/>
      <c r="B1684" s="61"/>
      <c r="C1684" s="61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155"/>
    </row>
    <row r="1685" spans="1:16" s="28" customFormat="1" x14ac:dyDescent="0.25">
      <c r="A1685" s="56"/>
      <c r="B1685" s="61"/>
      <c r="C1685" s="61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155"/>
    </row>
    <row r="1686" spans="1:16" s="28" customFormat="1" x14ac:dyDescent="0.25">
      <c r="A1686" s="56"/>
      <c r="B1686" s="61"/>
      <c r="C1686" s="61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155"/>
    </row>
    <row r="1687" spans="1:16" s="28" customFormat="1" x14ac:dyDescent="0.25">
      <c r="A1687" s="56"/>
      <c r="B1687" s="61"/>
      <c r="C1687" s="61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155"/>
    </row>
    <row r="1688" spans="1:16" s="28" customFormat="1" x14ac:dyDescent="0.25">
      <c r="A1688" s="56"/>
      <c r="B1688" s="61"/>
      <c r="C1688" s="61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155"/>
    </row>
    <row r="1689" spans="1:16" s="28" customFormat="1" x14ac:dyDescent="0.25">
      <c r="A1689" s="56"/>
      <c r="B1689" s="61"/>
      <c r="C1689" s="61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155"/>
    </row>
    <row r="1690" spans="1:16" s="28" customFormat="1" x14ac:dyDescent="0.25">
      <c r="A1690" s="56"/>
      <c r="B1690" s="61"/>
      <c r="C1690" s="61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155"/>
    </row>
    <row r="1691" spans="1:16" s="28" customFormat="1" x14ac:dyDescent="0.25">
      <c r="A1691" s="56"/>
      <c r="B1691" s="61"/>
      <c r="C1691" s="61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155"/>
    </row>
    <row r="1692" spans="1:16" s="28" customFormat="1" x14ac:dyDescent="0.25">
      <c r="A1692" s="56"/>
      <c r="B1692" s="61"/>
      <c r="C1692" s="61"/>
      <c r="D1692" s="35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155"/>
    </row>
    <row r="1693" spans="1:16" s="28" customFormat="1" x14ac:dyDescent="0.25">
      <c r="A1693" s="56"/>
      <c r="B1693" s="61"/>
      <c r="C1693" s="61"/>
      <c r="D1693" s="35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155"/>
    </row>
    <row r="1694" spans="1:16" s="28" customFormat="1" x14ac:dyDescent="0.25">
      <c r="A1694" s="56"/>
      <c r="B1694" s="61"/>
      <c r="C1694" s="61"/>
      <c r="D1694" s="35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155"/>
    </row>
    <row r="1695" spans="1:16" s="28" customFormat="1" x14ac:dyDescent="0.25">
      <c r="A1695" s="56"/>
      <c r="B1695" s="61"/>
      <c r="C1695" s="61"/>
      <c r="D1695" s="35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155"/>
    </row>
    <row r="1696" spans="1:16" s="28" customFormat="1" x14ac:dyDescent="0.25">
      <c r="A1696" s="56"/>
      <c r="B1696" s="61"/>
      <c r="C1696" s="61"/>
      <c r="D1696" s="35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155"/>
    </row>
    <row r="1697" spans="1:16" s="28" customFormat="1" x14ac:dyDescent="0.25">
      <c r="A1697" s="56"/>
      <c r="B1697" s="61"/>
      <c r="C1697" s="61"/>
      <c r="D1697" s="35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155"/>
    </row>
    <row r="1698" spans="1:16" s="28" customFormat="1" x14ac:dyDescent="0.25">
      <c r="A1698" s="56"/>
      <c r="B1698" s="61"/>
      <c r="C1698" s="61"/>
      <c r="D1698" s="35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155"/>
    </row>
    <row r="1699" spans="1:16" s="28" customFormat="1" x14ac:dyDescent="0.25">
      <c r="A1699" s="56"/>
      <c r="B1699" s="61"/>
      <c r="C1699" s="61"/>
      <c r="D1699" s="35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155"/>
    </row>
    <row r="1700" spans="1:16" s="28" customFormat="1" x14ac:dyDescent="0.25">
      <c r="A1700" s="56"/>
      <c r="B1700" s="61"/>
      <c r="C1700" s="61"/>
      <c r="D1700" s="35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155"/>
    </row>
    <row r="1701" spans="1:16" s="28" customFormat="1" x14ac:dyDescent="0.25">
      <c r="A1701" s="56"/>
      <c r="B1701" s="61"/>
      <c r="C1701" s="61"/>
      <c r="D1701" s="35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155"/>
    </row>
  </sheetData>
  <mergeCells count="25">
    <mergeCell ref="A11:P11"/>
    <mergeCell ref="A12:P12"/>
    <mergeCell ref="M15:N15"/>
    <mergeCell ref="O15:O16"/>
    <mergeCell ref="K3:P3"/>
    <mergeCell ref="K4:P4"/>
    <mergeCell ref="K5:P5"/>
    <mergeCell ref="K6:P6"/>
    <mergeCell ref="K8:P8"/>
    <mergeCell ref="A327:D327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</mergeCells>
  <phoneticPr fontId="3" type="noConversion"/>
  <printOptions horizontalCentered="1"/>
  <pageMargins left="0.19685039370078741" right="0" top="0.78740157480314965" bottom="0.59055118110236227" header="0.59055118110236227" footer="0.31496062992125984"/>
  <pageSetup paperSize="9" scale="44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4" max="16" man="1"/>
    <brk id="61" max="16" man="1"/>
    <brk id="31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S267"/>
  <sheetViews>
    <sheetView showGridLines="0" showZeros="0" tabSelected="1" view="pageBreakPreview" topLeftCell="A245" zoomScale="80" zoomScaleNormal="87" zoomScaleSheetLayoutView="80" workbookViewId="0">
      <selection activeCell="G248" sqref="G248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3.83203125" style="4" customWidth="1"/>
    <col min="6" max="6" width="22.33203125" style="4" customWidth="1"/>
    <col min="7" max="7" width="20.1640625" style="4" customWidth="1"/>
    <col min="8" max="8" width="19.6640625" style="4" customWidth="1"/>
    <col min="9" max="9" width="21.33203125" style="4" bestFit="1" customWidth="1"/>
    <col min="10" max="10" width="21.1640625" style="4" customWidth="1"/>
    <col min="11" max="11" width="19.83203125" style="4" customWidth="1"/>
    <col min="12" max="12" width="18" style="4" customWidth="1"/>
    <col min="13" max="13" width="14.83203125" style="4" customWidth="1"/>
    <col min="14" max="14" width="21.5" style="4" customWidth="1"/>
    <col min="15" max="15" width="22.83203125" style="4" customWidth="1"/>
    <col min="16" max="16384" width="9.1640625" style="4"/>
  </cols>
  <sheetData>
    <row r="1" spans="1:15" ht="27.75" customHeight="1" x14ac:dyDescent="0.4">
      <c r="J1" s="167" t="s">
        <v>613</v>
      </c>
      <c r="K1" s="167"/>
      <c r="L1" s="167"/>
      <c r="M1" s="167"/>
      <c r="N1" s="167"/>
      <c r="O1" s="167"/>
    </row>
    <row r="2" spans="1:15" ht="24" customHeight="1" x14ac:dyDescent="0.25">
      <c r="J2" s="92" t="s">
        <v>581</v>
      </c>
      <c r="K2" s="92"/>
      <c r="L2" s="92"/>
      <c r="M2" s="92"/>
      <c r="N2" s="92"/>
      <c r="O2" s="92"/>
    </row>
    <row r="3" spans="1:15" ht="26.25" customHeight="1" x14ac:dyDescent="0.4">
      <c r="J3" s="166" t="s">
        <v>580</v>
      </c>
      <c r="K3" s="166"/>
      <c r="L3" s="166"/>
      <c r="M3" s="166"/>
      <c r="N3" s="166"/>
      <c r="O3" s="166"/>
    </row>
    <row r="4" spans="1:15" ht="26.25" customHeight="1" x14ac:dyDescent="0.4">
      <c r="J4" s="166" t="s">
        <v>614</v>
      </c>
      <c r="K4" s="166"/>
      <c r="L4" s="166"/>
      <c r="M4" s="166"/>
      <c r="N4" s="166"/>
      <c r="O4" s="166"/>
    </row>
    <row r="5" spans="1:15" ht="29.25" customHeight="1" x14ac:dyDescent="0.4">
      <c r="J5" s="166" t="s">
        <v>615</v>
      </c>
      <c r="K5" s="166"/>
      <c r="L5" s="166"/>
      <c r="M5" s="166"/>
      <c r="N5" s="166"/>
      <c r="O5" s="166"/>
    </row>
    <row r="6" spans="1:15" ht="29.25" customHeight="1" x14ac:dyDescent="0.4">
      <c r="J6" s="166" t="s">
        <v>582</v>
      </c>
      <c r="K6" s="166"/>
      <c r="L6" s="166"/>
      <c r="M6" s="166"/>
      <c r="N6" s="166"/>
      <c r="O6" s="166"/>
    </row>
    <row r="7" spans="1:15" ht="29.25" customHeight="1" x14ac:dyDescent="0.4">
      <c r="J7" s="151" t="s">
        <v>535</v>
      </c>
      <c r="K7" s="151"/>
      <c r="L7" s="151"/>
      <c r="M7" s="151"/>
      <c r="N7" s="151"/>
      <c r="O7" s="151"/>
    </row>
    <row r="8" spans="1:15" ht="29.25" customHeight="1" x14ac:dyDescent="0.4">
      <c r="J8" s="166" t="s">
        <v>616</v>
      </c>
      <c r="K8" s="166"/>
      <c r="L8" s="166"/>
      <c r="M8" s="166"/>
      <c r="N8" s="166"/>
      <c r="O8" s="166"/>
    </row>
    <row r="9" spans="1:15" ht="29.25" customHeight="1" x14ac:dyDescent="0.25">
      <c r="J9" s="92"/>
      <c r="K9" s="92"/>
      <c r="L9" s="92"/>
      <c r="M9" s="92"/>
      <c r="N9" s="92"/>
      <c r="O9" s="92"/>
    </row>
    <row r="10" spans="1:15" ht="105.75" customHeight="1" x14ac:dyDescent="0.25">
      <c r="A10" s="168" t="s">
        <v>450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</row>
    <row r="11" spans="1:15" ht="23.25" customHeight="1" x14ac:dyDescent="0.25">
      <c r="A11" s="169" t="s">
        <v>587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1:15" ht="21" customHeight="1" x14ac:dyDescent="0.25">
      <c r="A12" s="165" t="s">
        <v>586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</row>
    <row r="13" spans="1:15" s="17" customFormat="1" ht="20.25" customHeight="1" x14ac:dyDescent="0.3">
      <c r="A13" s="14"/>
      <c r="B13" s="15"/>
      <c r="C13" s="16"/>
      <c r="O13" s="153" t="s">
        <v>358</v>
      </c>
    </row>
    <row r="14" spans="1:15" s="52" customFormat="1" ht="21.75" customHeight="1" x14ac:dyDescent="0.25">
      <c r="A14" s="163" t="s">
        <v>337</v>
      </c>
      <c r="B14" s="163" t="s">
        <v>327</v>
      </c>
      <c r="C14" s="163" t="s">
        <v>339</v>
      </c>
      <c r="D14" s="162" t="s">
        <v>224</v>
      </c>
      <c r="E14" s="162"/>
      <c r="F14" s="162"/>
      <c r="G14" s="162"/>
      <c r="H14" s="162"/>
      <c r="I14" s="162" t="s">
        <v>225</v>
      </c>
      <c r="J14" s="162"/>
      <c r="K14" s="162"/>
      <c r="L14" s="162"/>
      <c r="M14" s="162"/>
      <c r="N14" s="162"/>
      <c r="O14" s="162" t="s">
        <v>226</v>
      </c>
    </row>
    <row r="15" spans="1:15" s="52" customFormat="1" ht="29.25" customHeight="1" x14ac:dyDescent="0.25">
      <c r="A15" s="163"/>
      <c r="B15" s="163"/>
      <c r="C15" s="163"/>
      <c r="D15" s="160" t="s">
        <v>328</v>
      </c>
      <c r="E15" s="160" t="s">
        <v>227</v>
      </c>
      <c r="F15" s="161" t="s">
        <v>228</v>
      </c>
      <c r="G15" s="161"/>
      <c r="H15" s="160" t="s">
        <v>229</v>
      </c>
      <c r="I15" s="160" t="s">
        <v>328</v>
      </c>
      <c r="J15" s="160" t="s">
        <v>329</v>
      </c>
      <c r="K15" s="160" t="s">
        <v>227</v>
      </c>
      <c r="L15" s="161" t="s">
        <v>228</v>
      </c>
      <c r="M15" s="161"/>
      <c r="N15" s="160" t="s">
        <v>229</v>
      </c>
      <c r="O15" s="162"/>
    </row>
    <row r="16" spans="1:15" s="52" customFormat="1" ht="60.75" customHeight="1" x14ac:dyDescent="0.25">
      <c r="A16" s="163"/>
      <c r="B16" s="163"/>
      <c r="C16" s="163"/>
      <c r="D16" s="160"/>
      <c r="E16" s="160"/>
      <c r="F16" s="149" t="s">
        <v>230</v>
      </c>
      <c r="G16" s="149" t="s">
        <v>231</v>
      </c>
      <c r="H16" s="160"/>
      <c r="I16" s="160"/>
      <c r="J16" s="160"/>
      <c r="K16" s="160"/>
      <c r="L16" s="149" t="s">
        <v>230</v>
      </c>
      <c r="M16" s="149" t="s">
        <v>231</v>
      </c>
      <c r="N16" s="160"/>
      <c r="O16" s="162"/>
    </row>
    <row r="17" spans="1:15" s="52" customFormat="1" ht="21" customHeight="1" x14ac:dyDescent="0.25">
      <c r="A17" s="7" t="s">
        <v>43</v>
      </c>
      <c r="B17" s="8"/>
      <c r="C17" s="9" t="s">
        <v>44</v>
      </c>
      <c r="D17" s="48">
        <f>D19+D20+D21+D22</f>
        <v>261341802</v>
      </c>
      <c r="E17" s="48">
        <f t="shared" ref="E17:O17" si="0">E19+E20+E21+E22</f>
        <v>261341802</v>
      </c>
      <c r="F17" s="48">
        <f>F19+F20+F21+F22</f>
        <v>196459700</v>
      </c>
      <c r="G17" s="48">
        <f t="shared" si="0"/>
        <v>5172383</v>
      </c>
      <c r="H17" s="48">
        <f t="shared" si="0"/>
        <v>0</v>
      </c>
      <c r="I17" s="48">
        <f t="shared" si="0"/>
        <v>2500000</v>
      </c>
      <c r="J17" s="48">
        <f t="shared" si="0"/>
        <v>600000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600000</v>
      </c>
      <c r="O17" s="48">
        <f t="shared" si="0"/>
        <v>263841802</v>
      </c>
    </row>
    <row r="18" spans="1:15" s="52" customFormat="1" ht="61.5" hidden="1" customHeight="1" x14ac:dyDescent="0.25">
      <c r="A18" s="7"/>
      <c r="B18" s="8"/>
      <c r="C18" s="9" t="s">
        <v>439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119</v>
      </c>
      <c r="B19" s="37" t="s">
        <v>46</v>
      </c>
      <c r="C19" s="6" t="s">
        <v>494</v>
      </c>
      <c r="D19" s="49">
        <f>'дод 3'!E21+'дод 3'!E76+'дод 3'!E135+'дод 3'!E167+'дод 3'!E204+'дод 3'!E211+'дод 3'!E228+'дод 3'!E264+'дод 3'!E268+'дод 3'!E287+'дод 3'!E294+'дод 3'!E297+'дод 3'!E308+'дод 3'!E305</f>
        <v>259706302</v>
      </c>
      <c r="E19" s="49">
        <f>'дод 3'!F21+'дод 3'!F76+'дод 3'!F135+'дод 3'!F167+'дод 3'!F204+'дод 3'!F211+'дод 3'!F228+'дод 3'!F264+'дод 3'!F268+'дод 3'!F287+'дод 3'!F294+'дод 3'!F297+'дод 3'!F308+'дод 3'!F305</f>
        <v>259706302</v>
      </c>
      <c r="F19" s="49">
        <f>'дод 3'!G21+'дод 3'!G76+'дод 3'!G135+'дод 3'!G167+'дод 3'!G204+'дод 3'!G211+'дод 3'!G228+'дод 3'!G264+'дод 3'!G268+'дод 3'!G287+'дод 3'!G294+'дод 3'!G297+'дод 3'!G308+'дод 3'!G305</f>
        <v>196459700</v>
      </c>
      <c r="G19" s="49">
        <f>'дод 3'!H21+'дод 3'!H76+'дод 3'!H135+'дод 3'!H167+'дод 3'!H204+'дод 3'!H211+'дод 3'!H228+'дод 3'!H264+'дод 3'!H268+'дод 3'!H287+'дод 3'!H294+'дод 3'!H297+'дод 3'!H308+'дод 3'!H305</f>
        <v>5172383</v>
      </c>
      <c r="H19" s="49">
        <f>'дод 3'!I21+'дод 3'!I76+'дод 3'!I135+'дод 3'!I167+'дод 3'!I204+'дод 3'!I211+'дод 3'!I228+'дод 3'!I264+'дод 3'!I268+'дод 3'!I287+'дод 3'!I294+'дод 3'!I297+'дод 3'!I308+'дод 3'!I305</f>
        <v>0</v>
      </c>
      <c r="I19" s="49">
        <f>'дод 3'!J21+'дод 3'!J76+'дод 3'!J135+'дод 3'!J167+'дод 3'!J204+'дод 3'!J211+'дод 3'!J228+'дод 3'!J264+'дод 3'!J268+'дод 3'!J287+'дод 3'!J294+'дод 3'!J297+'дод 3'!J308+'дод 3'!J305</f>
        <v>2500000</v>
      </c>
      <c r="J19" s="49">
        <f>'дод 3'!K21+'дод 3'!K76+'дод 3'!K135+'дод 3'!K167+'дод 3'!K204+'дод 3'!K211+'дод 3'!K228+'дод 3'!K264+'дод 3'!K268+'дод 3'!K287+'дод 3'!K294+'дод 3'!K297+'дод 3'!K308+'дод 3'!K305</f>
        <v>600000</v>
      </c>
      <c r="K19" s="49">
        <f>'дод 3'!L21+'дод 3'!L76+'дод 3'!L135+'дод 3'!L167+'дод 3'!L204+'дод 3'!L211+'дод 3'!L228+'дод 3'!L264+'дод 3'!L268+'дод 3'!L287+'дод 3'!L294+'дод 3'!L297+'дод 3'!L308+'дод 3'!L305</f>
        <v>1900000</v>
      </c>
      <c r="L19" s="49">
        <f>'дод 3'!M21+'дод 3'!M76+'дод 3'!M135+'дод 3'!M167+'дод 3'!M204+'дод 3'!M211+'дод 3'!M228+'дод 3'!M264+'дод 3'!M268+'дод 3'!M287+'дод 3'!M294+'дод 3'!M297+'дод 3'!M308+'дод 3'!M305</f>
        <v>1332000</v>
      </c>
      <c r="M19" s="49">
        <f>'дод 3'!N21+'дод 3'!N76+'дод 3'!N135+'дод 3'!N167+'дод 3'!N204+'дод 3'!N211+'дод 3'!N228+'дод 3'!N264+'дод 3'!N268+'дод 3'!N287+'дод 3'!N294+'дод 3'!N297+'дод 3'!N308+'дод 3'!N305</f>
        <v>71500</v>
      </c>
      <c r="N19" s="49">
        <f>'дод 3'!O21+'дод 3'!O76+'дод 3'!O135+'дод 3'!O167+'дод 3'!O204+'дод 3'!O211+'дод 3'!O228+'дод 3'!O264+'дод 3'!O268+'дод 3'!O287+'дод 3'!O294+'дод 3'!O297+'дод 3'!O308+'дод 3'!O305</f>
        <v>600000</v>
      </c>
      <c r="O19" s="49">
        <f>'дод 3'!P21+'дод 3'!P76+'дод 3'!P135+'дод 3'!P167+'дод 3'!P204+'дод 3'!P211+'дод 3'!P228+'дод 3'!P264+'дод 3'!P268+'дод 3'!P287+'дод 3'!P294+'дод 3'!P297+'дод 3'!P308+'дод 3'!P305</f>
        <v>262206302</v>
      </c>
    </row>
    <row r="20" spans="1:15" ht="33" customHeight="1" x14ac:dyDescent="0.25">
      <c r="A20" s="58" t="s">
        <v>90</v>
      </c>
      <c r="B20" s="58" t="s">
        <v>462</v>
      </c>
      <c r="C20" s="6" t="s">
        <v>453</v>
      </c>
      <c r="D20" s="49">
        <f>'дод 3'!E22</f>
        <v>200000</v>
      </c>
      <c r="E20" s="49">
        <f>'дод 3'!F22</f>
        <v>200000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200000</v>
      </c>
    </row>
    <row r="21" spans="1:15" ht="22.5" customHeight="1" x14ac:dyDescent="0.25">
      <c r="A21" s="37" t="s">
        <v>45</v>
      </c>
      <c r="B21" s="37" t="s">
        <v>93</v>
      </c>
      <c r="C21" s="6" t="s">
        <v>242</v>
      </c>
      <c r="D21" s="49">
        <f>'дод 3'!E23+'дод 3'!E168+'дод 3'!E229</f>
        <v>1435500</v>
      </c>
      <c r="E21" s="49">
        <f>'дод 3'!F23+'дод 3'!F168+'дод 3'!F229</f>
        <v>1435500</v>
      </c>
      <c r="F21" s="49">
        <f>'дод 3'!G23+'дод 3'!G168+'дод 3'!G229</f>
        <v>0</v>
      </c>
      <c r="G21" s="49">
        <f>'дод 3'!H23+'дод 3'!H168+'дод 3'!H229</f>
        <v>0</v>
      </c>
      <c r="H21" s="49">
        <f>'дод 3'!I23+'дод 3'!I168+'дод 3'!I229</f>
        <v>0</v>
      </c>
      <c r="I21" s="49">
        <f>'дод 3'!J23+'дод 3'!J168+'дод 3'!J229</f>
        <v>0</v>
      </c>
      <c r="J21" s="49">
        <f>'дод 3'!K23+'дод 3'!K168+'дод 3'!K229</f>
        <v>0</v>
      </c>
      <c r="K21" s="49">
        <f>'дод 3'!L23+'дод 3'!L168+'дод 3'!L229</f>
        <v>0</v>
      </c>
      <c r="L21" s="49">
        <f>'дод 3'!M23+'дод 3'!M168+'дод 3'!M229</f>
        <v>0</v>
      </c>
      <c r="M21" s="49">
        <f>'дод 3'!N23+'дод 3'!N168+'дод 3'!N229</f>
        <v>0</v>
      </c>
      <c r="N21" s="49">
        <f>'дод 3'!O23+'дод 3'!O168+'дод 3'!O229</f>
        <v>0</v>
      </c>
      <c r="O21" s="49">
        <f>'дод 3'!P23+'дод 3'!P168+'дод 3'!P229</f>
        <v>1435500</v>
      </c>
    </row>
    <row r="22" spans="1:15" ht="27" hidden="1" customHeight="1" x14ac:dyDescent="0.25">
      <c r="A22" s="58" t="s">
        <v>435</v>
      </c>
      <c r="B22" s="58" t="s">
        <v>119</v>
      </c>
      <c r="C22" s="6" t="s">
        <v>436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5" s="54" customFormat="1" ht="63" hidden="1" customHeight="1" x14ac:dyDescent="0.25">
      <c r="A23" s="78"/>
      <c r="B23" s="88"/>
      <c r="C23" s="79" t="s">
        <v>439</v>
      </c>
      <c r="D23" s="80">
        <f>'дод 3'!E25</f>
        <v>0</v>
      </c>
      <c r="E23" s="80">
        <f>'дод 3'!F25</f>
        <v>0</v>
      </c>
      <c r="F23" s="80">
        <f>'дод 3'!G25</f>
        <v>0</v>
      </c>
      <c r="G23" s="80">
        <f>'дод 3'!H25</f>
        <v>0</v>
      </c>
      <c r="H23" s="80">
        <f>'дод 3'!I25</f>
        <v>0</v>
      </c>
      <c r="I23" s="80">
        <f>'дод 3'!J25</f>
        <v>0</v>
      </c>
      <c r="J23" s="80">
        <f>'дод 3'!K25</f>
        <v>0</v>
      </c>
      <c r="K23" s="80">
        <f>'дод 3'!L25</f>
        <v>0</v>
      </c>
      <c r="L23" s="80">
        <f>'дод 3'!M25</f>
        <v>0</v>
      </c>
      <c r="M23" s="80">
        <f>'дод 3'!N25</f>
        <v>0</v>
      </c>
      <c r="N23" s="80">
        <f>'дод 3'!O25</f>
        <v>0</v>
      </c>
      <c r="O23" s="80">
        <f>'дод 3'!P25</f>
        <v>0</v>
      </c>
    </row>
    <row r="24" spans="1:15" s="52" customFormat="1" ht="18.75" customHeight="1" x14ac:dyDescent="0.25">
      <c r="A24" s="38" t="s">
        <v>47</v>
      </c>
      <c r="B24" s="39"/>
      <c r="C24" s="9" t="s">
        <v>403</v>
      </c>
      <c r="D24" s="48">
        <f>D36+D38+D45+D47+D48+D51+D53+D55+D58+D60+D61+D62+D63+D64+D65+D67+D68+D69+D71+D73+D75+D77</f>
        <v>1125260914.23</v>
      </c>
      <c r="E24" s="48">
        <f t="shared" ref="E24:O24" si="2">E36+E38+E45+E47+E48+E51+E53+E55+E58+E60+E61+E62+E63+E64+E65+E67+E68+E69+E71+E73+E75+E77</f>
        <v>1125260914.23</v>
      </c>
      <c r="F24" s="48">
        <f t="shared" si="2"/>
        <v>810172830</v>
      </c>
      <c r="G24" s="48">
        <f t="shared" si="2"/>
        <v>62483910</v>
      </c>
      <c r="H24" s="48">
        <f t="shared" si="2"/>
        <v>0</v>
      </c>
      <c r="I24" s="48">
        <f t="shared" si="2"/>
        <v>54024601.18</v>
      </c>
      <c r="J24" s="48">
        <f t="shared" si="2"/>
        <v>14405001.18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14408131.18</v>
      </c>
      <c r="O24" s="48">
        <f t="shared" si="2"/>
        <v>1179285515.4100001</v>
      </c>
    </row>
    <row r="25" spans="1:15" s="53" customFormat="1" ht="31.5" x14ac:dyDescent="0.25">
      <c r="A25" s="71"/>
      <c r="B25" s="74"/>
      <c r="C25" s="75" t="s">
        <v>389</v>
      </c>
      <c r="D25" s="76">
        <f>D49+D52+D54</f>
        <v>482448000</v>
      </c>
      <c r="E25" s="76">
        <f t="shared" ref="E25:O25" si="3">E49+E52+E54</f>
        <v>482448000</v>
      </c>
      <c r="F25" s="76">
        <f t="shared" si="3"/>
        <v>396066000</v>
      </c>
      <c r="G25" s="76">
        <f t="shared" si="3"/>
        <v>0</v>
      </c>
      <c r="H25" s="76">
        <f t="shared" si="3"/>
        <v>0</v>
      </c>
      <c r="I25" s="76">
        <f t="shared" si="3"/>
        <v>0</v>
      </c>
      <c r="J25" s="76">
        <f t="shared" si="3"/>
        <v>0</v>
      </c>
      <c r="K25" s="76">
        <f t="shared" si="3"/>
        <v>0</v>
      </c>
      <c r="L25" s="76">
        <f t="shared" si="3"/>
        <v>0</v>
      </c>
      <c r="M25" s="76">
        <f t="shared" si="3"/>
        <v>0</v>
      </c>
      <c r="N25" s="76">
        <f t="shared" si="3"/>
        <v>0</v>
      </c>
      <c r="O25" s="76">
        <f t="shared" si="3"/>
        <v>482448000</v>
      </c>
    </row>
    <row r="26" spans="1:15" s="53" customFormat="1" ht="47.25" x14ac:dyDescent="0.25">
      <c r="A26" s="71"/>
      <c r="B26" s="74"/>
      <c r="C26" s="77" t="s">
        <v>544</v>
      </c>
      <c r="D26" s="76">
        <f>D56</f>
        <v>246000</v>
      </c>
      <c r="E26" s="76">
        <f t="shared" ref="E26:O26" si="4">E56</f>
        <v>246000</v>
      </c>
      <c r="F26" s="76">
        <f t="shared" si="4"/>
        <v>0</v>
      </c>
      <c r="G26" s="76">
        <f t="shared" si="4"/>
        <v>0</v>
      </c>
      <c r="H26" s="76">
        <f t="shared" si="4"/>
        <v>0</v>
      </c>
      <c r="I26" s="76">
        <f t="shared" si="4"/>
        <v>1754000</v>
      </c>
      <c r="J26" s="76">
        <f t="shared" si="4"/>
        <v>1754000</v>
      </c>
      <c r="K26" s="76">
        <f t="shared" si="4"/>
        <v>0</v>
      </c>
      <c r="L26" s="76">
        <f t="shared" si="4"/>
        <v>0</v>
      </c>
      <c r="M26" s="76">
        <f t="shared" si="4"/>
        <v>0</v>
      </c>
      <c r="N26" s="76">
        <f t="shared" si="4"/>
        <v>1754000</v>
      </c>
      <c r="O26" s="76">
        <f t="shared" si="4"/>
        <v>2000000</v>
      </c>
    </row>
    <row r="27" spans="1:15" s="53" customFormat="1" ht="47.25" x14ac:dyDescent="0.25">
      <c r="A27" s="71"/>
      <c r="B27" s="74"/>
      <c r="C27" s="75" t="s">
        <v>384</v>
      </c>
      <c r="D27" s="76">
        <f>D50+D66</f>
        <v>3578416</v>
      </c>
      <c r="E27" s="76">
        <f t="shared" ref="E27:O27" si="5">E50+E66</f>
        <v>3578416</v>
      </c>
      <c r="F27" s="76">
        <f t="shared" si="5"/>
        <v>1228720</v>
      </c>
      <c r="G27" s="76">
        <f t="shared" si="5"/>
        <v>0</v>
      </c>
      <c r="H27" s="76">
        <f t="shared" si="5"/>
        <v>0</v>
      </c>
      <c r="I27" s="76">
        <f t="shared" si="5"/>
        <v>0</v>
      </c>
      <c r="J27" s="76">
        <f t="shared" si="5"/>
        <v>0</v>
      </c>
      <c r="K27" s="76">
        <f t="shared" si="5"/>
        <v>0</v>
      </c>
      <c r="L27" s="76">
        <f t="shared" si="5"/>
        <v>0</v>
      </c>
      <c r="M27" s="76">
        <f t="shared" si="5"/>
        <v>0</v>
      </c>
      <c r="N27" s="76">
        <f t="shared" si="5"/>
        <v>0</v>
      </c>
      <c r="O27" s="76">
        <f t="shared" si="5"/>
        <v>3578416</v>
      </c>
    </row>
    <row r="28" spans="1:15" s="53" customFormat="1" ht="47.25" hidden="1" x14ac:dyDescent="0.25">
      <c r="A28" s="71"/>
      <c r="B28" s="74"/>
      <c r="C28" s="75" t="s">
        <v>386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5" s="53" customFormat="1" ht="50.25" customHeight="1" x14ac:dyDescent="0.25">
      <c r="A29" s="71"/>
      <c r="B29" s="74"/>
      <c r="C29" s="77" t="s">
        <v>383</v>
      </c>
      <c r="D29" s="76">
        <f>D76</f>
        <v>2612700</v>
      </c>
      <c r="E29" s="76">
        <f t="shared" ref="E29:O29" si="6">E76</f>
        <v>2612700</v>
      </c>
      <c r="F29" s="76">
        <f t="shared" si="6"/>
        <v>1459720</v>
      </c>
      <c r="G29" s="76">
        <f t="shared" si="6"/>
        <v>0</v>
      </c>
      <c r="H29" s="76">
        <f t="shared" si="6"/>
        <v>0</v>
      </c>
      <c r="I29" s="76">
        <f t="shared" si="6"/>
        <v>72000</v>
      </c>
      <c r="J29" s="76">
        <f t="shared" si="6"/>
        <v>72000</v>
      </c>
      <c r="K29" s="76">
        <f t="shared" si="6"/>
        <v>0</v>
      </c>
      <c r="L29" s="76">
        <f t="shared" si="6"/>
        <v>0</v>
      </c>
      <c r="M29" s="76">
        <f t="shared" si="6"/>
        <v>0</v>
      </c>
      <c r="N29" s="76">
        <f t="shared" si="6"/>
        <v>72000</v>
      </c>
      <c r="O29" s="76">
        <f t="shared" si="6"/>
        <v>2684700</v>
      </c>
    </row>
    <row r="30" spans="1:15" s="53" customFormat="1" ht="63" hidden="1" x14ac:dyDescent="0.25">
      <c r="A30" s="71"/>
      <c r="B30" s="74"/>
      <c r="C30" s="75" t="s">
        <v>385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5" s="53" customFormat="1" ht="63" x14ac:dyDescent="0.25">
      <c r="A31" s="71"/>
      <c r="B31" s="71"/>
      <c r="C31" s="77" t="s">
        <v>524</v>
      </c>
      <c r="D31" s="76">
        <f>D78</f>
        <v>1174231</v>
      </c>
      <c r="E31" s="76">
        <f t="shared" ref="E31:O31" si="7">E78</f>
        <v>1174231</v>
      </c>
      <c r="F31" s="76">
        <f t="shared" si="7"/>
        <v>962484</v>
      </c>
      <c r="G31" s="76">
        <f t="shared" si="7"/>
        <v>0</v>
      </c>
      <c r="H31" s="76">
        <f t="shared" si="7"/>
        <v>0</v>
      </c>
      <c r="I31" s="76">
        <f t="shared" si="7"/>
        <v>0</v>
      </c>
      <c r="J31" s="76">
        <f t="shared" si="7"/>
        <v>0</v>
      </c>
      <c r="K31" s="76">
        <f t="shared" si="7"/>
        <v>0</v>
      </c>
      <c r="L31" s="76">
        <f t="shared" si="7"/>
        <v>0</v>
      </c>
      <c r="M31" s="76">
        <f t="shared" si="7"/>
        <v>0</v>
      </c>
      <c r="N31" s="76">
        <f t="shared" si="7"/>
        <v>0</v>
      </c>
      <c r="O31" s="76">
        <f t="shared" si="7"/>
        <v>1174231</v>
      </c>
    </row>
    <row r="32" spans="1:15" s="53" customFormat="1" ht="31.5" x14ac:dyDescent="0.25">
      <c r="A32" s="71"/>
      <c r="B32" s="71"/>
      <c r="C32" s="77" t="s">
        <v>541</v>
      </c>
      <c r="D32" s="76">
        <f>D57+D59</f>
        <v>741017.59999999998</v>
      </c>
      <c r="E32" s="76">
        <f t="shared" ref="E32:O32" si="8">E57+E59</f>
        <v>741017.59999999998</v>
      </c>
      <c r="F32" s="76">
        <f t="shared" si="8"/>
        <v>0</v>
      </c>
      <c r="G32" s="76">
        <f t="shared" si="8"/>
        <v>0</v>
      </c>
      <c r="H32" s="76">
        <f t="shared" si="8"/>
        <v>0</v>
      </c>
      <c r="I32" s="76">
        <f t="shared" si="8"/>
        <v>4356725.18</v>
      </c>
      <c r="J32" s="76">
        <f t="shared" si="8"/>
        <v>4356725.18</v>
      </c>
      <c r="K32" s="76">
        <f t="shared" si="8"/>
        <v>0</v>
      </c>
      <c r="L32" s="76">
        <f t="shared" si="8"/>
        <v>0</v>
      </c>
      <c r="M32" s="76">
        <f t="shared" si="8"/>
        <v>0</v>
      </c>
      <c r="N32" s="76">
        <f t="shared" si="8"/>
        <v>4356725.18</v>
      </c>
      <c r="O32" s="76">
        <f t="shared" si="8"/>
        <v>5097742.7799999993</v>
      </c>
    </row>
    <row r="33" spans="1:15" s="53" customFormat="1" ht="55.5" customHeight="1" x14ac:dyDescent="0.25">
      <c r="A33" s="71"/>
      <c r="B33" s="71"/>
      <c r="C33" s="77" t="s">
        <v>606</v>
      </c>
      <c r="D33" s="76">
        <f>D70</f>
        <v>287772</v>
      </c>
      <c r="E33" s="76">
        <f t="shared" ref="E33:O33" si="9">E70</f>
        <v>287772</v>
      </c>
      <c r="F33" s="76">
        <f t="shared" si="9"/>
        <v>0</v>
      </c>
      <c r="G33" s="76">
        <f t="shared" si="9"/>
        <v>0</v>
      </c>
      <c r="H33" s="76">
        <f t="shared" si="9"/>
        <v>0</v>
      </c>
      <c r="I33" s="76">
        <f t="shared" si="9"/>
        <v>2859728</v>
      </c>
      <c r="J33" s="76">
        <f t="shared" si="9"/>
        <v>2859728</v>
      </c>
      <c r="K33" s="76">
        <f t="shared" si="9"/>
        <v>0</v>
      </c>
      <c r="L33" s="76">
        <f t="shared" si="9"/>
        <v>0</v>
      </c>
      <c r="M33" s="76">
        <f t="shared" si="9"/>
        <v>0</v>
      </c>
      <c r="N33" s="76">
        <f t="shared" si="9"/>
        <v>2859728</v>
      </c>
      <c r="O33" s="76">
        <f t="shared" si="9"/>
        <v>3147500</v>
      </c>
    </row>
    <row r="34" spans="1:15" s="53" customFormat="1" ht="63" x14ac:dyDescent="0.25">
      <c r="A34" s="71"/>
      <c r="B34" s="71"/>
      <c r="C34" s="77" t="s">
        <v>562</v>
      </c>
      <c r="D34" s="76">
        <f>D74</f>
        <v>6109696</v>
      </c>
      <c r="E34" s="76">
        <f t="shared" ref="E34:O34" si="10">E74</f>
        <v>6109696</v>
      </c>
      <c r="F34" s="76">
        <f t="shared" si="10"/>
        <v>0</v>
      </c>
      <c r="G34" s="76">
        <f t="shared" si="10"/>
        <v>0</v>
      </c>
      <c r="H34" s="76">
        <f t="shared" si="10"/>
        <v>0</v>
      </c>
      <c r="I34" s="76">
        <f t="shared" si="10"/>
        <v>797367</v>
      </c>
      <c r="J34" s="76">
        <f t="shared" si="10"/>
        <v>797367</v>
      </c>
      <c r="K34" s="76">
        <f t="shared" si="10"/>
        <v>0</v>
      </c>
      <c r="L34" s="76">
        <f t="shared" si="10"/>
        <v>0</v>
      </c>
      <c r="M34" s="76">
        <f t="shared" si="10"/>
        <v>0</v>
      </c>
      <c r="N34" s="76">
        <f t="shared" si="10"/>
        <v>797367</v>
      </c>
      <c r="O34" s="76">
        <f t="shared" si="10"/>
        <v>6907063</v>
      </c>
    </row>
    <row r="35" spans="1:15" s="53" customFormat="1" x14ac:dyDescent="0.25">
      <c r="A35" s="71"/>
      <c r="B35" s="71"/>
      <c r="C35" s="77" t="s">
        <v>395</v>
      </c>
      <c r="D35" s="76">
        <f>D72</f>
        <v>150000</v>
      </c>
      <c r="E35" s="76">
        <f t="shared" ref="E35:O35" si="11">E72</f>
        <v>150000</v>
      </c>
      <c r="F35" s="76">
        <f t="shared" si="11"/>
        <v>0</v>
      </c>
      <c r="G35" s="76">
        <f t="shared" si="11"/>
        <v>0</v>
      </c>
      <c r="H35" s="76">
        <f t="shared" si="11"/>
        <v>0</v>
      </c>
      <c r="I35" s="76">
        <f t="shared" si="11"/>
        <v>0</v>
      </c>
      <c r="J35" s="76">
        <f t="shared" si="11"/>
        <v>0</v>
      </c>
      <c r="K35" s="76">
        <f t="shared" si="11"/>
        <v>0</v>
      </c>
      <c r="L35" s="76">
        <f t="shared" si="11"/>
        <v>0</v>
      </c>
      <c r="M35" s="76">
        <f t="shared" si="11"/>
        <v>0</v>
      </c>
      <c r="N35" s="76">
        <f t="shared" si="11"/>
        <v>0</v>
      </c>
      <c r="O35" s="76">
        <f t="shared" si="11"/>
        <v>150000</v>
      </c>
    </row>
    <row r="36" spans="1:15" ht="17.25" customHeight="1" x14ac:dyDescent="0.25">
      <c r="A36" s="37" t="s">
        <v>48</v>
      </c>
      <c r="B36" s="37" t="s">
        <v>49</v>
      </c>
      <c r="C36" s="6" t="s">
        <v>503</v>
      </c>
      <c r="D36" s="49">
        <f>'дод 3'!E77</f>
        <v>297514346</v>
      </c>
      <c r="E36" s="49">
        <f>'дод 3'!F77</f>
        <v>297514346</v>
      </c>
      <c r="F36" s="49">
        <f>'дод 3'!G77</f>
        <v>205054200</v>
      </c>
      <c r="G36" s="49">
        <f>'дод 3'!H77</f>
        <v>24363307</v>
      </c>
      <c r="H36" s="49">
        <f>'дод 3'!I77</f>
        <v>0</v>
      </c>
      <c r="I36" s="49">
        <f>'дод 3'!J77</f>
        <v>12831180</v>
      </c>
      <c r="J36" s="49">
        <f>'дод 3'!K77</f>
        <v>1071480</v>
      </c>
      <c r="K36" s="49">
        <f>'дод 3'!L77</f>
        <v>11759700</v>
      </c>
      <c r="L36" s="49">
        <f>'дод 3'!M77</f>
        <v>0</v>
      </c>
      <c r="M36" s="49">
        <f>'дод 3'!N77</f>
        <v>0</v>
      </c>
      <c r="N36" s="49">
        <f>'дод 3'!O77</f>
        <v>1071480</v>
      </c>
      <c r="O36" s="49">
        <f>'дод 3'!P77</f>
        <v>310345526</v>
      </c>
    </row>
    <row r="37" spans="1:15" s="54" customFormat="1" ht="47.25" hidden="1" customHeight="1" x14ac:dyDescent="0.25">
      <c r="A37" s="78"/>
      <c r="B37" s="78"/>
      <c r="C37" s="79" t="s">
        <v>383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1:15" ht="38.25" customHeight="1" x14ac:dyDescent="0.25">
      <c r="A38" s="37">
        <v>1021</v>
      </c>
      <c r="B38" s="37" t="s">
        <v>51</v>
      </c>
      <c r="C38" s="60" t="s">
        <v>471</v>
      </c>
      <c r="D38" s="49">
        <f>'дод 3'!E78</f>
        <v>209620109.19999999</v>
      </c>
      <c r="E38" s="49">
        <f>'дод 3'!F78</f>
        <v>209620109.19999999</v>
      </c>
      <c r="F38" s="49">
        <f>'дод 3'!G78</f>
        <v>116833485.94</v>
      </c>
      <c r="G38" s="49">
        <f>'дод 3'!H78</f>
        <v>31973609.550000001</v>
      </c>
      <c r="H38" s="49">
        <f>'дод 3'!I78</f>
        <v>0</v>
      </c>
      <c r="I38" s="49">
        <f>'дод 3'!J78</f>
        <v>26423904</v>
      </c>
      <c r="J38" s="49">
        <f>'дод 3'!K78</f>
        <v>1293104</v>
      </c>
      <c r="K38" s="49">
        <f>'дод 3'!L78</f>
        <v>25130800</v>
      </c>
      <c r="L38" s="49">
        <f>'дод 3'!M78</f>
        <v>2268060</v>
      </c>
      <c r="M38" s="49">
        <f>'дод 3'!N78</f>
        <v>139890</v>
      </c>
      <c r="N38" s="49">
        <f>'дод 3'!O78</f>
        <v>1293104</v>
      </c>
      <c r="O38" s="49">
        <f>'дод 3'!P78</f>
        <v>236044013.19999999</v>
      </c>
    </row>
    <row r="39" spans="1:15" s="54" customFormat="1" ht="63" hidden="1" customHeight="1" x14ac:dyDescent="0.25">
      <c r="A39" s="78"/>
      <c r="B39" s="78"/>
      <c r="C39" s="79" t="s">
        <v>387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pans="1:15" s="54" customFormat="1" ht="47.25" hidden="1" customHeight="1" x14ac:dyDescent="0.25">
      <c r="A40" s="78"/>
      <c r="B40" s="78"/>
      <c r="C40" s="79" t="s">
        <v>384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1:15" s="54" customFormat="1" ht="47.25" hidden="1" customHeight="1" x14ac:dyDescent="0.25">
      <c r="A41" s="78"/>
      <c r="B41" s="78"/>
      <c r="C41" s="79" t="s">
        <v>386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pans="1:15" s="54" customFormat="1" ht="47.25" hidden="1" customHeight="1" x14ac:dyDescent="0.25">
      <c r="A42" s="78"/>
      <c r="B42" s="78"/>
      <c r="C42" s="79" t="s">
        <v>383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pans="1:15" s="54" customFormat="1" ht="31.5" hidden="1" customHeight="1" x14ac:dyDescent="0.25">
      <c r="A43" s="78"/>
      <c r="B43" s="78"/>
      <c r="C43" s="79" t="s">
        <v>389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pans="1:15" s="54" customFormat="1" ht="63" hidden="1" customHeight="1" x14ac:dyDescent="0.25">
      <c r="A44" s="78"/>
      <c r="B44" s="78"/>
      <c r="C44" s="79" t="s">
        <v>385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1:15" ht="69.75" customHeight="1" x14ac:dyDescent="0.25">
      <c r="A45" s="37">
        <v>1022</v>
      </c>
      <c r="B45" s="59" t="s">
        <v>55</v>
      </c>
      <c r="C45" s="36" t="s">
        <v>473</v>
      </c>
      <c r="D45" s="49">
        <f>'дод 3'!E79</f>
        <v>14436307</v>
      </c>
      <c r="E45" s="49">
        <f>'дод 3'!F79</f>
        <v>14436307</v>
      </c>
      <c r="F45" s="49">
        <f>'дод 3'!G79</f>
        <v>8830500</v>
      </c>
      <c r="G45" s="49">
        <f>'дод 3'!H79</f>
        <v>1512107</v>
      </c>
      <c r="H45" s="49">
        <f>'дод 3'!I79</f>
        <v>0</v>
      </c>
      <c r="I45" s="49">
        <f>'дод 3'!J79</f>
        <v>97000</v>
      </c>
      <c r="J45" s="49">
        <f>'дод 3'!K79</f>
        <v>97000</v>
      </c>
      <c r="K45" s="49">
        <f>'дод 3'!L79</f>
        <v>0</v>
      </c>
      <c r="L45" s="49">
        <f>'дод 3'!M79</f>
        <v>0</v>
      </c>
      <c r="M45" s="49">
        <f>'дод 3'!N79</f>
        <v>0</v>
      </c>
      <c r="N45" s="49">
        <f>'дод 3'!O79</f>
        <v>97000</v>
      </c>
      <c r="O45" s="49">
        <f>'дод 3'!P79</f>
        <v>14533307</v>
      </c>
    </row>
    <row r="46" spans="1:15" ht="63" hidden="1" x14ac:dyDescent="0.25">
      <c r="A46" s="37"/>
      <c r="B46" s="37"/>
      <c r="C46" s="79" t="s">
        <v>387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63" x14ac:dyDescent="0.25">
      <c r="A47" s="37">
        <v>1025</v>
      </c>
      <c r="B47" s="37" t="s">
        <v>55</v>
      </c>
      <c r="C47" s="3" t="s">
        <v>602</v>
      </c>
      <c r="D47" s="49">
        <f>'дод 3'!E80</f>
        <v>3993974.43</v>
      </c>
      <c r="E47" s="49">
        <f>'дод 3'!F80</f>
        <v>3993974.43</v>
      </c>
      <c r="F47" s="49">
        <f>'дод 3'!G80</f>
        <v>2829220.06</v>
      </c>
      <c r="G47" s="49">
        <f>'дод 3'!H80</f>
        <v>306666.45</v>
      </c>
      <c r="H47" s="49">
        <f>'дод 3'!I80</f>
        <v>0</v>
      </c>
      <c r="I47" s="49">
        <f>'дод 3'!J80</f>
        <v>0</v>
      </c>
      <c r="J47" s="49">
        <f>'дод 3'!K80</f>
        <v>0</v>
      </c>
      <c r="K47" s="49">
        <f>'дод 3'!L80</f>
        <v>0</v>
      </c>
      <c r="L47" s="49">
        <f>'дод 3'!M80</f>
        <v>0</v>
      </c>
      <c r="M47" s="49">
        <f>'дод 3'!N80</f>
        <v>0</v>
      </c>
      <c r="N47" s="49">
        <f>'дод 3'!O80</f>
        <v>0</v>
      </c>
      <c r="O47" s="49">
        <f>'дод 3'!P80</f>
        <v>3993974.43</v>
      </c>
    </row>
    <row r="48" spans="1:15" s="54" customFormat="1" ht="35.25" customHeight="1" x14ac:dyDescent="0.25">
      <c r="A48" s="93">
        <v>1031</v>
      </c>
      <c r="B48" s="59" t="s">
        <v>51</v>
      </c>
      <c r="C48" s="60" t="s">
        <v>504</v>
      </c>
      <c r="D48" s="49">
        <f>'дод 3'!E81</f>
        <v>468581848.54000002</v>
      </c>
      <c r="E48" s="49">
        <f>'дод 3'!F81</f>
        <v>468581848.54000002</v>
      </c>
      <c r="F48" s="49">
        <f>'дод 3'!G81</f>
        <v>382983978.35000002</v>
      </c>
      <c r="G48" s="49">
        <f>'дод 3'!H81</f>
        <v>0</v>
      </c>
      <c r="H48" s="49">
        <f>'дод 3'!I81</f>
        <v>0</v>
      </c>
      <c r="I48" s="49">
        <f>'дод 3'!J81</f>
        <v>0</v>
      </c>
      <c r="J48" s="49">
        <f>'дод 3'!K81</f>
        <v>0</v>
      </c>
      <c r="K48" s="49">
        <f>'дод 3'!L81</f>
        <v>0</v>
      </c>
      <c r="L48" s="49">
        <f>'дод 3'!M81</f>
        <v>0</v>
      </c>
      <c r="M48" s="49">
        <f>'дод 3'!N81</f>
        <v>0</v>
      </c>
      <c r="N48" s="49">
        <f>'дод 3'!O81</f>
        <v>0</v>
      </c>
      <c r="O48" s="49">
        <f>'дод 3'!P81</f>
        <v>468581848.54000002</v>
      </c>
    </row>
    <row r="49" spans="1:15" s="54" customFormat="1" ht="31.5" x14ac:dyDescent="0.25">
      <c r="A49" s="78"/>
      <c r="B49" s="78"/>
      <c r="C49" s="87" t="s">
        <v>389</v>
      </c>
      <c r="D49" s="80">
        <f>'дод 3'!E82</f>
        <v>466502468.54000002</v>
      </c>
      <c r="E49" s="80">
        <f>'дод 3'!F82</f>
        <v>466502468.54000002</v>
      </c>
      <c r="F49" s="80">
        <f>'дод 3'!G82</f>
        <v>382983978.35000002</v>
      </c>
      <c r="G49" s="80">
        <f>'дод 3'!H82</f>
        <v>0</v>
      </c>
      <c r="H49" s="80">
        <f>'дод 3'!I82</f>
        <v>0</v>
      </c>
      <c r="I49" s="80">
        <f>'дод 3'!J82</f>
        <v>0</v>
      </c>
      <c r="J49" s="80">
        <f>'дод 3'!K82</f>
        <v>0</v>
      </c>
      <c r="K49" s="80">
        <f>'дод 3'!L82</f>
        <v>0</v>
      </c>
      <c r="L49" s="80">
        <f>'дод 3'!M82</f>
        <v>0</v>
      </c>
      <c r="M49" s="80">
        <f>'дод 3'!N82</f>
        <v>0</v>
      </c>
      <c r="N49" s="80">
        <f>'дод 3'!O82</f>
        <v>0</v>
      </c>
      <c r="O49" s="80">
        <f>'дод 3'!P82</f>
        <v>466502468.54000002</v>
      </c>
    </row>
    <row r="50" spans="1:15" ht="50.25" customHeight="1" x14ac:dyDescent="0.25">
      <c r="A50" s="37"/>
      <c r="B50" s="37"/>
      <c r="C50" s="87" t="s">
        <v>384</v>
      </c>
      <c r="D50" s="80">
        <f>'дод 3'!E83</f>
        <v>2079380</v>
      </c>
      <c r="E50" s="80">
        <f>'дод 3'!F83</f>
        <v>2079380</v>
      </c>
      <c r="F50" s="80">
        <f>'дод 3'!G83</f>
        <v>0</v>
      </c>
      <c r="G50" s="80">
        <f>'дод 3'!H83</f>
        <v>0</v>
      </c>
      <c r="H50" s="80">
        <f>'дод 3'!I83</f>
        <v>0</v>
      </c>
      <c r="I50" s="80">
        <f>'дод 3'!J83</f>
        <v>0</v>
      </c>
      <c r="J50" s="80">
        <f>'дод 3'!K83</f>
        <v>0</v>
      </c>
      <c r="K50" s="80">
        <f>'дод 3'!L83</f>
        <v>0</v>
      </c>
      <c r="L50" s="80">
        <f>'дод 3'!M83</f>
        <v>0</v>
      </c>
      <c r="M50" s="80">
        <f>'дод 3'!N83</f>
        <v>0</v>
      </c>
      <c r="N50" s="80">
        <f>'дод 3'!O83</f>
        <v>0</v>
      </c>
      <c r="O50" s="80">
        <f>'дод 3'!P83</f>
        <v>2079380</v>
      </c>
    </row>
    <row r="51" spans="1:15" ht="63.75" customHeight="1" x14ac:dyDescent="0.25">
      <c r="A51" s="59" t="s">
        <v>476</v>
      </c>
      <c r="B51" s="59" t="s">
        <v>55</v>
      </c>
      <c r="C51" s="60" t="s">
        <v>505</v>
      </c>
      <c r="D51" s="49">
        <f>'дод 3'!E84</f>
        <v>15564500</v>
      </c>
      <c r="E51" s="49">
        <f>'дод 3'!F84</f>
        <v>15564500</v>
      </c>
      <c r="F51" s="49">
        <f>'дод 3'!G84</f>
        <v>12769100</v>
      </c>
      <c r="G51" s="49">
        <f>'дод 3'!H84</f>
        <v>0</v>
      </c>
      <c r="H51" s="49">
        <f>'дод 3'!I84</f>
        <v>0</v>
      </c>
      <c r="I51" s="49">
        <f>'дод 3'!J84</f>
        <v>0</v>
      </c>
      <c r="J51" s="49">
        <f>'дод 3'!K84</f>
        <v>0</v>
      </c>
      <c r="K51" s="49">
        <f>'дод 3'!L84</f>
        <v>0</v>
      </c>
      <c r="L51" s="49">
        <f>'дод 3'!M84</f>
        <v>0</v>
      </c>
      <c r="M51" s="49">
        <f>'дод 3'!N84</f>
        <v>0</v>
      </c>
      <c r="N51" s="49">
        <f>'дод 3'!O84</f>
        <v>0</v>
      </c>
      <c r="O51" s="49">
        <f>'дод 3'!P84</f>
        <v>15564500</v>
      </c>
    </row>
    <row r="52" spans="1:15" ht="31.5" x14ac:dyDescent="0.25">
      <c r="A52" s="37"/>
      <c r="B52" s="37"/>
      <c r="C52" s="87" t="s">
        <v>389</v>
      </c>
      <c r="D52" s="80">
        <f>'дод 3'!E85</f>
        <v>15564500</v>
      </c>
      <c r="E52" s="80">
        <f>'дод 3'!F85</f>
        <v>15564500</v>
      </c>
      <c r="F52" s="80">
        <f>'дод 3'!G85</f>
        <v>12769100</v>
      </c>
      <c r="G52" s="80">
        <f>'дод 3'!H85</f>
        <v>0</v>
      </c>
      <c r="H52" s="80">
        <f>'дод 3'!I85</f>
        <v>0</v>
      </c>
      <c r="I52" s="80">
        <f>'дод 3'!J85</f>
        <v>0</v>
      </c>
      <c r="J52" s="80">
        <f>'дод 3'!K85</f>
        <v>0</v>
      </c>
      <c r="K52" s="80">
        <f>'дод 3'!L85</f>
        <v>0</v>
      </c>
      <c r="L52" s="80">
        <f>'дод 3'!M85</f>
        <v>0</v>
      </c>
      <c r="M52" s="80">
        <f>'дод 3'!N85</f>
        <v>0</v>
      </c>
      <c r="N52" s="80">
        <f>'дод 3'!O85</f>
        <v>0</v>
      </c>
      <c r="O52" s="80">
        <f>'дод 3'!P85</f>
        <v>15564500</v>
      </c>
    </row>
    <row r="53" spans="1:15" ht="66.75" customHeight="1" x14ac:dyDescent="0.25">
      <c r="A53" s="37">
        <v>1035</v>
      </c>
      <c r="B53" s="37" t="s">
        <v>55</v>
      </c>
      <c r="C53" s="36" t="s">
        <v>604</v>
      </c>
      <c r="D53" s="49">
        <f>'дод 3'!E86</f>
        <v>381031.46</v>
      </c>
      <c r="E53" s="49">
        <f>'дод 3'!F86</f>
        <v>381031.46</v>
      </c>
      <c r="F53" s="49">
        <f>'дод 3'!G86</f>
        <v>312921.65000000002</v>
      </c>
      <c r="G53" s="49">
        <f>'дод 3'!H86</f>
        <v>0</v>
      </c>
      <c r="H53" s="49">
        <f>'дод 3'!I86</f>
        <v>0</v>
      </c>
      <c r="I53" s="49">
        <f>'дод 3'!J86</f>
        <v>0</v>
      </c>
      <c r="J53" s="49">
        <f>'дод 3'!K86</f>
        <v>0</v>
      </c>
      <c r="K53" s="49">
        <f>'дод 3'!L86</f>
        <v>0</v>
      </c>
      <c r="L53" s="49">
        <f>'дод 3'!M86</f>
        <v>0</v>
      </c>
      <c r="M53" s="49">
        <f>'дод 3'!N86</f>
        <v>0</v>
      </c>
      <c r="N53" s="49">
        <f>'дод 3'!O86</f>
        <v>0</v>
      </c>
      <c r="O53" s="49">
        <f>'дод 3'!P86</f>
        <v>381031.46</v>
      </c>
    </row>
    <row r="54" spans="1:15" ht="31.5" x14ac:dyDescent="0.25">
      <c r="A54" s="37"/>
      <c r="B54" s="37"/>
      <c r="C54" s="87" t="s">
        <v>389</v>
      </c>
      <c r="D54" s="80">
        <f>'дод 3'!E87</f>
        <v>381031.46</v>
      </c>
      <c r="E54" s="80">
        <f>'дод 3'!F87</f>
        <v>381031.46</v>
      </c>
      <c r="F54" s="80">
        <f>'дод 3'!G87</f>
        <v>312921.65000000002</v>
      </c>
      <c r="G54" s="80">
        <f>'дод 3'!H87</f>
        <v>0</v>
      </c>
      <c r="H54" s="80">
        <f>'дод 3'!I87</f>
        <v>0</v>
      </c>
      <c r="I54" s="80">
        <f>'дод 3'!J87</f>
        <v>0</v>
      </c>
      <c r="J54" s="80">
        <f>'дод 3'!K87</f>
        <v>0</v>
      </c>
      <c r="K54" s="80">
        <f>'дод 3'!L87</f>
        <v>0</v>
      </c>
      <c r="L54" s="80">
        <f>'дод 3'!M87</f>
        <v>0</v>
      </c>
      <c r="M54" s="80">
        <f>'дод 3'!N87</f>
        <v>0</v>
      </c>
      <c r="N54" s="80">
        <f>'дод 3'!O87</f>
        <v>0</v>
      </c>
      <c r="O54" s="80">
        <f>'дод 3'!P87</f>
        <v>381031.46</v>
      </c>
    </row>
    <row r="55" spans="1:15" ht="31.5" x14ac:dyDescent="0.25">
      <c r="A55" s="37">
        <v>1061</v>
      </c>
      <c r="B55" s="59" t="s">
        <v>51</v>
      </c>
      <c r="C55" s="36" t="s">
        <v>533</v>
      </c>
      <c r="D55" s="49">
        <f>'дод 3'!E88</f>
        <v>947017.6</v>
      </c>
      <c r="E55" s="49">
        <f>'дод 3'!F88</f>
        <v>947017.6</v>
      </c>
      <c r="F55" s="49">
        <f>'дод 3'!G88</f>
        <v>0</v>
      </c>
      <c r="G55" s="49">
        <f>'дод 3'!H88</f>
        <v>0</v>
      </c>
      <c r="H55" s="49">
        <f>'дод 3'!I88</f>
        <v>0</v>
      </c>
      <c r="I55" s="49">
        <f>'дод 3'!J88</f>
        <v>6110725.1799999997</v>
      </c>
      <c r="J55" s="49">
        <f>'дод 3'!K88</f>
        <v>6110725.1799999997</v>
      </c>
      <c r="K55" s="49">
        <f>'дод 3'!L88</f>
        <v>0</v>
      </c>
      <c r="L55" s="49">
        <f>'дод 3'!M88</f>
        <v>0</v>
      </c>
      <c r="M55" s="49">
        <f>'дод 3'!N88</f>
        <v>0</v>
      </c>
      <c r="N55" s="49">
        <f>'дод 3'!O88</f>
        <v>6110725.1799999997</v>
      </c>
      <c r="O55" s="49">
        <f>'дод 3'!P88</f>
        <v>7057742.7799999993</v>
      </c>
    </row>
    <row r="56" spans="1:15" ht="48.75" customHeight="1" x14ac:dyDescent="0.25">
      <c r="A56" s="37"/>
      <c r="B56" s="59"/>
      <c r="C56" s="87" t="s">
        <v>544</v>
      </c>
      <c r="D56" s="80">
        <f>'дод 3'!E89</f>
        <v>246000</v>
      </c>
      <c r="E56" s="80">
        <f>'дод 3'!F89</f>
        <v>246000</v>
      </c>
      <c r="F56" s="80">
        <f>'дод 3'!G89</f>
        <v>0</v>
      </c>
      <c r="G56" s="80">
        <f>'дод 3'!H89</f>
        <v>0</v>
      </c>
      <c r="H56" s="80">
        <f>'дод 3'!I89</f>
        <v>0</v>
      </c>
      <c r="I56" s="80">
        <f>'дод 3'!J89</f>
        <v>1754000</v>
      </c>
      <c r="J56" s="80">
        <f>'дод 3'!K89</f>
        <v>1754000</v>
      </c>
      <c r="K56" s="80">
        <f>'дод 3'!L89</f>
        <v>0</v>
      </c>
      <c r="L56" s="80">
        <f>'дод 3'!M89</f>
        <v>0</v>
      </c>
      <c r="M56" s="80">
        <f>'дод 3'!N89</f>
        <v>0</v>
      </c>
      <c r="N56" s="80">
        <f>'дод 3'!O89</f>
        <v>1754000</v>
      </c>
      <c r="O56" s="80">
        <f>'дод 3'!P89</f>
        <v>2000000</v>
      </c>
    </row>
    <row r="57" spans="1:15" s="54" customFormat="1" ht="32.25" customHeight="1" x14ac:dyDescent="0.25">
      <c r="A57" s="78"/>
      <c r="B57" s="84"/>
      <c r="C57" s="87" t="s">
        <v>541</v>
      </c>
      <c r="D57" s="80">
        <f>'дод 3'!E90</f>
        <v>701017.59999999998</v>
      </c>
      <c r="E57" s="80">
        <f>'дод 3'!F90</f>
        <v>701017.59999999998</v>
      </c>
      <c r="F57" s="80">
        <f>'дод 3'!G90</f>
        <v>0</v>
      </c>
      <c r="G57" s="80">
        <f>'дод 3'!H90</f>
        <v>0</v>
      </c>
      <c r="H57" s="80">
        <f>'дод 3'!I90</f>
        <v>0</v>
      </c>
      <c r="I57" s="80">
        <f>'дод 3'!J90</f>
        <v>4356725.18</v>
      </c>
      <c r="J57" s="80">
        <f>'дод 3'!K90</f>
        <v>4356725.18</v>
      </c>
      <c r="K57" s="80">
        <f>'дод 3'!L90</f>
        <v>0</v>
      </c>
      <c r="L57" s="80">
        <f>'дод 3'!M90</f>
        <v>0</v>
      </c>
      <c r="M57" s="80">
        <f>'дод 3'!N90</f>
        <v>0</v>
      </c>
      <c r="N57" s="80">
        <f>'дод 3'!O90</f>
        <v>4356725.18</v>
      </c>
      <c r="O57" s="80">
        <f>'дод 3'!P90</f>
        <v>5057742.7799999993</v>
      </c>
    </row>
    <row r="58" spans="1:15" s="54" customFormat="1" ht="69" customHeight="1" x14ac:dyDescent="0.25">
      <c r="A58" s="37">
        <v>1062</v>
      </c>
      <c r="B58" s="59" t="s">
        <v>55</v>
      </c>
      <c r="C58" s="60" t="s">
        <v>505</v>
      </c>
      <c r="D58" s="49">
        <f>'дод 3'!E91</f>
        <v>40000</v>
      </c>
      <c r="E58" s="49">
        <f>'дод 3'!F91</f>
        <v>40000</v>
      </c>
      <c r="F58" s="49">
        <f>'дод 3'!G91</f>
        <v>0</v>
      </c>
      <c r="G58" s="49">
        <f>'дод 3'!H91</f>
        <v>0</v>
      </c>
      <c r="H58" s="49">
        <f>'дод 3'!I91</f>
        <v>0</v>
      </c>
      <c r="I58" s="49">
        <f>'дод 3'!J91</f>
        <v>0</v>
      </c>
      <c r="J58" s="49">
        <f>'дод 3'!K91</f>
        <v>0</v>
      </c>
      <c r="K58" s="49">
        <f>'дод 3'!L91</f>
        <v>0</v>
      </c>
      <c r="L58" s="49">
        <f>'дод 3'!M91</f>
        <v>0</v>
      </c>
      <c r="M58" s="49">
        <f>'дод 3'!N91</f>
        <v>0</v>
      </c>
      <c r="N58" s="49">
        <f>'дод 3'!O91</f>
        <v>0</v>
      </c>
      <c r="O58" s="49">
        <f>'дод 3'!P91</f>
        <v>40000</v>
      </c>
    </row>
    <row r="59" spans="1:15" s="54" customFormat="1" ht="32.25" customHeight="1" x14ac:dyDescent="0.25">
      <c r="A59" s="78"/>
      <c r="B59" s="84"/>
      <c r="C59" s="87" t="s">
        <v>541</v>
      </c>
      <c r="D59" s="80">
        <f>'дод 3'!E92</f>
        <v>40000</v>
      </c>
      <c r="E59" s="80">
        <f>'дод 3'!F92</f>
        <v>40000</v>
      </c>
      <c r="F59" s="80">
        <f>'дод 3'!G92</f>
        <v>0</v>
      </c>
      <c r="G59" s="80">
        <f>'дод 3'!H92</f>
        <v>0</v>
      </c>
      <c r="H59" s="80">
        <f>'дод 3'!I92</f>
        <v>0</v>
      </c>
      <c r="I59" s="80">
        <f>'дод 3'!J92</f>
        <v>0</v>
      </c>
      <c r="J59" s="80">
        <f>'дод 3'!K92</f>
        <v>0</v>
      </c>
      <c r="K59" s="80">
        <f>'дод 3'!L92</f>
        <v>0</v>
      </c>
      <c r="L59" s="80">
        <f>'дод 3'!M92</f>
        <v>0</v>
      </c>
      <c r="M59" s="80">
        <f>'дод 3'!N92</f>
        <v>0</v>
      </c>
      <c r="N59" s="80">
        <f>'дод 3'!O92</f>
        <v>0</v>
      </c>
      <c r="O59" s="80">
        <f>'дод 3'!P92</f>
        <v>40000</v>
      </c>
    </row>
    <row r="60" spans="1:15" s="54" customFormat="1" ht="38.25" customHeight="1" x14ac:dyDescent="0.25">
      <c r="A60" s="59" t="s">
        <v>54</v>
      </c>
      <c r="B60" s="59" t="s">
        <v>57</v>
      </c>
      <c r="C60" s="60" t="s">
        <v>365</v>
      </c>
      <c r="D60" s="49">
        <f>'дод 3'!E93</f>
        <v>35044945</v>
      </c>
      <c r="E60" s="49">
        <f>'дод 3'!F93</f>
        <v>35044945</v>
      </c>
      <c r="F60" s="49">
        <f>'дод 3'!G93</f>
        <v>25836800</v>
      </c>
      <c r="G60" s="49">
        <f>'дод 3'!H93</f>
        <v>2805445</v>
      </c>
      <c r="H60" s="49">
        <f>'дод 3'!I93</f>
        <v>0</v>
      </c>
      <c r="I60" s="49">
        <f>'дод 3'!J93</f>
        <v>112500</v>
      </c>
      <c r="J60" s="49">
        <f>'дод 3'!K93</f>
        <v>112500</v>
      </c>
      <c r="K60" s="49">
        <f>'дод 3'!L93</f>
        <v>0</v>
      </c>
      <c r="L60" s="49">
        <f>'дод 3'!M93</f>
        <v>0</v>
      </c>
      <c r="M60" s="49">
        <f>'дод 3'!N93</f>
        <v>0</v>
      </c>
      <c r="N60" s="49">
        <f>'дод 3'!O93</f>
        <v>112500</v>
      </c>
      <c r="O60" s="49">
        <f>'дод 3'!P93</f>
        <v>35157445</v>
      </c>
    </row>
    <row r="61" spans="1:15" s="54" customFormat="1" ht="16.5" customHeight="1" x14ac:dyDescent="0.25">
      <c r="A61" s="93">
        <v>1080</v>
      </c>
      <c r="B61" s="59" t="s">
        <v>57</v>
      </c>
      <c r="C61" s="60" t="s">
        <v>510</v>
      </c>
      <c r="D61" s="49">
        <f>'дод 3'!E212</f>
        <v>50948015</v>
      </c>
      <c r="E61" s="49">
        <f>'дод 3'!F212</f>
        <v>50948015</v>
      </c>
      <c r="F61" s="49">
        <f>'дод 3'!G212</f>
        <v>40594000</v>
      </c>
      <c r="G61" s="49">
        <f>'дод 3'!H212</f>
        <v>777815</v>
      </c>
      <c r="H61" s="49">
        <f>'дод 3'!I212</f>
        <v>0</v>
      </c>
      <c r="I61" s="49">
        <f>'дод 3'!J212</f>
        <v>2729100</v>
      </c>
      <c r="J61" s="49">
        <f>'дод 3'!K212</f>
        <v>0</v>
      </c>
      <c r="K61" s="49">
        <f>'дод 3'!L212</f>
        <v>2725970</v>
      </c>
      <c r="L61" s="49">
        <f>'дод 3'!M212</f>
        <v>2226904</v>
      </c>
      <c r="M61" s="49">
        <f>'дод 3'!N212</f>
        <v>0</v>
      </c>
      <c r="N61" s="49">
        <f>'дод 3'!O212</f>
        <v>3130</v>
      </c>
      <c r="O61" s="49">
        <f>'дод 3'!P212</f>
        <v>53677115</v>
      </c>
    </row>
    <row r="62" spans="1:15" s="54" customFormat="1" ht="21" customHeight="1" x14ac:dyDescent="0.25">
      <c r="A62" s="59" t="s">
        <v>479</v>
      </c>
      <c r="B62" s="59" t="s">
        <v>58</v>
      </c>
      <c r="C62" s="36" t="s">
        <v>511</v>
      </c>
      <c r="D62" s="49">
        <f>'дод 3'!E94</f>
        <v>11387250</v>
      </c>
      <c r="E62" s="49">
        <f>'дод 3'!F94</f>
        <v>11387250</v>
      </c>
      <c r="F62" s="49">
        <f>'дод 3'!G94</f>
        <v>8331500</v>
      </c>
      <c r="G62" s="49">
        <f>'дод 3'!H94</f>
        <v>585250</v>
      </c>
      <c r="H62" s="49">
        <f>'дод 3'!I94</f>
        <v>0</v>
      </c>
      <c r="I62" s="49">
        <f>'дод 3'!J94</f>
        <v>0</v>
      </c>
      <c r="J62" s="49">
        <f>'дод 3'!K94</f>
        <v>0</v>
      </c>
      <c r="K62" s="49">
        <f>'дод 3'!L94</f>
        <v>0</v>
      </c>
      <c r="L62" s="49">
        <f>'дод 3'!M94</f>
        <v>0</v>
      </c>
      <c r="M62" s="49">
        <f>'дод 3'!N94</f>
        <v>0</v>
      </c>
      <c r="N62" s="49">
        <f>'дод 3'!O94</f>
        <v>0</v>
      </c>
      <c r="O62" s="49">
        <f>'дод 3'!P94</f>
        <v>11387250</v>
      </c>
    </row>
    <row r="63" spans="1:15" x14ac:dyDescent="0.25">
      <c r="A63" s="59" t="s">
        <v>481</v>
      </c>
      <c r="B63" s="59" t="s">
        <v>58</v>
      </c>
      <c r="C63" s="36" t="s">
        <v>281</v>
      </c>
      <c r="D63" s="49">
        <f>'дод 3'!E95</f>
        <v>113000</v>
      </c>
      <c r="E63" s="49">
        <f>'дод 3'!F95</f>
        <v>113000</v>
      </c>
      <c r="F63" s="49">
        <f>'дод 3'!G95</f>
        <v>0</v>
      </c>
      <c r="G63" s="49">
        <f>'дод 3'!H95</f>
        <v>0</v>
      </c>
      <c r="H63" s="49">
        <f>'дод 3'!I95</f>
        <v>0</v>
      </c>
      <c r="I63" s="49">
        <f>'дод 3'!J95</f>
        <v>0</v>
      </c>
      <c r="J63" s="49">
        <f>'дод 3'!K95</f>
        <v>0</v>
      </c>
      <c r="K63" s="49">
        <f>'дод 3'!L95</f>
        <v>0</v>
      </c>
      <c r="L63" s="49">
        <f>'дод 3'!M95</f>
        <v>0</v>
      </c>
      <c r="M63" s="49">
        <f>'дод 3'!N95</f>
        <v>0</v>
      </c>
      <c r="N63" s="49">
        <f>'дод 3'!O95</f>
        <v>0</v>
      </c>
      <c r="O63" s="49">
        <f>'дод 3'!P95</f>
        <v>113000</v>
      </c>
    </row>
    <row r="64" spans="1:15" ht="31.5" x14ac:dyDescent="0.25">
      <c r="A64" s="59" t="s">
        <v>483</v>
      </c>
      <c r="B64" s="59" t="s">
        <v>58</v>
      </c>
      <c r="C64" s="60" t="s">
        <v>484</v>
      </c>
      <c r="D64" s="49">
        <f>'дод 3'!E96</f>
        <v>445933</v>
      </c>
      <c r="E64" s="49">
        <f>'дод 3'!F96</f>
        <v>445933</v>
      </c>
      <c r="F64" s="49">
        <f>'дод 3'!G96</f>
        <v>266200</v>
      </c>
      <c r="G64" s="49">
        <f>'дод 3'!H96</f>
        <v>66733</v>
      </c>
      <c r="H64" s="49">
        <f>'дод 3'!I96</f>
        <v>0</v>
      </c>
      <c r="I64" s="49">
        <f>'дод 3'!J96</f>
        <v>0</v>
      </c>
      <c r="J64" s="49">
        <f>'дод 3'!K96</f>
        <v>0</v>
      </c>
      <c r="K64" s="49">
        <f>'дод 3'!L96</f>
        <v>0</v>
      </c>
      <c r="L64" s="49">
        <f>'дод 3'!M96</f>
        <v>0</v>
      </c>
      <c r="M64" s="49">
        <f>'дод 3'!N96</f>
        <v>0</v>
      </c>
      <c r="N64" s="49">
        <f>'дод 3'!O96</f>
        <v>0</v>
      </c>
      <c r="O64" s="49">
        <f>'дод 3'!P96</f>
        <v>445933</v>
      </c>
    </row>
    <row r="65" spans="1:15" ht="36.75" customHeight="1" x14ac:dyDescent="0.25">
      <c r="A65" s="59" t="s">
        <v>486</v>
      </c>
      <c r="B65" s="59" t="s">
        <v>58</v>
      </c>
      <c r="C65" s="60" t="s">
        <v>512</v>
      </c>
      <c r="D65" s="49">
        <f>'дод 3'!E97</f>
        <v>1499036</v>
      </c>
      <c r="E65" s="49">
        <f>'дод 3'!F97</f>
        <v>1499036</v>
      </c>
      <c r="F65" s="49">
        <f>'дод 3'!G97</f>
        <v>1228720</v>
      </c>
      <c r="G65" s="49">
        <f>'дод 3'!H97</f>
        <v>0</v>
      </c>
      <c r="H65" s="49">
        <f>'дод 3'!I97</f>
        <v>0</v>
      </c>
      <c r="I65" s="49">
        <f>'дод 3'!J97</f>
        <v>0</v>
      </c>
      <c r="J65" s="49">
        <f>'дод 3'!K97</f>
        <v>0</v>
      </c>
      <c r="K65" s="49">
        <f>'дод 3'!L97</f>
        <v>0</v>
      </c>
      <c r="L65" s="49">
        <f>'дод 3'!M97</f>
        <v>0</v>
      </c>
      <c r="M65" s="49">
        <f>'дод 3'!N97</f>
        <v>0</v>
      </c>
      <c r="N65" s="49">
        <f>'дод 3'!O97</f>
        <v>0</v>
      </c>
      <c r="O65" s="49">
        <f>'дод 3'!P97</f>
        <v>1499036</v>
      </c>
    </row>
    <row r="66" spans="1:15" ht="49.5" customHeight="1" x14ac:dyDescent="0.25">
      <c r="A66" s="37"/>
      <c r="B66" s="37"/>
      <c r="C66" s="87" t="s">
        <v>384</v>
      </c>
      <c r="D66" s="80">
        <f>'дод 3'!E98</f>
        <v>1499036</v>
      </c>
      <c r="E66" s="80">
        <f>'дод 3'!F98</f>
        <v>1499036</v>
      </c>
      <c r="F66" s="80">
        <f>'дод 3'!G98</f>
        <v>1228720</v>
      </c>
      <c r="G66" s="80">
        <f>'дод 3'!H98</f>
        <v>0</v>
      </c>
      <c r="H66" s="80">
        <f>'дод 3'!I98</f>
        <v>0</v>
      </c>
      <c r="I66" s="80">
        <f>'дод 3'!J98</f>
        <v>0</v>
      </c>
      <c r="J66" s="80">
        <f>'дод 3'!K98</f>
        <v>0</v>
      </c>
      <c r="K66" s="80">
        <f>'дод 3'!L98</f>
        <v>0</v>
      </c>
      <c r="L66" s="80">
        <f>'дод 3'!M98</f>
        <v>0</v>
      </c>
      <c r="M66" s="80">
        <f>'дод 3'!N98</f>
        <v>0</v>
      </c>
      <c r="N66" s="80">
        <f>'дод 3'!O98</f>
        <v>0</v>
      </c>
      <c r="O66" s="80">
        <f>'дод 3'!P98</f>
        <v>1499036</v>
      </c>
    </row>
    <row r="67" spans="1:15" s="54" customFormat="1" ht="31.5" x14ac:dyDescent="0.25">
      <c r="A67" s="59" t="s">
        <v>488</v>
      </c>
      <c r="B67" s="59" t="str">
        <f>'дод 8'!A19</f>
        <v>0160</v>
      </c>
      <c r="C67" s="60" t="s">
        <v>489</v>
      </c>
      <c r="D67" s="49">
        <f>'дод 3'!E99</f>
        <v>2521377</v>
      </c>
      <c r="E67" s="49">
        <f>'дод 3'!F99</f>
        <v>2521377</v>
      </c>
      <c r="F67" s="49">
        <f>'дод 3'!G99</f>
        <v>1880000</v>
      </c>
      <c r="G67" s="49">
        <f>'дод 3'!H99</f>
        <v>92977</v>
      </c>
      <c r="H67" s="49">
        <f>'дод 3'!I99</f>
        <v>0</v>
      </c>
      <c r="I67" s="49">
        <f>'дод 3'!J99</f>
        <v>50000</v>
      </c>
      <c r="J67" s="49">
        <f>'дод 3'!K99</f>
        <v>50000</v>
      </c>
      <c r="K67" s="49">
        <f>'дод 3'!L99</f>
        <v>0</v>
      </c>
      <c r="L67" s="49">
        <f>'дод 3'!M99</f>
        <v>0</v>
      </c>
      <c r="M67" s="49">
        <f>'дод 3'!N99</f>
        <v>0</v>
      </c>
      <c r="N67" s="49">
        <f>'дод 3'!O99</f>
        <v>50000</v>
      </c>
      <c r="O67" s="49">
        <f>'дод 3'!P99</f>
        <v>2571377</v>
      </c>
    </row>
    <row r="68" spans="1:15" s="54" customFormat="1" ht="66" customHeight="1" x14ac:dyDescent="0.25">
      <c r="A68" s="59" t="s">
        <v>570</v>
      </c>
      <c r="B68" s="59" t="s">
        <v>58</v>
      </c>
      <c r="C68" s="60" t="s">
        <v>573</v>
      </c>
      <c r="D68" s="49">
        <f>'дод 3'!E100</f>
        <v>0</v>
      </c>
      <c r="E68" s="49">
        <f>'дод 3'!F100</f>
        <v>0</v>
      </c>
      <c r="F68" s="49">
        <f>'дод 3'!G100</f>
        <v>0</v>
      </c>
      <c r="G68" s="49">
        <f>'дод 3'!H100</f>
        <v>0</v>
      </c>
      <c r="H68" s="49">
        <f>'дод 3'!I100</f>
        <v>0</v>
      </c>
      <c r="I68" s="49">
        <f>'дод 3'!J100</f>
        <v>1610670</v>
      </c>
      <c r="J68" s="49">
        <f>'дод 3'!K100</f>
        <v>1610670</v>
      </c>
      <c r="K68" s="49">
        <f>'дод 3'!L100</f>
        <v>0</v>
      </c>
      <c r="L68" s="49">
        <f>'дод 3'!M100</f>
        <v>0</v>
      </c>
      <c r="M68" s="49">
        <f>'дод 3'!N100</f>
        <v>0</v>
      </c>
      <c r="N68" s="49">
        <f>'дод 3'!O100</f>
        <v>1610670</v>
      </c>
      <c r="O68" s="49">
        <f>'дод 3'!P100</f>
        <v>1610670</v>
      </c>
    </row>
    <row r="69" spans="1:15" s="54" customFormat="1" ht="48" customHeight="1" x14ac:dyDescent="0.25">
      <c r="A69" s="59" t="s">
        <v>559</v>
      </c>
      <c r="B69" s="59" t="s">
        <v>58</v>
      </c>
      <c r="C69" s="60" t="s">
        <v>561</v>
      </c>
      <c r="D69" s="99">
        <f>'дод 3'!E101</f>
        <v>287772</v>
      </c>
      <c r="E69" s="99">
        <f>'дод 3'!F101</f>
        <v>287772</v>
      </c>
      <c r="F69" s="99">
        <f>'дод 3'!G101</f>
        <v>0</v>
      </c>
      <c r="G69" s="99">
        <f>'дод 3'!H101</f>
        <v>0</v>
      </c>
      <c r="H69" s="99">
        <f>'дод 3'!I101</f>
        <v>0</v>
      </c>
      <c r="I69" s="99">
        <f>'дод 3'!J101</f>
        <v>2859728</v>
      </c>
      <c r="J69" s="99">
        <f>'дод 3'!K101</f>
        <v>2859728</v>
      </c>
      <c r="K69" s="99">
        <f>'дод 3'!L101</f>
        <v>0</v>
      </c>
      <c r="L69" s="99">
        <f>'дод 3'!M101</f>
        <v>0</v>
      </c>
      <c r="M69" s="99">
        <f>'дод 3'!N101</f>
        <v>0</v>
      </c>
      <c r="N69" s="99">
        <f>'дод 3'!O101</f>
        <v>2859728</v>
      </c>
      <c r="O69" s="99">
        <f>'дод 3'!P101</f>
        <v>3147500</v>
      </c>
    </row>
    <row r="70" spans="1:15" s="54" customFormat="1" ht="47.25" x14ac:dyDescent="0.25">
      <c r="A70" s="84"/>
      <c r="B70" s="84"/>
      <c r="C70" s="87" t="s">
        <v>606</v>
      </c>
      <c r="D70" s="101">
        <f>'дод 3'!E102</f>
        <v>287772</v>
      </c>
      <c r="E70" s="101">
        <f>'дод 3'!F102</f>
        <v>287772</v>
      </c>
      <c r="F70" s="101">
        <f>'дод 3'!G102</f>
        <v>0</v>
      </c>
      <c r="G70" s="101">
        <f>'дод 3'!H102</f>
        <v>0</v>
      </c>
      <c r="H70" s="101">
        <f>'дод 3'!I102</f>
        <v>0</v>
      </c>
      <c r="I70" s="101">
        <f>'дод 3'!J102</f>
        <v>2859728</v>
      </c>
      <c r="J70" s="101">
        <f>'дод 3'!K102</f>
        <v>2859728</v>
      </c>
      <c r="K70" s="101">
        <f>'дод 3'!L102</f>
        <v>0</v>
      </c>
      <c r="L70" s="101">
        <f>'дод 3'!M102</f>
        <v>0</v>
      </c>
      <c r="M70" s="101">
        <f>'дод 3'!N102</f>
        <v>0</v>
      </c>
      <c r="N70" s="101">
        <f>'дод 3'!O102</f>
        <v>2859728</v>
      </c>
      <c r="O70" s="101">
        <f>'дод 3'!P102</f>
        <v>3147500</v>
      </c>
    </row>
    <row r="71" spans="1:15" s="54" customFormat="1" ht="78.75" x14ac:dyDescent="0.25">
      <c r="A71" s="59" t="s">
        <v>572</v>
      </c>
      <c r="B71" s="59" t="s">
        <v>58</v>
      </c>
      <c r="C71" s="60" t="s">
        <v>599</v>
      </c>
      <c r="D71" s="99">
        <f>'дод 3'!E103</f>
        <v>2037825</v>
      </c>
      <c r="E71" s="99">
        <f>'дод 3'!F103</f>
        <v>2037825</v>
      </c>
      <c r="F71" s="99">
        <f>'дод 3'!G103</f>
        <v>0</v>
      </c>
      <c r="G71" s="99">
        <f>'дод 3'!H103</f>
        <v>0</v>
      </c>
      <c r="H71" s="99">
        <f>'дод 3'!I103</f>
        <v>0</v>
      </c>
      <c r="I71" s="99">
        <f>'дод 3'!J103</f>
        <v>330427</v>
      </c>
      <c r="J71" s="99">
        <f>'дод 3'!K103</f>
        <v>330427</v>
      </c>
      <c r="K71" s="99">
        <f>'дод 3'!L103</f>
        <v>0</v>
      </c>
      <c r="L71" s="99">
        <f>'дод 3'!M103</f>
        <v>0</v>
      </c>
      <c r="M71" s="99">
        <f>'дод 3'!N103</f>
        <v>0</v>
      </c>
      <c r="N71" s="99">
        <f>'дод 3'!O103</f>
        <v>330427</v>
      </c>
      <c r="O71" s="99">
        <f>'дод 3'!P103</f>
        <v>2368252</v>
      </c>
    </row>
    <row r="72" spans="1:15" s="54" customFormat="1" x14ac:dyDescent="0.25">
      <c r="A72" s="84"/>
      <c r="B72" s="84"/>
      <c r="C72" s="87" t="s">
        <v>395</v>
      </c>
      <c r="D72" s="101">
        <f>'дод 3'!E104</f>
        <v>150000</v>
      </c>
      <c r="E72" s="101">
        <f>'дод 3'!F104</f>
        <v>150000</v>
      </c>
      <c r="F72" s="101">
        <f>'дод 3'!G104</f>
        <v>0</v>
      </c>
      <c r="G72" s="101">
        <f>'дод 3'!H104</f>
        <v>0</v>
      </c>
      <c r="H72" s="101">
        <f>'дод 3'!I104</f>
        <v>0</v>
      </c>
      <c r="I72" s="101">
        <f>'дод 3'!J104</f>
        <v>0</v>
      </c>
      <c r="J72" s="101">
        <f>'дод 3'!K104</f>
        <v>0</v>
      </c>
      <c r="K72" s="101">
        <f>'дод 3'!L104</f>
        <v>0</v>
      </c>
      <c r="L72" s="101">
        <f>'дод 3'!M104</f>
        <v>0</v>
      </c>
      <c r="M72" s="101">
        <f>'дод 3'!N104</f>
        <v>0</v>
      </c>
      <c r="N72" s="101">
        <f>'дод 3'!O104</f>
        <v>0</v>
      </c>
      <c r="O72" s="101">
        <f>'дод 3'!P104</f>
        <v>150000</v>
      </c>
    </row>
    <row r="73" spans="1:15" s="54" customFormat="1" ht="63" x14ac:dyDescent="0.25">
      <c r="A73" s="59" t="s">
        <v>560</v>
      </c>
      <c r="B73" s="59" t="s">
        <v>58</v>
      </c>
      <c r="C73" s="60" t="s">
        <v>607</v>
      </c>
      <c r="D73" s="49">
        <f>'дод 3'!E105</f>
        <v>6109696</v>
      </c>
      <c r="E73" s="49">
        <f>'дод 3'!F105</f>
        <v>6109696</v>
      </c>
      <c r="F73" s="49">
        <f>'дод 3'!G105</f>
        <v>0</v>
      </c>
      <c r="G73" s="49">
        <f>'дод 3'!H105</f>
        <v>0</v>
      </c>
      <c r="H73" s="49">
        <f>'дод 3'!I105</f>
        <v>0</v>
      </c>
      <c r="I73" s="49">
        <f>'дод 3'!J105</f>
        <v>797367</v>
      </c>
      <c r="J73" s="49">
        <f>'дод 3'!K105</f>
        <v>797367</v>
      </c>
      <c r="K73" s="49">
        <f>'дод 3'!L105</f>
        <v>0</v>
      </c>
      <c r="L73" s="49">
        <f>'дод 3'!M105</f>
        <v>0</v>
      </c>
      <c r="M73" s="49">
        <f>'дод 3'!N105</f>
        <v>0</v>
      </c>
      <c r="N73" s="49">
        <f>'дод 3'!O105</f>
        <v>797367</v>
      </c>
      <c r="O73" s="49">
        <f>'дод 3'!P105</f>
        <v>6907063</v>
      </c>
    </row>
    <row r="74" spans="1:15" s="54" customFormat="1" ht="68.25" customHeight="1" x14ac:dyDescent="0.25">
      <c r="A74" s="84"/>
      <c r="B74" s="84"/>
      <c r="C74" s="87" t="s">
        <v>562</v>
      </c>
      <c r="D74" s="80">
        <f>'дод 3'!E106</f>
        <v>6109696</v>
      </c>
      <c r="E74" s="80">
        <f>'дод 3'!F106</f>
        <v>6109696</v>
      </c>
      <c r="F74" s="80">
        <f>'дод 3'!G106</f>
        <v>0</v>
      </c>
      <c r="G74" s="80">
        <f>'дод 3'!H106</f>
        <v>0</v>
      </c>
      <c r="H74" s="80">
        <f>'дод 3'!I106</f>
        <v>0</v>
      </c>
      <c r="I74" s="80">
        <f>'дод 3'!J106</f>
        <v>797367</v>
      </c>
      <c r="J74" s="80">
        <f>'дод 3'!K106</f>
        <v>797367</v>
      </c>
      <c r="K74" s="80">
        <f>'дод 3'!L106</f>
        <v>0</v>
      </c>
      <c r="L74" s="80">
        <f>'дод 3'!M106</f>
        <v>0</v>
      </c>
      <c r="M74" s="80">
        <f>'дод 3'!N106</f>
        <v>0</v>
      </c>
      <c r="N74" s="80">
        <f>'дод 3'!O106</f>
        <v>797367</v>
      </c>
      <c r="O74" s="80">
        <f>'дод 3'!P106</f>
        <v>6907063</v>
      </c>
    </row>
    <row r="75" spans="1:15" s="54" customFormat="1" ht="63" x14ac:dyDescent="0.25">
      <c r="A75" s="59" t="s">
        <v>491</v>
      </c>
      <c r="B75" s="59" t="s">
        <v>58</v>
      </c>
      <c r="C75" s="94" t="s">
        <v>513</v>
      </c>
      <c r="D75" s="49">
        <f>'дод 3'!E107</f>
        <v>2612700</v>
      </c>
      <c r="E75" s="49">
        <f>'дод 3'!F107</f>
        <v>2612700</v>
      </c>
      <c r="F75" s="49">
        <f>'дод 3'!G107</f>
        <v>1459720</v>
      </c>
      <c r="G75" s="49">
        <f>'дод 3'!H107</f>
        <v>0</v>
      </c>
      <c r="H75" s="49">
        <f>'дод 3'!I107</f>
        <v>0</v>
      </c>
      <c r="I75" s="49">
        <f>'дод 3'!J107</f>
        <v>72000</v>
      </c>
      <c r="J75" s="49">
        <f>'дод 3'!K107</f>
        <v>72000</v>
      </c>
      <c r="K75" s="49">
        <f>'дод 3'!L107</f>
        <v>0</v>
      </c>
      <c r="L75" s="49">
        <f>'дод 3'!M107</f>
        <v>0</v>
      </c>
      <c r="M75" s="49">
        <f>'дод 3'!N107</f>
        <v>0</v>
      </c>
      <c r="N75" s="49">
        <f>'дод 3'!O107</f>
        <v>72000</v>
      </c>
      <c r="O75" s="49">
        <f>'дод 3'!P107</f>
        <v>2684700</v>
      </c>
    </row>
    <row r="76" spans="1:15" s="54" customFormat="1" ht="65.25" customHeight="1" x14ac:dyDescent="0.25">
      <c r="A76" s="59"/>
      <c r="B76" s="59"/>
      <c r="C76" s="87" t="s">
        <v>383</v>
      </c>
      <c r="D76" s="80">
        <f>'дод 3'!E108</f>
        <v>2612700</v>
      </c>
      <c r="E76" s="80">
        <f>'дод 3'!F108</f>
        <v>2612700</v>
      </c>
      <c r="F76" s="80">
        <f>'дод 3'!G108</f>
        <v>1459720</v>
      </c>
      <c r="G76" s="80">
        <f>'дод 3'!H108</f>
        <v>0</v>
      </c>
      <c r="H76" s="80">
        <f>'дод 3'!I108</f>
        <v>0</v>
      </c>
      <c r="I76" s="80">
        <f>'дод 3'!J108</f>
        <v>72000</v>
      </c>
      <c r="J76" s="80">
        <f>'дод 3'!K108</f>
        <v>72000</v>
      </c>
      <c r="K76" s="80">
        <f>'дод 3'!L108</f>
        <v>0</v>
      </c>
      <c r="L76" s="80">
        <f>'дод 3'!M108</f>
        <v>0</v>
      </c>
      <c r="M76" s="80">
        <f>'дод 3'!N108</f>
        <v>0</v>
      </c>
      <c r="N76" s="80">
        <f>'дод 3'!O108</f>
        <v>72000</v>
      </c>
      <c r="O76" s="80">
        <f>'дод 3'!P108</f>
        <v>2684700</v>
      </c>
    </row>
    <row r="77" spans="1:15" s="54" customFormat="1" ht="63" x14ac:dyDescent="0.25">
      <c r="A77" s="59" t="s">
        <v>525</v>
      </c>
      <c r="B77" s="59" t="s">
        <v>58</v>
      </c>
      <c r="C77" s="36" t="s">
        <v>523</v>
      </c>
      <c r="D77" s="49">
        <f>'дод 3'!E109</f>
        <v>1174231</v>
      </c>
      <c r="E77" s="49">
        <f>'дод 3'!F109</f>
        <v>1174231</v>
      </c>
      <c r="F77" s="49">
        <f>'дод 3'!G109</f>
        <v>962484</v>
      </c>
      <c r="G77" s="49">
        <f>'дод 3'!H109</f>
        <v>0</v>
      </c>
      <c r="H77" s="49">
        <f>'дод 3'!I109</f>
        <v>0</v>
      </c>
      <c r="I77" s="49">
        <f>'дод 3'!J109</f>
        <v>0</v>
      </c>
      <c r="J77" s="49">
        <f>'дод 3'!K109</f>
        <v>0</v>
      </c>
      <c r="K77" s="49">
        <f>'дод 3'!L109</f>
        <v>0</v>
      </c>
      <c r="L77" s="49">
        <f>'дод 3'!M109</f>
        <v>0</v>
      </c>
      <c r="M77" s="49">
        <f>'дод 3'!N109</f>
        <v>0</v>
      </c>
      <c r="N77" s="49">
        <f>'дод 3'!O109</f>
        <v>0</v>
      </c>
      <c r="O77" s="49">
        <f>'дод 3'!P109</f>
        <v>1174231</v>
      </c>
    </row>
    <row r="78" spans="1:15" s="54" customFormat="1" ht="63" x14ac:dyDescent="0.25">
      <c r="A78" s="59"/>
      <c r="B78" s="59"/>
      <c r="C78" s="87" t="s">
        <v>524</v>
      </c>
      <c r="D78" s="80">
        <f>'дод 3'!E110</f>
        <v>1174231</v>
      </c>
      <c r="E78" s="80">
        <f>'дод 3'!F110</f>
        <v>1174231</v>
      </c>
      <c r="F78" s="80">
        <f>'дод 3'!G110</f>
        <v>962484</v>
      </c>
      <c r="G78" s="80">
        <f>'дод 3'!H110</f>
        <v>0</v>
      </c>
      <c r="H78" s="80">
        <f>'дод 3'!I110</f>
        <v>0</v>
      </c>
      <c r="I78" s="80">
        <f>'дод 3'!J110</f>
        <v>0</v>
      </c>
      <c r="J78" s="80">
        <f>'дод 3'!K110</f>
        <v>0</v>
      </c>
      <c r="K78" s="80">
        <f>'дод 3'!L110</f>
        <v>0</v>
      </c>
      <c r="L78" s="80">
        <f>'дод 3'!M110</f>
        <v>0</v>
      </c>
      <c r="M78" s="80">
        <f>'дод 3'!N110</f>
        <v>0</v>
      </c>
      <c r="N78" s="80">
        <f>'дод 3'!O110</f>
        <v>0</v>
      </c>
      <c r="O78" s="80">
        <f>'дод 3'!P110</f>
        <v>1174231</v>
      </c>
    </row>
    <row r="79" spans="1:15" s="52" customFormat="1" ht="19.5" customHeight="1" x14ac:dyDescent="0.25">
      <c r="A79" s="38" t="s">
        <v>59</v>
      </c>
      <c r="B79" s="39"/>
      <c r="C79" s="9" t="s">
        <v>526</v>
      </c>
      <c r="D79" s="48">
        <f>D84+D89+D91+D93+D95+D98+D99+D88</f>
        <v>88437507.400000006</v>
      </c>
      <c r="E79" s="48">
        <f t="shared" ref="E79:O79" si="12">E84+E89+E91+E93+E95+E98+E99+E88</f>
        <v>88437507.400000006</v>
      </c>
      <c r="F79" s="48">
        <f t="shared" si="12"/>
        <v>2387600</v>
      </c>
      <c r="G79" s="48">
        <f t="shared" si="12"/>
        <v>61784</v>
      </c>
      <c r="H79" s="48">
        <f t="shared" si="12"/>
        <v>0</v>
      </c>
      <c r="I79" s="48">
        <f t="shared" si="12"/>
        <v>73377320.819999993</v>
      </c>
      <c r="J79" s="48">
        <f t="shared" si="12"/>
        <v>73377320.819999993</v>
      </c>
      <c r="K79" s="48">
        <f t="shared" si="12"/>
        <v>0</v>
      </c>
      <c r="L79" s="48">
        <f t="shared" si="12"/>
        <v>0</v>
      </c>
      <c r="M79" s="48">
        <f t="shared" si="12"/>
        <v>0</v>
      </c>
      <c r="N79" s="48">
        <f t="shared" si="12"/>
        <v>73377320.819999993</v>
      </c>
      <c r="O79" s="48">
        <f t="shared" si="12"/>
        <v>161814828.22</v>
      </c>
    </row>
    <row r="80" spans="1:15" s="53" customFormat="1" ht="31.5" hidden="1" x14ac:dyDescent="0.25">
      <c r="A80" s="71"/>
      <c r="B80" s="74"/>
      <c r="C80" s="75" t="s">
        <v>390</v>
      </c>
      <c r="D80" s="76">
        <f>D85+D90+D92</f>
        <v>0</v>
      </c>
      <c r="E80" s="76">
        <f t="shared" ref="E80:O80" si="13">E85+E90+E92</f>
        <v>0</v>
      </c>
      <c r="F80" s="76">
        <f t="shared" si="13"/>
        <v>0</v>
      </c>
      <c r="G80" s="76">
        <f t="shared" si="13"/>
        <v>0</v>
      </c>
      <c r="H80" s="76">
        <f t="shared" si="13"/>
        <v>0</v>
      </c>
      <c r="I80" s="76">
        <f t="shared" si="13"/>
        <v>0</v>
      </c>
      <c r="J80" s="76">
        <f t="shared" si="13"/>
        <v>0</v>
      </c>
      <c r="K80" s="76">
        <f t="shared" si="13"/>
        <v>0</v>
      </c>
      <c r="L80" s="76">
        <f t="shared" si="13"/>
        <v>0</v>
      </c>
      <c r="M80" s="76">
        <f t="shared" si="13"/>
        <v>0</v>
      </c>
      <c r="N80" s="76">
        <f t="shared" si="13"/>
        <v>0</v>
      </c>
      <c r="O80" s="76">
        <f t="shared" si="13"/>
        <v>0</v>
      </c>
    </row>
    <row r="81" spans="1:15" s="53" customFormat="1" ht="47.25" hidden="1" x14ac:dyDescent="0.25">
      <c r="A81" s="71"/>
      <c r="B81" s="74"/>
      <c r="C81" s="75" t="s">
        <v>391</v>
      </c>
      <c r="D81" s="76">
        <f>D86+D96</f>
        <v>0</v>
      </c>
      <c r="E81" s="76">
        <f t="shared" ref="E81:O81" si="14">E86+E96</f>
        <v>0</v>
      </c>
      <c r="F81" s="76">
        <f t="shared" si="14"/>
        <v>0</v>
      </c>
      <c r="G81" s="76">
        <f t="shared" si="14"/>
        <v>0</v>
      </c>
      <c r="H81" s="76">
        <f t="shared" si="14"/>
        <v>0</v>
      </c>
      <c r="I81" s="76">
        <f t="shared" si="14"/>
        <v>0</v>
      </c>
      <c r="J81" s="76">
        <f t="shared" si="14"/>
        <v>0</v>
      </c>
      <c r="K81" s="76">
        <f t="shared" si="14"/>
        <v>0</v>
      </c>
      <c r="L81" s="76">
        <f t="shared" si="14"/>
        <v>0</v>
      </c>
      <c r="M81" s="76">
        <f t="shared" si="14"/>
        <v>0</v>
      </c>
      <c r="N81" s="76">
        <f t="shared" si="14"/>
        <v>0</v>
      </c>
      <c r="O81" s="76">
        <f t="shared" si="14"/>
        <v>0</v>
      </c>
    </row>
    <row r="82" spans="1:15" s="53" customFormat="1" ht="66.75" customHeight="1" x14ac:dyDescent="0.25">
      <c r="A82" s="71"/>
      <c r="B82" s="74"/>
      <c r="C82" s="75" t="s">
        <v>392</v>
      </c>
      <c r="D82" s="76">
        <f>D94+D97</f>
        <v>11403700</v>
      </c>
      <c r="E82" s="76">
        <f t="shared" ref="E82:O82" si="15">E94+E97</f>
        <v>11403700</v>
      </c>
      <c r="F82" s="76">
        <f t="shared" si="15"/>
        <v>0</v>
      </c>
      <c r="G82" s="76">
        <f t="shared" si="15"/>
        <v>0</v>
      </c>
      <c r="H82" s="76">
        <f t="shared" si="15"/>
        <v>0</v>
      </c>
      <c r="I82" s="76">
        <f t="shared" si="15"/>
        <v>0</v>
      </c>
      <c r="J82" s="76">
        <f t="shared" si="15"/>
        <v>0</v>
      </c>
      <c r="K82" s="76">
        <f t="shared" si="15"/>
        <v>0</v>
      </c>
      <c r="L82" s="76">
        <f t="shared" si="15"/>
        <v>0</v>
      </c>
      <c r="M82" s="76">
        <f t="shared" si="15"/>
        <v>0</v>
      </c>
      <c r="N82" s="76">
        <f t="shared" si="15"/>
        <v>0</v>
      </c>
      <c r="O82" s="76">
        <f t="shared" si="15"/>
        <v>11403700</v>
      </c>
    </row>
    <row r="83" spans="1:15" s="53" customFormat="1" x14ac:dyDescent="0.25">
      <c r="A83" s="71"/>
      <c r="B83" s="74"/>
      <c r="C83" s="75" t="s">
        <v>393</v>
      </c>
      <c r="D83" s="76">
        <f>D87</f>
        <v>0</v>
      </c>
      <c r="E83" s="76">
        <f t="shared" ref="E83:O83" si="16">E87</f>
        <v>0</v>
      </c>
      <c r="F83" s="76">
        <f t="shared" si="16"/>
        <v>0</v>
      </c>
      <c r="G83" s="76">
        <f t="shared" si="16"/>
        <v>0</v>
      </c>
      <c r="H83" s="76">
        <f t="shared" si="16"/>
        <v>0</v>
      </c>
      <c r="I83" s="76">
        <f t="shared" si="16"/>
        <v>5750000</v>
      </c>
      <c r="J83" s="76">
        <f t="shared" si="16"/>
        <v>5750000</v>
      </c>
      <c r="K83" s="76">
        <f t="shared" si="16"/>
        <v>0</v>
      </c>
      <c r="L83" s="76">
        <f t="shared" si="16"/>
        <v>0</v>
      </c>
      <c r="M83" s="76">
        <f t="shared" si="16"/>
        <v>0</v>
      </c>
      <c r="N83" s="76">
        <f t="shared" si="16"/>
        <v>5750000</v>
      </c>
      <c r="O83" s="76">
        <f t="shared" si="16"/>
        <v>5750000</v>
      </c>
    </row>
    <row r="84" spans="1:15" ht="33" customHeight="1" x14ac:dyDescent="0.25">
      <c r="A84" s="37" t="s">
        <v>60</v>
      </c>
      <c r="B84" s="37" t="s">
        <v>61</v>
      </c>
      <c r="C84" s="6" t="s">
        <v>624</v>
      </c>
      <c r="D84" s="49">
        <f>'дод 3'!E136</f>
        <v>39575027.399999999</v>
      </c>
      <c r="E84" s="49">
        <f>'дод 3'!F136</f>
        <v>39575027.399999999</v>
      </c>
      <c r="F84" s="49">
        <f>'дод 3'!G136</f>
        <v>0</v>
      </c>
      <c r="G84" s="49">
        <f>'дод 3'!H136</f>
        <v>0</v>
      </c>
      <c r="H84" s="49">
        <f>'дод 3'!I136</f>
        <v>0</v>
      </c>
      <c r="I84" s="49">
        <f>'дод 3'!J136</f>
        <v>45245966.82</v>
      </c>
      <c r="J84" s="49">
        <f>'дод 3'!K136</f>
        <v>45245966.82</v>
      </c>
      <c r="K84" s="49">
        <f>'дод 3'!L136</f>
        <v>0</v>
      </c>
      <c r="L84" s="49">
        <f>'дод 3'!M136</f>
        <v>0</v>
      </c>
      <c r="M84" s="49">
        <f>'дод 3'!N136</f>
        <v>0</v>
      </c>
      <c r="N84" s="49">
        <f>'дод 3'!O136</f>
        <v>45245966.82</v>
      </c>
      <c r="O84" s="49">
        <f>'дод 3'!P136</f>
        <v>84820994.219999999</v>
      </c>
    </row>
    <row r="85" spans="1:15" s="54" customFormat="1" ht="31.5" hidden="1" customHeight="1" x14ac:dyDescent="0.25">
      <c r="A85" s="78"/>
      <c r="B85" s="78"/>
      <c r="C85" s="79" t="s">
        <v>390</v>
      </c>
      <c r="D85" s="80">
        <f>'дод 3'!E137</f>
        <v>0</v>
      </c>
      <c r="E85" s="80">
        <f>'дод 3'!F137</f>
        <v>0</v>
      </c>
      <c r="F85" s="80">
        <f>'дод 3'!G137</f>
        <v>0</v>
      </c>
      <c r="G85" s="80">
        <f>'дод 3'!H137</f>
        <v>0</v>
      </c>
      <c r="H85" s="80">
        <f>'дод 3'!I137</f>
        <v>0</v>
      </c>
      <c r="I85" s="80">
        <f>'дод 3'!J137</f>
        <v>0</v>
      </c>
      <c r="J85" s="80">
        <f>'дод 3'!K137</f>
        <v>0</v>
      </c>
      <c r="K85" s="80">
        <f>'дод 3'!L137</f>
        <v>0</v>
      </c>
      <c r="L85" s="80">
        <f>'дод 3'!M137</f>
        <v>0</v>
      </c>
      <c r="M85" s="80">
        <f>'дод 3'!N137</f>
        <v>0</v>
      </c>
      <c r="N85" s="80">
        <f>'дод 3'!O137</f>
        <v>0</v>
      </c>
      <c r="O85" s="80">
        <f>'дод 3'!P137</f>
        <v>0</v>
      </c>
    </row>
    <row r="86" spans="1:15" s="54" customFormat="1" ht="47.25" hidden="1" x14ac:dyDescent="0.25">
      <c r="A86" s="78"/>
      <c r="B86" s="78"/>
      <c r="C86" s="79" t="s">
        <v>391</v>
      </c>
      <c r="D86" s="80">
        <f>'дод 3'!E138</f>
        <v>0</v>
      </c>
      <c r="E86" s="80">
        <f>'дод 3'!F138</f>
        <v>0</v>
      </c>
      <c r="F86" s="80">
        <f>'дод 3'!G138</f>
        <v>0</v>
      </c>
      <c r="G86" s="80">
        <f>'дод 3'!H138</f>
        <v>0</v>
      </c>
      <c r="H86" s="80">
        <f>'дод 3'!I138</f>
        <v>0</v>
      </c>
      <c r="I86" s="80">
        <f>'дод 3'!J138</f>
        <v>0</v>
      </c>
      <c r="J86" s="80">
        <f>'дод 3'!K138</f>
        <v>0</v>
      </c>
      <c r="K86" s="80">
        <f>'дод 3'!L138</f>
        <v>0</v>
      </c>
      <c r="L86" s="80">
        <f>'дод 3'!M138</f>
        <v>0</v>
      </c>
      <c r="M86" s="80">
        <f>'дод 3'!N138</f>
        <v>0</v>
      </c>
      <c r="N86" s="80">
        <f>'дод 3'!O138</f>
        <v>0</v>
      </c>
      <c r="O86" s="80">
        <f>'дод 3'!P138</f>
        <v>0</v>
      </c>
    </row>
    <row r="87" spans="1:15" s="54" customFormat="1" x14ac:dyDescent="0.25">
      <c r="A87" s="78"/>
      <c r="B87" s="78"/>
      <c r="C87" s="79" t="s">
        <v>393</v>
      </c>
      <c r="D87" s="80">
        <f>'дод 3'!E139</f>
        <v>0</v>
      </c>
      <c r="E87" s="80">
        <f>'дод 3'!F139</f>
        <v>0</v>
      </c>
      <c r="F87" s="80">
        <f>'дод 3'!G139</f>
        <v>0</v>
      </c>
      <c r="G87" s="80">
        <f>'дод 3'!H139</f>
        <v>0</v>
      </c>
      <c r="H87" s="80">
        <f>'дод 3'!I139</f>
        <v>0</v>
      </c>
      <c r="I87" s="80">
        <f>'дод 3'!J139</f>
        <v>5750000</v>
      </c>
      <c r="J87" s="80">
        <f>'дод 3'!K139</f>
        <v>5750000</v>
      </c>
      <c r="K87" s="80">
        <f>'дод 3'!L139</f>
        <v>0</v>
      </c>
      <c r="L87" s="80">
        <f>'дод 3'!M139</f>
        <v>0</v>
      </c>
      <c r="M87" s="80">
        <f>'дод 3'!N139</f>
        <v>0</v>
      </c>
      <c r="N87" s="80">
        <f>'дод 3'!O139</f>
        <v>5750000</v>
      </c>
      <c r="O87" s="80">
        <f>'дод 3'!P139</f>
        <v>5750000</v>
      </c>
    </row>
    <row r="88" spans="1:15" ht="31.5" x14ac:dyDescent="0.25">
      <c r="A88" s="37">
        <v>2020</v>
      </c>
      <c r="B88" s="58" t="s">
        <v>448</v>
      </c>
      <c r="C88" s="6" t="s">
        <v>451</v>
      </c>
      <c r="D88" s="49">
        <f>'дод 3'!E140</f>
        <v>90000</v>
      </c>
      <c r="E88" s="49">
        <f>'дод 3'!F140</f>
        <v>90000</v>
      </c>
      <c r="F88" s="49">
        <f>'дод 3'!G140</f>
        <v>0</v>
      </c>
      <c r="G88" s="49">
        <f>'дод 3'!H140</f>
        <v>0</v>
      </c>
      <c r="H88" s="49">
        <f>'дод 3'!I140</f>
        <v>0</v>
      </c>
      <c r="I88" s="49">
        <f>'дод 3'!J140</f>
        <v>0</v>
      </c>
      <c r="J88" s="49">
        <f>'дод 3'!K140</f>
        <v>0</v>
      </c>
      <c r="K88" s="49">
        <f>'дод 3'!L140</f>
        <v>0</v>
      </c>
      <c r="L88" s="49">
        <f>'дод 3'!M140</f>
        <v>0</v>
      </c>
      <c r="M88" s="49">
        <f>'дод 3'!N140</f>
        <v>0</v>
      </c>
      <c r="N88" s="49">
        <f>'дод 3'!O140</f>
        <v>0</v>
      </c>
      <c r="O88" s="49">
        <f>'дод 3'!P140</f>
        <v>90000</v>
      </c>
    </row>
    <row r="89" spans="1:15" ht="36.75" customHeight="1" x14ac:dyDescent="0.25">
      <c r="A89" s="37" t="s">
        <v>120</v>
      </c>
      <c r="B89" s="37" t="s">
        <v>62</v>
      </c>
      <c r="C89" s="6" t="s">
        <v>464</v>
      </c>
      <c r="D89" s="49">
        <f>'дод 3'!E141</f>
        <v>3742159</v>
      </c>
      <c r="E89" s="49">
        <f>'дод 3'!F141</f>
        <v>3742159</v>
      </c>
      <c r="F89" s="49">
        <f>'дод 3'!G141</f>
        <v>0</v>
      </c>
      <c r="G89" s="49">
        <f>'дод 3'!H141</f>
        <v>0</v>
      </c>
      <c r="H89" s="49">
        <f>'дод 3'!I141</f>
        <v>0</v>
      </c>
      <c r="I89" s="49">
        <f>'дод 3'!J141</f>
        <v>5100000</v>
      </c>
      <c r="J89" s="49">
        <f>'дод 3'!K141</f>
        <v>5100000</v>
      </c>
      <c r="K89" s="49">
        <f>'дод 3'!L141</f>
        <v>0</v>
      </c>
      <c r="L89" s="49">
        <f>'дод 3'!M141</f>
        <v>0</v>
      </c>
      <c r="M89" s="49">
        <f>'дод 3'!N141</f>
        <v>0</v>
      </c>
      <c r="N89" s="49">
        <f>'дод 3'!O141</f>
        <v>5100000</v>
      </c>
      <c r="O89" s="49">
        <f>'дод 3'!P141</f>
        <v>8842159</v>
      </c>
    </row>
    <row r="90" spans="1:15" s="54" customFormat="1" ht="31.5" hidden="1" customHeight="1" x14ac:dyDescent="0.25">
      <c r="A90" s="78"/>
      <c r="B90" s="78"/>
      <c r="C90" s="79" t="s">
        <v>390</v>
      </c>
      <c r="D90" s="80">
        <f>'дод 3'!E142</f>
        <v>0</v>
      </c>
      <c r="E90" s="80">
        <f>'дод 3'!F142</f>
        <v>0</v>
      </c>
      <c r="F90" s="80">
        <f>'дод 3'!G142</f>
        <v>0</v>
      </c>
      <c r="G90" s="80">
        <f>'дод 3'!H142</f>
        <v>0</v>
      </c>
      <c r="H90" s="80">
        <f>'дод 3'!I142</f>
        <v>0</v>
      </c>
      <c r="I90" s="80">
        <f>'дод 3'!J142</f>
        <v>0</v>
      </c>
      <c r="J90" s="80">
        <f>'дод 3'!K142</f>
        <v>0</v>
      </c>
      <c r="K90" s="80">
        <f>'дод 3'!L142</f>
        <v>0</v>
      </c>
      <c r="L90" s="80">
        <f>'дод 3'!M142</f>
        <v>0</v>
      </c>
      <c r="M90" s="80">
        <f>'дод 3'!N142</f>
        <v>0</v>
      </c>
      <c r="N90" s="80">
        <f>'дод 3'!O142</f>
        <v>0</v>
      </c>
      <c r="O90" s="80">
        <f>'дод 3'!P142</f>
        <v>0</v>
      </c>
    </row>
    <row r="91" spans="1:15" ht="19.5" customHeight="1" x14ac:dyDescent="0.25">
      <c r="A91" s="37" t="s">
        <v>121</v>
      </c>
      <c r="B91" s="37" t="s">
        <v>63</v>
      </c>
      <c r="C91" s="6" t="s">
        <v>465</v>
      </c>
      <c r="D91" s="49">
        <f>'дод 3'!E143</f>
        <v>7683806</v>
      </c>
      <c r="E91" s="49">
        <f>'дод 3'!F143</f>
        <v>7683806</v>
      </c>
      <c r="F91" s="49">
        <f>'дод 3'!G143</f>
        <v>0</v>
      </c>
      <c r="G91" s="49">
        <f>'дод 3'!H143</f>
        <v>0</v>
      </c>
      <c r="H91" s="49">
        <f>'дод 3'!I143</f>
        <v>0</v>
      </c>
      <c r="I91" s="49">
        <f>'дод 3'!J143</f>
        <v>0</v>
      </c>
      <c r="J91" s="49">
        <f>'дод 3'!K143</f>
        <v>0</v>
      </c>
      <c r="K91" s="49">
        <f>'дод 3'!L143</f>
        <v>0</v>
      </c>
      <c r="L91" s="49">
        <f>'дод 3'!M143</f>
        <v>0</v>
      </c>
      <c r="M91" s="49">
        <f>'дод 3'!N143</f>
        <v>0</v>
      </c>
      <c r="N91" s="49">
        <f>'дод 3'!O143</f>
        <v>0</v>
      </c>
      <c r="O91" s="49">
        <f>'дод 3'!P143</f>
        <v>7683806</v>
      </c>
    </row>
    <row r="92" spans="1:15" s="54" customFormat="1" ht="31.5" hidden="1" customHeight="1" x14ac:dyDescent="0.25">
      <c r="A92" s="78"/>
      <c r="B92" s="78"/>
      <c r="C92" s="79" t="s">
        <v>390</v>
      </c>
      <c r="D92" s="80">
        <f>'дод 3'!E144</f>
        <v>0</v>
      </c>
      <c r="E92" s="80">
        <f>'дод 3'!F144</f>
        <v>0</v>
      </c>
      <c r="F92" s="80">
        <f>'дод 3'!G144</f>
        <v>0</v>
      </c>
      <c r="G92" s="80">
        <f>'дод 3'!H144</f>
        <v>0</v>
      </c>
      <c r="H92" s="80">
        <f>'дод 3'!I144</f>
        <v>0</v>
      </c>
      <c r="I92" s="80">
        <f>'дод 3'!J144</f>
        <v>0</v>
      </c>
      <c r="J92" s="80">
        <f>'дод 3'!K144</f>
        <v>0</v>
      </c>
      <c r="K92" s="80">
        <f>'дод 3'!L144</f>
        <v>0</v>
      </c>
      <c r="L92" s="80">
        <f>'дод 3'!M144</f>
        <v>0</v>
      </c>
      <c r="M92" s="80">
        <f>'дод 3'!N144</f>
        <v>0</v>
      </c>
      <c r="N92" s="80">
        <f>'дод 3'!O144</f>
        <v>0</v>
      </c>
      <c r="O92" s="80">
        <f>'дод 3'!P144</f>
        <v>0</v>
      </c>
    </row>
    <row r="93" spans="1:15" ht="48.75" customHeight="1" x14ac:dyDescent="0.25">
      <c r="A93" s="37" t="s">
        <v>122</v>
      </c>
      <c r="B93" s="37" t="s">
        <v>313</v>
      </c>
      <c r="C93" s="6" t="s">
        <v>466</v>
      </c>
      <c r="D93" s="49">
        <f>'дод 3'!E145</f>
        <v>3026631</v>
      </c>
      <c r="E93" s="49">
        <f>'дод 3'!F145</f>
        <v>3026631</v>
      </c>
      <c r="F93" s="49">
        <f>'дод 3'!G145</f>
        <v>0</v>
      </c>
      <c r="G93" s="49">
        <f>'дод 3'!H145</f>
        <v>0</v>
      </c>
      <c r="H93" s="49">
        <f>'дод 3'!I145</f>
        <v>0</v>
      </c>
      <c r="I93" s="49">
        <f>'дод 3'!J145</f>
        <v>0</v>
      </c>
      <c r="J93" s="49">
        <f>'дод 3'!K145</f>
        <v>0</v>
      </c>
      <c r="K93" s="49">
        <f>'дод 3'!L145</f>
        <v>0</v>
      </c>
      <c r="L93" s="49">
        <f>'дод 3'!M145</f>
        <v>0</v>
      </c>
      <c r="M93" s="49">
        <f>'дод 3'!N145</f>
        <v>0</v>
      </c>
      <c r="N93" s="49">
        <f>'дод 3'!O145</f>
        <v>0</v>
      </c>
      <c r="O93" s="49">
        <f>'дод 3'!P145</f>
        <v>3026631</v>
      </c>
    </row>
    <row r="94" spans="1:15" s="54" customFormat="1" ht="47.25" hidden="1" customHeight="1" x14ac:dyDescent="0.25">
      <c r="A94" s="78"/>
      <c r="B94" s="78"/>
      <c r="C94" s="81" t="s">
        <v>392</v>
      </c>
      <c r="D94" s="80">
        <f>'дод 3'!E146</f>
        <v>0</v>
      </c>
      <c r="E94" s="80">
        <f>'дод 3'!F146</f>
        <v>0</v>
      </c>
      <c r="F94" s="80">
        <f>'дод 3'!G146</f>
        <v>0</v>
      </c>
      <c r="G94" s="80">
        <f>'дод 3'!H146</f>
        <v>0</v>
      </c>
      <c r="H94" s="80">
        <f>'дод 3'!I146</f>
        <v>0</v>
      </c>
      <c r="I94" s="80">
        <f>'дод 3'!J146</f>
        <v>0</v>
      </c>
      <c r="J94" s="80">
        <f>'дод 3'!K146</f>
        <v>0</v>
      </c>
      <c r="K94" s="80">
        <f>'дод 3'!L146</f>
        <v>0</v>
      </c>
      <c r="L94" s="80">
        <f>'дод 3'!M146</f>
        <v>0</v>
      </c>
      <c r="M94" s="80">
        <f>'дод 3'!N146</f>
        <v>0</v>
      </c>
      <c r="N94" s="80">
        <f>'дод 3'!O146</f>
        <v>0</v>
      </c>
      <c r="O94" s="80">
        <f>'дод 3'!P146</f>
        <v>0</v>
      </c>
    </row>
    <row r="95" spans="1:15" ht="31.5" x14ac:dyDescent="0.25">
      <c r="A95" s="40">
        <v>2144</v>
      </c>
      <c r="B95" s="37" t="s">
        <v>64</v>
      </c>
      <c r="C95" s="6" t="s">
        <v>404</v>
      </c>
      <c r="D95" s="49">
        <f>'дод 3'!E147</f>
        <v>11403700</v>
      </c>
      <c r="E95" s="49">
        <f>'дод 3'!F147</f>
        <v>11403700</v>
      </c>
      <c r="F95" s="49">
        <f>'дод 3'!G147</f>
        <v>0</v>
      </c>
      <c r="G95" s="49">
        <f>'дод 3'!H147</f>
        <v>0</v>
      </c>
      <c r="H95" s="49">
        <f>'дод 3'!I147</f>
        <v>0</v>
      </c>
      <c r="I95" s="49">
        <f>'дод 3'!J147</f>
        <v>0</v>
      </c>
      <c r="J95" s="49">
        <f>'дод 3'!K147</f>
        <v>0</v>
      </c>
      <c r="K95" s="49">
        <f>'дод 3'!L147</f>
        <v>0</v>
      </c>
      <c r="L95" s="49">
        <f>'дод 3'!M147</f>
        <v>0</v>
      </c>
      <c r="M95" s="49">
        <f>'дод 3'!N147</f>
        <v>0</v>
      </c>
      <c r="N95" s="49">
        <f>'дод 3'!O147</f>
        <v>0</v>
      </c>
      <c r="O95" s="49">
        <f>'дод 3'!P147</f>
        <v>11403700</v>
      </c>
    </row>
    <row r="96" spans="1:15" s="54" customFormat="1" ht="47.25" hidden="1" customHeight="1" x14ac:dyDescent="0.25">
      <c r="A96" s="82"/>
      <c r="B96" s="78"/>
      <c r="C96" s="79" t="s">
        <v>391</v>
      </c>
      <c r="D96" s="80">
        <f>'дод 3'!E148</f>
        <v>0</v>
      </c>
      <c r="E96" s="80">
        <f>'дод 3'!F148</f>
        <v>0</v>
      </c>
      <c r="F96" s="80">
        <f>'дод 3'!G148</f>
        <v>0</v>
      </c>
      <c r="G96" s="80">
        <f>'дод 3'!H148</f>
        <v>0</v>
      </c>
      <c r="H96" s="80">
        <f>'дод 3'!I148</f>
        <v>0</v>
      </c>
      <c r="I96" s="80">
        <f>'дод 3'!J148</f>
        <v>0</v>
      </c>
      <c r="J96" s="80">
        <f>'дод 3'!K148</f>
        <v>0</v>
      </c>
      <c r="K96" s="80">
        <f>'дод 3'!L148</f>
        <v>0</v>
      </c>
      <c r="L96" s="80">
        <f>'дод 3'!M148</f>
        <v>0</v>
      </c>
      <c r="M96" s="80">
        <f>'дод 3'!N148</f>
        <v>0</v>
      </c>
      <c r="N96" s="80">
        <f>'дод 3'!O148</f>
        <v>0</v>
      </c>
      <c r="O96" s="80">
        <f>'дод 3'!P148</f>
        <v>0</v>
      </c>
    </row>
    <row r="97" spans="1:15" s="54" customFormat="1" ht="47.25" x14ac:dyDescent="0.25">
      <c r="A97" s="82"/>
      <c r="B97" s="78"/>
      <c r="C97" s="79" t="s">
        <v>392</v>
      </c>
      <c r="D97" s="80">
        <f>'дод 3'!E149</f>
        <v>11403700</v>
      </c>
      <c r="E97" s="80">
        <f>'дод 3'!F149</f>
        <v>11403700</v>
      </c>
      <c r="F97" s="80">
        <f>'дод 3'!G149</f>
        <v>0</v>
      </c>
      <c r="G97" s="80">
        <f>'дод 3'!H149</f>
        <v>0</v>
      </c>
      <c r="H97" s="80">
        <f>'дод 3'!I149</f>
        <v>0</v>
      </c>
      <c r="I97" s="80">
        <f>'дод 3'!J149</f>
        <v>0</v>
      </c>
      <c r="J97" s="80">
        <f>'дод 3'!K149</f>
        <v>0</v>
      </c>
      <c r="K97" s="80">
        <f>'дод 3'!L149</f>
        <v>0</v>
      </c>
      <c r="L97" s="80">
        <f>'дод 3'!M149</f>
        <v>0</v>
      </c>
      <c r="M97" s="80">
        <f>'дод 3'!N149</f>
        <v>0</v>
      </c>
      <c r="N97" s="80">
        <f>'дод 3'!O149</f>
        <v>0</v>
      </c>
      <c r="O97" s="80">
        <f>'дод 3'!P149</f>
        <v>11403700</v>
      </c>
    </row>
    <row r="98" spans="1:15" ht="33.75" customHeight="1" x14ac:dyDescent="0.25">
      <c r="A98" s="37" t="s">
        <v>282</v>
      </c>
      <c r="B98" s="37" t="s">
        <v>64</v>
      </c>
      <c r="C98" s="3" t="s">
        <v>284</v>
      </c>
      <c r="D98" s="49">
        <f>'дод 3'!E150</f>
        <v>3062384</v>
      </c>
      <c r="E98" s="49">
        <f>'дод 3'!F150</f>
        <v>3062384</v>
      </c>
      <c r="F98" s="49">
        <f>'дод 3'!G150</f>
        <v>2387600</v>
      </c>
      <c r="G98" s="49">
        <f>'дод 3'!H150</f>
        <v>61784</v>
      </c>
      <c r="H98" s="49">
        <f>'дод 3'!I150</f>
        <v>0</v>
      </c>
      <c r="I98" s="49">
        <f>'дод 3'!J150</f>
        <v>0</v>
      </c>
      <c r="J98" s="49">
        <f>'дод 3'!K150</f>
        <v>0</v>
      </c>
      <c r="K98" s="49">
        <f>'дод 3'!L150</f>
        <v>0</v>
      </c>
      <c r="L98" s="49">
        <f>'дод 3'!M150</f>
        <v>0</v>
      </c>
      <c r="M98" s="49">
        <f>'дод 3'!N150</f>
        <v>0</v>
      </c>
      <c r="N98" s="49">
        <f>'дод 3'!O150</f>
        <v>0</v>
      </c>
      <c r="O98" s="49">
        <f>'дод 3'!P150</f>
        <v>3062384</v>
      </c>
    </row>
    <row r="99" spans="1:15" ht="21.75" customHeight="1" x14ac:dyDescent="0.25">
      <c r="A99" s="37" t="s">
        <v>283</v>
      </c>
      <c r="B99" s="37" t="s">
        <v>64</v>
      </c>
      <c r="C99" s="3" t="s">
        <v>285</v>
      </c>
      <c r="D99" s="49">
        <f>'дод 3'!E151</f>
        <v>19853800</v>
      </c>
      <c r="E99" s="49">
        <f>'дод 3'!F151</f>
        <v>19853800</v>
      </c>
      <c r="F99" s="49">
        <f>'дод 3'!G151</f>
        <v>0</v>
      </c>
      <c r="G99" s="49">
        <f>'дод 3'!H151</f>
        <v>0</v>
      </c>
      <c r="H99" s="49">
        <f>'дод 3'!I151</f>
        <v>0</v>
      </c>
      <c r="I99" s="49">
        <f>'дод 3'!J151</f>
        <v>23031354</v>
      </c>
      <c r="J99" s="49">
        <f>'дод 3'!K151</f>
        <v>23031354</v>
      </c>
      <c r="K99" s="49">
        <f>'дод 3'!L151</f>
        <v>0</v>
      </c>
      <c r="L99" s="49">
        <f>'дод 3'!M151</f>
        <v>0</v>
      </c>
      <c r="M99" s="49">
        <f>'дод 3'!N151</f>
        <v>0</v>
      </c>
      <c r="N99" s="49">
        <f>'дод 3'!O151</f>
        <v>23031354</v>
      </c>
      <c r="O99" s="49">
        <f>'дод 3'!P151</f>
        <v>42885154</v>
      </c>
    </row>
    <row r="100" spans="1:15" s="52" customFormat="1" ht="33" customHeight="1" x14ac:dyDescent="0.25">
      <c r="A100" s="38" t="s">
        <v>65</v>
      </c>
      <c r="B100" s="41"/>
      <c r="C100" s="2" t="s">
        <v>514</v>
      </c>
      <c r="D100" s="48">
        <f>D106+D107+D108+D110+D111+D112+D114+D116+D117+D118+D119+D120+D121+D122+D123+D125+D127+D128+D129+D130+D131+D132+D134+D138+D139</f>
        <v>147144756.35000002</v>
      </c>
      <c r="E100" s="48">
        <f t="shared" ref="E100:O100" si="17">E106+E107+E108+E110+E111+E112+E114+E116+E117+E118+E119+E120+E121+E122+E123+E125+E127+E128+E129+E130+E131+E132+E134+E138+E139</f>
        <v>147144756.35000002</v>
      </c>
      <c r="F100" s="48">
        <f t="shared" si="17"/>
        <v>21152900</v>
      </c>
      <c r="G100" s="48">
        <f t="shared" si="17"/>
        <v>848091</v>
      </c>
      <c r="H100" s="48">
        <f t="shared" si="17"/>
        <v>0</v>
      </c>
      <c r="I100" s="48">
        <f t="shared" si="17"/>
        <v>2465811.0499999998</v>
      </c>
      <c r="J100" s="48">
        <f t="shared" si="17"/>
        <v>2369611.0499999998</v>
      </c>
      <c r="K100" s="48">
        <f t="shared" si="17"/>
        <v>96200</v>
      </c>
      <c r="L100" s="48">
        <f t="shared" si="17"/>
        <v>75000</v>
      </c>
      <c r="M100" s="48">
        <f t="shared" si="17"/>
        <v>0</v>
      </c>
      <c r="N100" s="48">
        <f t="shared" si="17"/>
        <v>2369611.0499999998</v>
      </c>
      <c r="O100" s="48">
        <f t="shared" si="17"/>
        <v>149610567.40000001</v>
      </c>
    </row>
    <row r="101" spans="1:15" s="53" customFormat="1" ht="262.5" hidden="1" customHeight="1" x14ac:dyDescent="0.25">
      <c r="A101" s="71"/>
      <c r="B101" s="72"/>
      <c r="C101" s="75" t="s">
        <v>444</v>
      </c>
      <c r="D101" s="76">
        <f>D133</f>
        <v>0</v>
      </c>
      <c r="E101" s="76">
        <f t="shared" ref="E101:O101" si="18">E133</f>
        <v>0</v>
      </c>
      <c r="F101" s="76">
        <f t="shared" si="18"/>
        <v>0</v>
      </c>
      <c r="G101" s="76">
        <f t="shared" si="18"/>
        <v>0</v>
      </c>
      <c r="H101" s="76">
        <f t="shared" si="18"/>
        <v>0</v>
      </c>
      <c r="I101" s="76">
        <f t="shared" si="18"/>
        <v>975480.06</v>
      </c>
      <c r="J101" s="76">
        <f t="shared" si="18"/>
        <v>975480.06</v>
      </c>
      <c r="K101" s="76">
        <f t="shared" si="18"/>
        <v>0</v>
      </c>
      <c r="L101" s="76">
        <f t="shared" si="18"/>
        <v>0</v>
      </c>
      <c r="M101" s="76">
        <f t="shared" si="18"/>
        <v>0</v>
      </c>
      <c r="N101" s="76">
        <f t="shared" si="18"/>
        <v>975480.06</v>
      </c>
      <c r="O101" s="76">
        <f t="shared" si="18"/>
        <v>975480.06</v>
      </c>
    </row>
    <row r="102" spans="1:15" s="53" customFormat="1" ht="231" hidden="1" customHeight="1" x14ac:dyDescent="0.25">
      <c r="A102" s="71"/>
      <c r="B102" s="72"/>
      <c r="C102" s="75" t="s">
        <v>443</v>
      </c>
      <c r="D102" s="76">
        <f>D137</f>
        <v>0</v>
      </c>
      <c r="E102" s="76">
        <f t="shared" ref="E102:O102" si="19">E137</f>
        <v>0</v>
      </c>
      <c r="F102" s="76">
        <f t="shared" si="19"/>
        <v>0</v>
      </c>
      <c r="G102" s="76">
        <f t="shared" si="19"/>
        <v>0</v>
      </c>
      <c r="H102" s="76">
        <f t="shared" si="19"/>
        <v>0</v>
      </c>
      <c r="I102" s="76">
        <f t="shared" si="19"/>
        <v>0</v>
      </c>
      <c r="J102" s="76">
        <f t="shared" si="19"/>
        <v>0</v>
      </c>
      <c r="K102" s="76">
        <f t="shared" si="19"/>
        <v>0</v>
      </c>
      <c r="L102" s="76">
        <f t="shared" si="19"/>
        <v>0</v>
      </c>
      <c r="M102" s="76">
        <f t="shared" si="19"/>
        <v>0</v>
      </c>
      <c r="N102" s="76">
        <f t="shared" si="19"/>
        <v>0</v>
      </c>
      <c r="O102" s="76">
        <f t="shared" si="19"/>
        <v>0</v>
      </c>
    </row>
    <row r="103" spans="1:15" s="53" customFormat="1" x14ac:dyDescent="0.25">
      <c r="A103" s="71"/>
      <c r="B103" s="72"/>
      <c r="C103" s="75" t="s">
        <v>395</v>
      </c>
      <c r="D103" s="76">
        <f>D109+D113+D115+D124+D126+D140</f>
        <v>4858460.24</v>
      </c>
      <c r="E103" s="76">
        <f t="shared" ref="E103:O103" si="20">E109+E113+E115+E124+E126+E140</f>
        <v>4858460.24</v>
      </c>
      <c r="F103" s="76">
        <f t="shared" si="20"/>
        <v>0</v>
      </c>
      <c r="G103" s="76">
        <f t="shared" si="20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6">
        <f t="shared" si="20"/>
        <v>0</v>
      </c>
      <c r="M103" s="76">
        <f t="shared" si="20"/>
        <v>0</v>
      </c>
      <c r="N103" s="76">
        <f t="shared" si="20"/>
        <v>0</v>
      </c>
      <c r="O103" s="76">
        <f t="shared" si="20"/>
        <v>4858460.24</v>
      </c>
    </row>
    <row r="104" spans="1:15" s="53" customFormat="1" ht="283.5" x14ac:dyDescent="0.25">
      <c r="A104" s="71"/>
      <c r="B104" s="72"/>
      <c r="C104" s="77" t="s">
        <v>583</v>
      </c>
      <c r="D104" s="76">
        <f>D133</f>
        <v>0</v>
      </c>
      <c r="E104" s="76">
        <f t="shared" ref="E104:O104" si="21">E133</f>
        <v>0</v>
      </c>
      <c r="F104" s="76">
        <f t="shared" si="21"/>
        <v>0</v>
      </c>
      <c r="G104" s="76">
        <f t="shared" si="21"/>
        <v>0</v>
      </c>
      <c r="H104" s="76">
        <f t="shared" si="21"/>
        <v>0</v>
      </c>
      <c r="I104" s="76">
        <f t="shared" si="21"/>
        <v>975480.06</v>
      </c>
      <c r="J104" s="76">
        <f t="shared" si="21"/>
        <v>975480.06</v>
      </c>
      <c r="K104" s="76">
        <f t="shared" si="21"/>
        <v>0</v>
      </c>
      <c r="L104" s="76">
        <f t="shared" si="21"/>
        <v>0</v>
      </c>
      <c r="M104" s="76">
        <f t="shared" si="21"/>
        <v>0</v>
      </c>
      <c r="N104" s="76">
        <f t="shared" si="21"/>
        <v>975480.06</v>
      </c>
      <c r="O104" s="76">
        <f t="shared" si="21"/>
        <v>975480.06</v>
      </c>
    </row>
    <row r="105" spans="1:15" s="53" customFormat="1" ht="350.25" customHeight="1" x14ac:dyDescent="0.25">
      <c r="A105" s="71"/>
      <c r="B105" s="72"/>
      <c r="C105" s="77" t="s">
        <v>609</v>
      </c>
      <c r="D105" s="76">
        <f>D135</f>
        <v>0</v>
      </c>
      <c r="E105" s="76">
        <f t="shared" ref="E105:O105" si="22">E135</f>
        <v>0</v>
      </c>
      <c r="F105" s="76">
        <f t="shared" si="22"/>
        <v>0</v>
      </c>
      <c r="G105" s="76">
        <f t="shared" si="22"/>
        <v>0</v>
      </c>
      <c r="H105" s="76">
        <f t="shared" si="22"/>
        <v>0</v>
      </c>
      <c r="I105" s="76">
        <f t="shared" si="22"/>
        <v>1176130.99</v>
      </c>
      <c r="J105" s="76">
        <f t="shared" si="22"/>
        <v>1176130.99</v>
      </c>
      <c r="K105" s="76">
        <f t="shared" si="22"/>
        <v>0</v>
      </c>
      <c r="L105" s="76">
        <f t="shared" si="22"/>
        <v>0</v>
      </c>
      <c r="M105" s="76">
        <f t="shared" si="22"/>
        <v>0</v>
      </c>
      <c r="N105" s="76">
        <f t="shared" si="22"/>
        <v>1176130.99</v>
      </c>
      <c r="O105" s="76">
        <f t="shared" si="22"/>
        <v>1176130.99</v>
      </c>
    </row>
    <row r="106" spans="1:15" ht="38.25" customHeight="1" x14ac:dyDescent="0.25">
      <c r="A106" s="37" t="s">
        <v>98</v>
      </c>
      <c r="B106" s="37" t="s">
        <v>52</v>
      </c>
      <c r="C106" s="3" t="s">
        <v>123</v>
      </c>
      <c r="D106" s="49">
        <f>'дод 3'!E169</f>
        <v>604900</v>
      </c>
      <c r="E106" s="49">
        <f>'дод 3'!F169</f>
        <v>604900</v>
      </c>
      <c r="F106" s="49">
        <f>'дод 3'!G169</f>
        <v>0</v>
      </c>
      <c r="G106" s="49">
        <f>'дод 3'!H169</f>
        <v>0</v>
      </c>
      <c r="H106" s="49">
        <f>'дод 3'!I169</f>
        <v>0</v>
      </c>
      <c r="I106" s="49">
        <f>'дод 3'!J169</f>
        <v>0</v>
      </c>
      <c r="J106" s="49">
        <f>'дод 3'!K169</f>
        <v>0</v>
      </c>
      <c r="K106" s="49">
        <f>'дод 3'!L169</f>
        <v>0</v>
      </c>
      <c r="L106" s="49">
        <f>'дод 3'!M169</f>
        <v>0</v>
      </c>
      <c r="M106" s="49">
        <f>'дод 3'!N169</f>
        <v>0</v>
      </c>
      <c r="N106" s="49">
        <f>'дод 3'!O169</f>
        <v>0</v>
      </c>
      <c r="O106" s="49">
        <f>'дод 3'!P169</f>
        <v>604900</v>
      </c>
    </row>
    <row r="107" spans="1:15" ht="36.75" customHeight="1" x14ac:dyDescent="0.25">
      <c r="A107" s="37" t="s">
        <v>124</v>
      </c>
      <c r="B107" s="37" t="s">
        <v>54</v>
      </c>
      <c r="C107" s="3" t="s">
        <v>360</v>
      </c>
      <c r="D107" s="49">
        <f>'дод 3'!E170</f>
        <v>1129230</v>
      </c>
      <c r="E107" s="49">
        <f>'дод 3'!F170</f>
        <v>1129230</v>
      </c>
      <c r="F107" s="49">
        <f>'дод 3'!G170</f>
        <v>0</v>
      </c>
      <c r="G107" s="49">
        <f>'дод 3'!H170</f>
        <v>0</v>
      </c>
      <c r="H107" s="49">
        <f>'дод 3'!I170</f>
        <v>0</v>
      </c>
      <c r="I107" s="49">
        <f>'дод 3'!J170</f>
        <v>0</v>
      </c>
      <c r="J107" s="49">
        <f>'дод 3'!K170</f>
        <v>0</v>
      </c>
      <c r="K107" s="49">
        <f>'дод 3'!L170</f>
        <v>0</v>
      </c>
      <c r="L107" s="49">
        <f>'дод 3'!M170</f>
        <v>0</v>
      </c>
      <c r="M107" s="49">
        <f>'дод 3'!N170</f>
        <v>0</v>
      </c>
      <c r="N107" s="49">
        <f>'дод 3'!O170</f>
        <v>0</v>
      </c>
      <c r="O107" s="49">
        <f>'дод 3'!P170</f>
        <v>1129230</v>
      </c>
    </row>
    <row r="108" spans="1:15" ht="47.25" x14ac:dyDescent="0.25">
      <c r="A108" s="37" t="s">
        <v>99</v>
      </c>
      <c r="B108" s="37" t="s">
        <v>54</v>
      </c>
      <c r="C108" s="3" t="s">
        <v>598</v>
      </c>
      <c r="D108" s="49">
        <f>'дод 3'!E171+'дод 3'!E26</f>
        <v>22042321.240000002</v>
      </c>
      <c r="E108" s="49">
        <f>'дод 3'!F171+'дод 3'!F26</f>
        <v>22042321.240000002</v>
      </c>
      <c r="F108" s="49">
        <f>'дод 3'!G171+'дод 3'!G26</f>
        <v>0</v>
      </c>
      <c r="G108" s="49">
        <f>'дод 3'!H171+'дод 3'!H26</f>
        <v>0</v>
      </c>
      <c r="H108" s="49">
        <f>'дод 3'!I171+'дод 3'!I26</f>
        <v>0</v>
      </c>
      <c r="I108" s="49">
        <f>'дод 3'!J171+'дод 3'!J26</f>
        <v>0</v>
      </c>
      <c r="J108" s="49">
        <f>'дод 3'!K171+'дод 3'!K26</f>
        <v>0</v>
      </c>
      <c r="K108" s="49">
        <f>'дод 3'!L171+'дод 3'!L26</f>
        <v>0</v>
      </c>
      <c r="L108" s="49">
        <f>'дод 3'!M171+'дод 3'!M26</f>
        <v>0</v>
      </c>
      <c r="M108" s="49">
        <f>'дод 3'!N171+'дод 3'!N26</f>
        <v>0</v>
      </c>
      <c r="N108" s="49">
        <f>'дод 3'!O171+'дод 3'!O26</f>
        <v>0</v>
      </c>
      <c r="O108" s="49">
        <f>'дод 3'!P171+'дод 3'!P26</f>
        <v>22042321.240000002</v>
      </c>
    </row>
    <row r="109" spans="1:15" s="54" customFormat="1" ht="21.75" customHeight="1" x14ac:dyDescent="0.25">
      <c r="A109" s="78"/>
      <c r="B109" s="78"/>
      <c r="C109" s="79" t="s">
        <v>393</v>
      </c>
      <c r="D109" s="80">
        <f>'дод 3'!E172</f>
        <v>3399661.24</v>
      </c>
      <c r="E109" s="80">
        <f>'дод 3'!F172</f>
        <v>3399661.24</v>
      </c>
      <c r="F109" s="80">
        <f>'дод 3'!G172</f>
        <v>0</v>
      </c>
      <c r="G109" s="80">
        <f>'дод 3'!H172</f>
        <v>0</v>
      </c>
      <c r="H109" s="80">
        <f>'дод 3'!I172</f>
        <v>0</v>
      </c>
      <c r="I109" s="80">
        <f>'дод 3'!J172</f>
        <v>0</v>
      </c>
      <c r="J109" s="80">
        <f>'дод 3'!K172</f>
        <v>0</v>
      </c>
      <c r="K109" s="80">
        <f>'дод 3'!L172</f>
        <v>0</v>
      </c>
      <c r="L109" s="80">
        <f>'дод 3'!M172</f>
        <v>0</v>
      </c>
      <c r="M109" s="80">
        <f>'дод 3'!N172</f>
        <v>0</v>
      </c>
      <c r="N109" s="80">
        <f>'дод 3'!O172</f>
        <v>0</v>
      </c>
      <c r="O109" s="80">
        <f>'дод 3'!P172</f>
        <v>3399661.24</v>
      </c>
    </row>
    <row r="110" spans="1:15" ht="36" customHeight="1" x14ac:dyDescent="0.25">
      <c r="A110" s="37" t="s">
        <v>323</v>
      </c>
      <c r="B110" s="37" t="s">
        <v>54</v>
      </c>
      <c r="C110" s="3" t="s">
        <v>322</v>
      </c>
      <c r="D110" s="49">
        <f>'дод 3'!E173</f>
        <v>1500000</v>
      </c>
      <c r="E110" s="49">
        <f>'дод 3'!F173</f>
        <v>1500000</v>
      </c>
      <c r="F110" s="49">
        <f>'дод 3'!G173</f>
        <v>0</v>
      </c>
      <c r="G110" s="49">
        <f>'дод 3'!H173</f>
        <v>0</v>
      </c>
      <c r="H110" s="49">
        <f>'дод 3'!I173</f>
        <v>0</v>
      </c>
      <c r="I110" s="49">
        <f>'дод 3'!J173</f>
        <v>0</v>
      </c>
      <c r="J110" s="49">
        <f>'дод 3'!K173</f>
        <v>0</v>
      </c>
      <c r="K110" s="49">
        <f>'дод 3'!L173</f>
        <v>0</v>
      </c>
      <c r="L110" s="49">
        <f>'дод 3'!M173</f>
        <v>0</v>
      </c>
      <c r="M110" s="49">
        <f>'дод 3'!N173</f>
        <v>0</v>
      </c>
      <c r="N110" s="49">
        <f>'дод 3'!O173</f>
        <v>0</v>
      </c>
      <c r="O110" s="49">
        <f>'дод 3'!P173</f>
        <v>1500000</v>
      </c>
    </row>
    <row r="111" spans="1:15" ht="44.25" customHeight="1" x14ac:dyDescent="0.25">
      <c r="A111" s="37" t="s">
        <v>125</v>
      </c>
      <c r="B111" s="37" t="s">
        <v>54</v>
      </c>
      <c r="C111" s="3" t="s">
        <v>19</v>
      </c>
      <c r="D111" s="49">
        <f>'дод 3'!E174+'дод 3'!E27</f>
        <v>35609586</v>
      </c>
      <c r="E111" s="49">
        <f>'дод 3'!F174+'дод 3'!F27</f>
        <v>35609586</v>
      </c>
      <c r="F111" s="49">
        <f>'дод 3'!G174+'дод 3'!G27</f>
        <v>0</v>
      </c>
      <c r="G111" s="49">
        <f>'дод 3'!H174+'дод 3'!H27</f>
        <v>0</v>
      </c>
      <c r="H111" s="49">
        <f>'дод 3'!I174+'дод 3'!I27</f>
        <v>0</v>
      </c>
      <c r="I111" s="49">
        <f>'дод 3'!J174+'дод 3'!J27</f>
        <v>0</v>
      </c>
      <c r="J111" s="49">
        <f>'дод 3'!K174+'дод 3'!K27</f>
        <v>0</v>
      </c>
      <c r="K111" s="49">
        <f>'дод 3'!L174+'дод 3'!L27</f>
        <v>0</v>
      </c>
      <c r="L111" s="49">
        <f>'дод 3'!M174+'дод 3'!M27</f>
        <v>0</v>
      </c>
      <c r="M111" s="49">
        <f>'дод 3'!N174+'дод 3'!N27</f>
        <v>0</v>
      </c>
      <c r="N111" s="49">
        <f>'дод 3'!O174+'дод 3'!O27</f>
        <v>0</v>
      </c>
      <c r="O111" s="49">
        <f>'дод 3'!P174+'дод 3'!P27</f>
        <v>35609586</v>
      </c>
    </row>
    <row r="112" spans="1:15" ht="45" customHeight="1" x14ac:dyDescent="0.25">
      <c r="A112" s="37" t="s">
        <v>101</v>
      </c>
      <c r="B112" s="37" t="s">
        <v>54</v>
      </c>
      <c r="C112" s="3" t="s">
        <v>409</v>
      </c>
      <c r="D112" s="49">
        <f>'дод 3'!E175</f>
        <v>667500</v>
      </c>
      <c r="E112" s="49">
        <f>'дод 3'!F175</f>
        <v>667500</v>
      </c>
      <c r="F112" s="49">
        <f>'дод 3'!G175</f>
        <v>0</v>
      </c>
      <c r="G112" s="49">
        <f>'дод 3'!H175</f>
        <v>0</v>
      </c>
      <c r="H112" s="49">
        <f>'дод 3'!I175</f>
        <v>0</v>
      </c>
      <c r="I112" s="49">
        <f>'дод 3'!J175</f>
        <v>0</v>
      </c>
      <c r="J112" s="49">
        <f>'дод 3'!K175</f>
        <v>0</v>
      </c>
      <c r="K112" s="49">
        <f>'дод 3'!L175</f>
        <v>0</v>
      </c>
      <c r="L112" s="49">
        <f>'дод 3'!M175</f>
        <v>0</v>
      </c>
      <c r="M112" s="49">
        <f>'дод 3'!N175</f>
        <v>0</v>
      </c>
      <c r="N112" s="49">
        <f>'дод 3'!O175</f>
        <v>0</v>
      </c>
      <c r="O112" s="49">
        <f>'дод 3'!P175</f>
        <v>667500</v>
      </c>
    </row>
    <row r="113" spans="1:15" s="54" customFormat="1" x14ac:dyDescent="0.25">
      <c r="A113" s="78"/>
      <c r="B113" s="78"/>
      <c r="C113" s="79" t="s">
        <v>393</v>
      </c>
      <c r="D113" s="80">
        <f>'дод 3'!E176</f>
        <v>667500</v>
      </c>
      <c r="E113" s="80">
        <f>'дод 3'!F176</f>
        <v>667500</v>
      </c>
      <c r="F113" s="80">
        <f>'дод 3'!G176</f>
        <v>0</v>
      </c>
      <c r="G113" s="80">
        <f>'дод 3'!H176</f>
        <v>0</v>
      </c>
      <c r="H113" s="80">
        <f>'дод 3'!I176</f>
        <v>0</v>
      </c>
      <c r="I113" s="80">
        <f>'дод 3'!J176</f>
        <v>0</v>
      </c>
      <c r="J113" s="80">
        <f>'дод 3'!K176</f>
        <v>0</v>
      </c>
      <c r="K113" s="80">
        <f>'дод 3'!L176</f>
        <v>0</v>
      </c>
      <c r="L113" s="80">
        <f>'дод 3'!M176</f>
        <v>0</v>
      </c>
      <c r="M113" s="80">
        <f>'дод 3'!N176</f>
        <v>0</v>
      </c>
      <c r="N113" s="80">
        <f>'дод 3'!O176</f>
        <v>0</v>
      </c>
      <c r="O113" s="80">
        <f>'дод 3'!P176</f>
        <v>667500</v>
      </c>
    </row>
    <row r="114" spans="1:15" ht="40.5" customHeight="1" x14ac:dyDescent="0.25">
      <c r="A114" s="37" t="s">
        <v>315</v>
      </c>
      <c r="B114" s="37" t="s">
        <v>52</v>
      </c>
      <c r="C114" s="3" t="s">
        <v>410</v>
      </c>
      <c r="D114" s="49">
        <f>'дод 3'!E177</f>
        <v>245000</v>
      </c>
      <c r="E114" s="49">
        <f>'дод 3'!F177</f>
        <v>245000</v>
      </c>
      <c r="F114" s="49">
        <f>'дод 3'!G177</f>
        <v>0</v>
      </c>
      <c r="G114" s="49">
        <f>'дод 3'!H177</f>
        <v>0</v>
      </c>
      <c r="H114" s="49">
        <f>'дод 3'!I177</f>
        <v>0</v>
      </c>
      <c r="I114" s="49">
        <f>'дод 3'!J177</f>
        <v>0</v>
      </c>
      <c r="J114" s="49">
        <f>'дод 3'!K177</f>
        <v>0</v>
      </c>
      <c r="K114" s="49">
        <f>'дод 3'!L177</f>
        <v>0</v>
      </c>
      <c r="L114" s="49">
        <f>'дод 3'!M177</f>
        <v>0</v>
      </c>
      <c r="M114" s="49">
        <f>'дод 3'!N177</f>
        <v>0</v>
      </c>
      <c r="N114" s="49">
        <f>'дод 3'!O177</f>
        <v>0</v>
      </c>
      <c r="O114" s="49">
        <f>'дод 3'!P177</f>
        <v>245000</v>
      </c>
    </row>
    <row r="115" spans="1:15" s="54" customFormat="1" x14ac:dyDescent="0.25">
      <c r="A115" s="78"/>
      <c r="B115" s="78"/>
      <c r="C115" s="79" t="s">
        <v>393</v>
      </c>
      <c r="D115" s="80">
        <f>'дод 3'!E178</f>
        <v>245000</v>
      </c>
      <c r="E115" s="80">
        <f>'дод 3'!F178</f>
        <v>245000</v>
      </c>
      <c r="F115" s="80">
        <f>'дод 3'!G178</f>
        <v>0</v>
      </c>
      <c r="G115" s="80">
        <f>'дод 3'!H178</f>
        <v>0</v>
      </c>
      <c r="H115" s="80">
        <f>'дод 3'!I178</f>
        <v>0</v>
      </c>
      <c r="I115" s="80">
        <f>'дод 3'!J178</f>
        <v>0</v>
      </c>
      <c r="J115" s="80">
        <f>'дод 3'!K178</f>
        <v>0</v>
      </c>
      <c r="K115" s="80">
        <f>'дод 3'!L178</f>
        <v>0</v>
      </c>
      <c r="L115" s="80">
        <f>'дод 3'!M178</f>
        <v>0</v>
      </c>
      <c r="M115" s="80">
        <f>'дод 3'!N178</f>
        <v>0</v>
      </c>
      <c r="N115" s="80">
        <f>'дод 3'!O178</f>
        <v>0</v>
      </c>
      <c r="O115" s="80">
        <f>'дод 3'!P178</f>
        <v>245000</v>
      </c>
    </row>
    <row r="116" spans="1:15" ht="58.5" customHeight="1" x14ac:dyDescent="0.25">
      <c r="A116" s="37" t="s">
        <v>102</v>
      </c>
      <c r="B116" s="37" t="s">
        <v>50</v>
      </c>
      <c r="C116" s="3" t="s">
        <v>30</v>
      </c>
      <c r="D116" s="49">
        <f>'дод 3'!E179</f>
        <v>17540965</v>
      </c>
      <c r="E116" s="49">
        <f>'дод 3'!F179</f>
        <v>17540965</v>
      </c>
      <c r="F116" s="49">
        <f>'дод 3'!G179</f>
        <v>13551350</v>
      </c>
      <c r="G116" s="49">
        <f>'дод 3'!H179</f>
        <v>277315</v>
      </c>
      <c r="H116" s="49">
        <f>'дод 3'!I179</f>
        <v>0</v>
      </c>
      <c r="I116" s="49">
        <f>'дод 3'!J179</f>
        <v>96200</v>
      </c>
      <c r="J116" s="49">
        <f>'дод 3'!K179</f>
        <v>0</v>
      </c>
      <c r="K116" s="49">
        <f>'дод 3'!L179</f>
        <v>96200</v>
      </c>
      <c r="L116" s="49">
        <f>'дод 3'!M179</f>
        <v>75000</v>
      </c>
      <c r="M116" s="49">
        <f>'дод 3'!N179</f>
        <v>0</v>
      </c>
      <c r="N116" s="49">
        <f>'дод 3'!O179</f>
        <v>0</v>
      </c>
      <c r="O116" s="49">
        <f>'дод 3'!P179</f>
        <v>17637165</v>
      </c>
    </row>
    <row r="117" spans="1:15" ht="69.75" customHeight="1" x14ac:dyDescent="0.25">
      <c r="A117" s="37" t="s">
        <v>332</v>
      </c>
      <c r="B117" s="37" t="s">
        <v>100</v>
      </c>
      <c r="C117" s="36" t="s">
        <v>333</v>
      </c>
      <c r="D117" s="49">
        <f>SUM('дод 3'!E205)</f>
        <v>91140</v>
      </c>
      <c r="E117" s="49">
        <f>SUM('дод 3'!F205)</f>
        <v>91140</v>
      </c>
      <c r="F117" s="49">
        <f>SUM('дод 3'!G205)</f>
        <v>0</v>
      </c>
      <c r="G117" s="49">
        <f>SUM('дод 3'!H205)</f>
        <v>0</v>
      </c>
      <c r="H117" s="49">
        <f>SUM('дод 3'!I205)</f>
        <v>0</v>
      </c>
      <c r="I117" s="49">
        <f>SUM('дод 3'!J205)</f>
        <v>0</v>
      </c>
      <c r="J117" s="49">
        <f>SUM('дод 3'!K205)</f>
        <v>0</v>
      </c>
      <c r="K117" s="49">
        <f>SUM('дод 3'!L205)</f>
        <v>0</v>
      </c>
      <c r="L117" s="49">
        <f>SUM('дод 3'!M205)</f>
        <v>0</v>
      </c>
      <c r="M117" s="49">
        <f>SUM('дод 3'!N205)</f>
        <v>0</v>
      </c>
      <c r="N117" s="49">
        <f>SUM('дод 3'!O205)</f>
        <v>0</v>
      </c>
      <c r="O117" s="49">
        <f>SUM('дод 3'!P205)</f>
        <v>91140</v>
      </c>
    </row>
    <row r="118" spans="1:15" s="54" customFormat="1" ht="36" customHeight="1" x14ac:dyDescent="0.25">
      <c r="A118" s="37" t="s">
        <v>103</v>
      </c>
      <c r="B118" s="37" t="s">
        <v>100</v>
      </c>
      <c r="C118" s="3" t="s">
        <v>31</v>
      </c>
      <c r="D118" s="49">
        <f>'дод 3'!E206</f>
        <v>93040</v>
      </c>
      <c r="E118" s="49">
        <f>'дод 3'!F206</f>
        <v>93040</v>
      </c>
      <c r="F118" s="49">
        <f>'дод 3'!G206</f>
        <v>0</v>
      </c>
      <c r="G118" s="49">
        <f>'дод 3'!H206</f>
        <v>0</v>
      </c>
      <c r="H118" s="49">
        <f>'дод 3'!I206</f>
        <v>0</v>
      </c>
      <c r="I118" s="49">
        <f>'дод 3'!J206</f>
        <v>0</v>
      </c>
      <c r="J118" s="49">
        <f>'дод 3'!K206</f>
        <v>0</v>
      </c>
      <c r="K118" s="49">
        <f>'дод 3'!L206</f>
        <v>0</v>
      </c>
      <c r="L118" s="49">
        <f>'дод 3'!M206</f>
        <v>0</v>
      </c>
      <c r="M118" s="49">
        <f>'дод 3'!N206</f>
        <v>0</v>
      </c>
      <c r="N118" s="49">
        <f>'дод 3'!O206</f>
        <v>0</v>
      </c>
      <c r="O118" s="49">
        <f>'дод 3'!P206</f>
        <v>93040</v>
      </c>
    </row>
    <row r="119" spans="1:15" s="54" customFormat="1" ht="38.25" customHeight="1" x14ac:dyDescent="0.25">
      <c r="A119" s="37" t="s">
        <v>126</v>
      </c>
      <c r="B119" s="37" t="s">
        <v>100</v>
      </c>
      <c r="C119" s="3" t="s">
        <v>501</v>
      </c>
      <c r="D119" s="49">
        <f>'дод 3'!E28</f>
        <v>3210440</v>
      </c>
      <c r="E119" s="49">
        <f>'дод 3'!F28</f>
        <v>3210440</v>
      </c>
      <c r="F119" s="49">
        <f>'дод 3'!G28</f>
        <v>2407050</v>
      </c>
      <c r="G119" s="49">
        <f>'дод 3'!H28</f>
        <v>43630</v>
      </c>
      <c r="H119" s="49">
        <f>'дод 3'!I28</f>
        <v>0</v>
      </c>
      <c r="I119" s="49">
        <f>'дод 3'!J28</f>
        <v>0</v>
      </c>
      <c r="J119" s="49">
        <f>'дод 3'!K28</f>
        <v>0</v>
      </c>
      <c r="K119" s="49">
        <f>'дод 3'!L28</f>
        <v>0</v>
      </c>
      <c r="L119" s="49">
        <f>'дод 3'!M28</f>
        <v>0</v>
      </c>
      <c r="M119" s="49">
        <f>'дод 3'!N28</f>
        <v>0</v>
      </c>
      <c r="N119" s="49">
        <f>'дод 3'!O28</f>
        <v>0</v>
      </c>
      <c r="O119" s="49">
        <f>'дод 3'!P28</f>
        <v>3210440</v>
      </c>
    </row>
    <row r="120" spans="1:15" s="54" customFormat="1" ht="43.5" customHeight="1" x14ac:dyDescent="0.25">
      <c r="A120" s="40" t="s">
        <v>107</v>
      </c>
      <c r="B120" s="40" t="s">
        <v>100</v>
      </c>
      <c r="C120" s="3" t="s">
        <v>340</v>
      </c>
      <c r="D120" s="49">
        <f>'дод 3'!E29</f>
        <v>783850</v>
      </c>
      <c r="E120" s="49">
        <f>'дод 3'!F29</f>
        <v>783850</v>
      </c>
      <c r="F120" s="49">
        <f>'дод 3'!G29</f>
        <v>0</v>
      </c>
      <c r="G120" s="49">
        <f>'дод 3'!H29</f>
        <v>0</v>
      </c>
      <c r="H120" s="49">
        <f>'дод 3'!I29</f>
        <v>0</v>
      </c>
      <c r="I120" s="49">
        <f>'дод 3'!J29</f>
        <v>0</v>
      </c>
      <c r="J120" s="49">
        <f>'дод 3'!K29</f>
        <v>0</v>
      </c>
      <c r="K120" s="49">
        <f>'дод 3'!L29</f>
        <v>0</v>
      </c>
      <c r="L120" s="49">
        <f>'дод 3'!M29</f>
        <v>0</v>
      </c>
      <c r="M120" s="49">
        <f>'дод 3'!N29</f>
        <v>0</v>
      </c>
      <c r="N120" s="49">
        <f>'дод 3'!O29</f>
        <v>0</v>
      </c>
      <c r="O120" s="49">
        <f>'дод 3'!P29</f>
        <v>783850</v>
      </c>
    </row>
    <row r="121" spans="1:15" ht="69" customHeight="1" x14ac:dyDescent="0.25">
      <c r="A121" s="37" t="s">
        <v>108</v>
      </c>
      <c r="B121" s="37" t="s">
        <v>100</v>
      </c>
      <c r="C121" s="6" t="s">
        <v>20</v>
      </c>
      <c r="D121" s="49">
        <f>'дод 3'!E30+'дод 3'!E111</f>
        <v>5780000</v>
      </c>
      <c r="E121" s="49">
        <f>'дод 3'!F30+'дод 3'!F111</f>
        <v>5780000</v>
      </c>
      <c r="F121" s="49">
        <f>'дод 3'!G30+'дод 3'!G111</f>
        <v>0</v>
      </c>
      <c r="G121" s="49">
        <f>'дод 3'!H30+'дод 3'!H111</f>
        <v>0</v>
      </c>
      <c r="H121" s="49">
        <f>'дод 3'!I30+'дод 3'!I111</f>
        <v>0</v>
      </c>
      <c r="I121" s="49">
        <f>'дод 3'!J30+'дод 3'!J111</f>
        <v>0</v>
      </c>
      <c r="J121" s="49">
        <f>'дод 3'!K30+'дод 3'!K111</f>
        <v>0</v>
      </c>
      <c r="K121" s="49">
        <f>'дод 3'!L30+'дод 3'!L111</f>
        <v>0</v>
      </c>
      <c r="L121" s="49">
        <f>'дод 3'!M30+'дод 3'!M111</f>
        <v>0</v>
      </c>
      <c r="M121" s="49">
        <f>'дод 3'!N30+'дод 3'!N111</f>
        <v>0</v>
      </c>
      <c r="N121" s="49">
        <f>'дод 3'!O30+'дод 3'!O111</f>
        <v>0</v>
      </c>
      <c r="O121" s="49">
        <f>'дод 3'!P30+'дод 3'!P111</f>
        <v>5780000</v>
      </c>
    </row>
    <row r="122" spans="1:15" ht="78.75" x14ac:dyDescent="0.25">
      <c r="A122" s="37" t="s">
        <v>109</v>
      </c>
      <c r="B122" s="37">
        <v>1010</v>
      </c>
      <c r="C122" s="3" t="s">
        <v>286</v>
      </c>
      <c r="D122" s="49">
        <f>'дод 3'!E180</f>
        <v>3000000</v>
      </c>
      <c r="E122" s="49">
        <f>'дод 3'!F180</f>
        <v>3000000</v>
      </c>
      <c r="F122" s="49">
        <f>'дод 3'!G180</f>
        <v>0</v>
      </c>
      <c r="G122" s="49">
        <f>'дод 3'!H180</f>
        <v>0</v>
      </c>
      <c r="H122" s="49">
        <f>'дод 3'!I180</f>
        <v>0</v>
      </c>
      <c r="I122" s="49">
        <f>'дод 3'!J180</f>
        <v>0</v>
      </c>
      <c r="J122" s="49">
        <f>'дод 3'!K180</f>
        <v>0</v>
      </c>
      <c r="K122" s="49">
        <f>'дод 3'!L180</f>
        <v>0</v>
      </c>
      <c r="L122" s="49">
        <f>'дод 3'!M180</f>
        <v>0</v>
      </c>
      <c r="M122" s="49">
        <f>'дод 3'!N180</f>
        <v>0</v>
      </c>
      <c r="N122" s="49">
        <f>'дод 3'!O180</f>
        <v>0</v>
      </c>
      <c r="O122" s="49">
        <f>'дод 3'!P180</f>
        <v>3000000</v>
      </c>
    </row>
    <row r="123" spans="1:15" s="54" customFormat="1" ht="63" x14ac:dyDescent="0.25">
      <c r="A123" s="37" t="s">
        <v>316</v>
      </c>
      <c r="B123" s="37">
        <v>1010</v>
      </c>
      <c r="C123" s="3" t="s">
        <v>405</v>
      </c>
      <c r="D123" s="49">
        <f>'дод 3'!E181</f>
        <v>198209</v>
      </c>
      <c r="E123" s="49">
        <f>'дод 3'!F181</f>
        <v>198209</v>
      </c>
      <c r="F123" s="49">
        <f>'дод 3'!G181</f>
        <v>0</v>
      </c>
      <c r="G123" s="49">
        <f>'дод 3'!H181</f>
        <v>0</v>
      </c>
      <c r="H123" s="49">
        <f>'дод 3'!I181</f>
        <v>0</v>
      </c>
      <c r="I123" s="49">
        <f>'дод 3'!J181</f>
        <v>0</v>
      </c>
      <c r="J123" s="49">
        <f>'дод 3'!K181</f>
        <v>0</v>
      </c>
      <c r="K123" s="49">
        <f>'дод 3'!L181</f>
        <v>0</v>
      </c>
      <c r="L123" s="49">
        <f>'дод 3'!M181</f>
        <v>0</v>
      </c>
      <c r="M123" s="49">
        <f>'дод 3'!N181</f>
        <v>0</v>
      </c>
      <c r="N123" s="49">
        <f>'дод 3'!O181</f>
        <v>0</v>
      </c>
      <c r="O123" s="49">
        <f>'дод 3'!P181</f>
        <v>198209</v>
      </c>
    </row>
    <row r="124" spans="1:15" s="54" customFormat="1" x14ac:dyDescent="0.25">
      <c r="A124" s="78"/>
      <c r="B124" s="78"/>
      <c r="C124" s="79" t="s">
        <v>393</v>
      </c>
      <c r="D124" s="80">
        <f>'дод 3'!E182</f>
        <v>198209</v>
      </c>
      <c r="E124" s="80">
        <f>'дод 3'!F182</f>
        <v>198209</v>
      </c>
      <c r="F124" s="80">
        <f>'дод 3'!G182</f>
        <v>0</v>
      </c>
      <c r="G124" s="80">
        <f>'дод 3'!H182</f>
        <v>0</v>
      </c>
      <c r="H124" s="80">
        <f>'дод 3'!I182</f>
        <v>0</v>
      </c>
      <c r="I124" s="80">
        <f>'дод 3'!J182</f>
        <v>0</v>
      </c>
      <c r="J124" s="80">
        <f>'дод 3'!K182</f>
        <v>0</v>
      </c>
      <c r="K124" s="80">
        <f>'дод 3'!L182</f>
        <v>0</v>
      </c>
      <c r="L124" s="80">
        <f>'дод 3'!M182</f>
        <v>0</v>
      </c>
      <c r="M124" s="80">
        <f>'дод 3'!N182</f>
        <v>0</v>
      </c>
      <c r="N124" s="80">
        <f>'дод 3'!O182</f>
        <v>0</v>
      </c>
      <c r="O124" s="80">
        <f>'дод 3'!P182</f>
        <v>198209</v>
      </c>
    </row>
    <row r="125" spans="1:15" s="54" customFormat="1" ht="36" customHeight="1" x14ac:dyDescent="0.25">
      <c r="A125" s="37" t="s">
        <v>317</v>
      </c>
      <c r="B125" s="37">
        <v>1010</v>
      </c>
      <c r="C125" s="3" t="s">
        <v>406</v>
      </c>
      <c r="D125" s="49">
        <f>'дод 3'!E183</f>
        <v>90</v>
      </c>
      <c r="E125" s="49">
        <f>'дод 3'!F183</f>
        <v>90</v>
      </c>
      <c r="F125" s="49">
        <f>'дод 3'!G183</f>
        <v>0</v>
      </c>
      <c r="G125" s="49">
        <f>'дод 3'!H183</f>
        <v>0</v>
      </c>
      <c r="H125" s="49">
        <f>'дод 3'!I183</f>
        <v>0</v>
      </c>
      <c r="I125" s="49">
        <f>'дод 3'!J183</f>
        <v>0</v>
      </c>
      <c r="J125" s="49">
        <f>'дод 3'!K183</f>
        <v>0</v>
      </c>
      <c r="K125" s="49">
        <f>'дод 3'!L183</f>
        <v>0</v>
      </c>
      <c r="L125" s="49">
        <f>'дод 3'!M183</f>
        <v>0</v>
      </c>
      <c r="M125" s="49">
        <f>'дод 3'!N183</f>
        <v>0</v>
      </c>
      <c r="N125" s="49">
        <f>'дод 3'!O183</f>
        <v>0</v>
      </c>
      <c r="O125" s="49">
        <f>'дод 3'!P183</f>
        <v>90</v>
      </c>
    </row>
    <row r="126" spans="1:15" s="54" customFormat="1" x14ac:dyDescent="0.25">
      <c r="A126" s="78"/>
      <c r="B126" s="78"/>
      <c r="C126" s="79" t="s">
        <v>393</v>
      </c>
      <c r="D126" s="80">
        <f>'дод 3'!E184</f>
        <v>90</v>
      </c>
      <c r="E126" s="80">
        <f>'дод 3'!F184</f>
        <v>90</v>
      </c>
      <c r="F126" s="80">
        <f>'дод 3'!G184</f>
        <v>0</v>
      </c>
      <c r="G126" s="80">
        <f>'дод 3'!H184</f>
        <v>0</v>
      </c>
      <c r="H126" s="80">
        <f>'дод 3'!I184</f>
        <v>0</v>
      </c>
      <c r="I126" s="80">
        <f>'дод 3'!J184</f>
        <v>0</v>
      </c>
      <c r="J126" s="80">
        <f>'дод 3'!K184</f>
        <v>0</v>
      </c>
      <c r="K126" s="80">
        <f>'дод 3'!L184</f>
        <v>0</v>
      </c>
      <c r="L126" s="80">
        <f>'дод 3'!M184</f>
        <v>0</v>
      </c>
      <c r="M126" s="80">
        <f>'дод 3'!N184</f>
        <v>0</v>
      </c>
      <c r="N126" s="80">
        <f>'дод 3'!O184</f>
        <v>0</v>
      </c>
      <c r="O126" s="80">
        <f>'дод 3'!P184</f>
        <v>90</v>
      </c>
    </row>
    <row r="127" spans="1:15" ht="72.75" customHeight="1" x14ac:dyDescent="0.25">
      <c r="A127" s="37" t="s">
        <v>104</v>
      </c>
      <c r="B127" s="37" t="s">
        <v>53</v>
      </c>
      <c r="C127" s="3" t="s">
        <v>341</v>
      </c>
      <c r="D127" s="49">
        <f>'дод 3'!E185</f>
        <v>2213520</v>
      </c>
      <c r="E127" s="49">
        <f>'дод 3'!F185</f>
        <v>2213520</v>
      </c>
      <c r="F127" s="49">
        <f>'дод 3'!G185</f>
        <v>0</v>
      </c>
      <c r="G127" s="49">
        <f>'дод 3'!H185</f>
        <v>0</v>
      </c>
      <c r="H127" s="49">
        <f>'дод 3'!I185</f>
        <v>0</v>
      </c>
      <c r="I127" s="49">
        <f>'дод 3'!J185</f>
        <v>0</v>
      </c>
      <c r="J127" s="49">
        <f>'дод 3'!K185</f>
        <v>0</v>
      </c>
      <c r="K127" s="49">
        <f>'дод 3'!L185</f>
        <v>0</v>
      </c>
      <c r="L127" s="49">
        <f>'дод 3'!M185</f>
        <v>0</v>
      </c>
      <c r="M127" s="49">
        <f>'дод 3'!N185</f>
        <v>0</v>
      </c>
      <c r="N127" s="49">
        <f>'дод 3'!O185</f>
        <v>0</v>
      </c>
      <c r="O127" s="49">
        <f>'дод 3'!P185</f>
        <v>2213520</v>
      </c>
    </row>
    <row r="128" spans="1:15" s="54" customFormat="1" ht="19.5" customHeight="1" x14ac:dyDescent="0.25">
      <c r="A128" s="37" t="s">
        <v>287</v>
      </c>
      <c r="B128" s="37" t="s">
        <v>52</v>
      </c>
      <c r="C128" s="3" t="s">
        <v>18</v>
      </c>
      <c r="D128" s="49">
        <f>'дод 3'!E186</f>
        <v>2042960</v>
      </c>
      <c r="E128" s="49">
        <f>'дод 3'!F186</f>
        <v>2042960</v>
      </c>
      <c r="F128" s="49">
        <f>'дод 3'!G186</f>
        <v>0</v>
      </c>
      <c r="G128" s="49">
        <f>'дод 3'!H186</f>
        <v>0</v>
      </c>
      <c r="H128" s="49">
        <f>'дод 3'!I186</f>
        <v>0</v>
      </c>
      <c r="I128" s="49">
        <f>'дод 3'!J186</f>
        <v>0</v>
      </c>
      <c r="J128" s="49">
        <f>'дод 3'!K186</f>
        <v>0</v>
      </c>
      <c r="K128" s="49">
        <f>'дод 3'!L186</f>
        <v>0</v>
      </c>
      <c r="L128" s="49">
        <f>'дод 3'!M186</f>
        <v>0</v>
      </c>
      <c r="M128" s="49">
        <f>'дод 3'!N186</f>
        <v>0</v>
      </c>
      <c r="N128" s="49">
        <f>'дод 3'!O186</f>
        <v>0</v>
      </c>
      <c r="O128" s="49">
        <f>'дод 3'!P186</f>
        <v>2042960</v>
      </c>
    </row>
    <row r="129" spans="1:15" s="54" customFormat="1" ht="51" customHeight="1" x14ac:dyDescent="0.25">
      <c r="A129" s="37" t="s">
        <v>288</v>
      </c>
      <c r="B129" s="37" t="s">
        <v>52</v>
      </c>
      <c r="C129" s="60" t="s">
        <v>502</v>
      </c>
      <c r="D129" s="49">
        <f>'дод 3'!E187</f>
        <v>2250688</v>
      </c>
      <c r="E129" s="49">
        <f>'дод 3'!F187</f>
        <v>2250688</v>
      </c>
      <c r="F129" s="49">
        <f>'дод 3'!G187</f>
        <v>0</v>
      </c>
      <c r="G129" s="49">
        <f>'дод 3'!H187</f>
        <v>0</v>
      </c>
      <c r="H129" s="49">
        <f>'дод 3'!I187</f>
        <v>0</v>
      </c>
      <c r="I129" s="49">
        <f>'дод 3'!J187</f>
        <v>0</v>
      </c>
      <c r="J129" s="49">
        <f>'дод 3'!K187</f>
        <v>0</v>
      </c>
      <c r="K129" s="49">
        <f>'дод 3'!L187</f>
        <v>0</v>
      </c>
      <c r="L129" s="49">
        <f>'дод 3'!M187</f>
        <v>0</v>
      </c>
      <c r="M129" s="49">
        <f>'дод 3'!N187</f>
        <v>0</v>
      </c>
      <c r="N129" s="49">
        <f>'дод 3'!O187</f>
        <v>0</v>
      </c>
      <c r="O129" s="49">
        <f>'дод 3'!P187</f>
        <v>2250688</v>
      </c>
    </row>
    <row r="130" spans="1:15" ht="36.75" customHeight="1" x14ac:dyDescent="0.25">
      <c r="A130" s="37" t="s">
        <v>105</v>
      </c>
      <c r="B130" s="37" t="s">
        <v>56</v>
      </c>
      <c r="C130" s="3" t="s">
        <v>342</v>
      </c>
      <c r="D130" s="49">
        <f>'дод 3'!E188</f>
        <v>92000</v>
      </c>
      <c r="E130" s="49">
        <f>'дод 3'!F188</f>
        <v>92000</v>
      </c>
      <c r="F130" s="49">
        <f>'дод 3'!G188</f>
        <v>0</v>
      </c>
      <c r="G130" s="49">
        <f>'дод 3'!H188</f>
        <v>0</v>
      </c>
      <c r="H130" s="49">
        <f>'дод 3'!I188</f>
        <v>0</v>
      </c>
      <c r="I130" s="49">
        <f>'дод 3'!J188</f>
        <v>0</v>
      </c>
      <c r="J130" s="49">
        <f>'дод 3'!K188</f>
        <v>0</v>
      </c>
      <c r="K130" s="49">
        <f>'дод 3'!L188</f>
        <v>0</v>
      </c>
      <c r="L130" s="49">
        <f>'дод 3'!M188</f>
        <v>0</v>
      </c>
      <c r="M130" s="49">
        <f>'дод 3'!N188</f>
        <v>0</v>
      </c>
      <c r="N130" s="49">
        <f>'дод 3'!O188</f>
        <v>0</v>
      </c>
      <c r="O130" s="49">
        <f>'дод 3'!P188</f>
        <v>92000</v>
      </c>
    </row>
    <row r="131" spans="1:15" ht="20.25" customHeight="1" x14ac:dyDescent="0.25">
      <c r="A131" s="37" t="s">
        <v>289</v>
      </c>
      <c r="B131" s="37" t="s">
        <v>106</v>
      </c>
      <c r="C131" s="3" t="s">
        <v>37</v>
      </c>
      <c r="D131" s="49">
        <f>'дод 3'!E189+'дод 3'!E230</f>
        <v>210000</v>
      </c>
      <c r="E131" s="49">
        <f>'дод 3'!F189+'дод 3'!F230</f>
        <v>210000</v>
      </c>
      <c r="F131" s="49">
        <f>'дод 3'!G189+'дод 3'!G230</f>
        <v>40900</v>
      </c>
      <c r="G131" s="49">
        <f>'дод 3'!H189+'дод 3'!H230</f>
        <v>0</v>
      </c>
      <c r="H131" s="49">
        <f>'дод 3'!I189+'дод 3'!I230</f>
        <v>0</v>
      </c>
      <c r="I131" s="49">
        <f>'дод 3'!J189+'дод 3'!J230</f>
        <v>0</v>
      </c>
      <c r="J131" s="49">
        <f>'дод 3'!K189+'дод 3'!K230</f>
        <v>0</v>
      </c>
      <c r="K131" s="49">
        <f>'дод 3'!L189+'дод 3'!L230</f>
        <v>0</v>
      </c>
      <c r="L131" s="49">
        <f>'дод 3'!M189+'дод 3'!M230</f>
        <v>0</v>
      </c>
      <c r="M131" s="49">
        <f>'дод 3'!N189+'дод 3'!N230</f>
        <v>0</v>
      </c>
      <c r="N131" s="49">
        <f>'дод 3'!O189+'дод 3'!O230</f>
        <v>0</v>
      </c>
      <c r="O131" s="49">
        <f>'дод 3'!P189+'дод 3'!P230</f>
        <v>210000</v>
      </c>
    </row>
    <row r="132" spans="1:15" ht="240.75" customHeight="1" x14ac:dyDescent="0.25">
      <c r="A132" s="37">
        <v>3221</v>
      </c>
      <c r="B132" s="58" t="s">
        <v>53</v>
      </c>
      <c r="C132" s="36" t="s">
        <v>585</v>
      </c>
      <c r="D132" s="49">
        <f>'дод 3'!E190</f>
        <v>0</v>
      </c>
      <c r="E132" s="49">
        <f>'дод 3'!F190</f>
        <v>0</v>
      </c>
      <c r="F132" s="49">
        <f>'дод 3'!G190</f>
        <v>0</v>
      </c>
      <c r="G132" s="49">
        <f>'дод 3'!H190</f>
        <v>0</v>
      </c>
      <c r="H132" s="49">
        <f>'дод 3'!I190</f>
        <v>0</v>
      </c>
      <c r="I132" s="49">
        <f>'дод 3'!J190</f>
        <v>975480.06</v>
      </c>
      <c r="J132" s="49">
        <f>'дод 3'!K190</f>
        <v>975480.06</v>
      </c>
      <c r="K132" s="49">
        <f>'дод 3'!L190</f>
        <v>0</v>
      </c>
      <c r="L132" s="49">
        <f>'дод 3'!M190</f>
        <v>0</v>
      </c>
      <c r="M132" s="49">
        <f>'дод 3'!N190</f>
        <v>0</v>
      </c>
      <c r="N132" s="49">
        <f>'дод 3'!O190</f>
        <v>975480.06</v>
      </c>
      <c r="O132" s="49">
        <f>'дод 3'!P190</f>
        <v>975480.06</v>
      </c>
    </row>
    <row r="133" spans="1:15" s="54" customFormat="1" ht="267.75" customHeight="1" x14ac:dyDescent="0.25">
      <c r="A133" s="78"/>
      <c r="B133" s="89"/>
      <c r="C133" s="87" t="s">
        <v>583</v>
      </c>
      <c r="D133" s="80">
        <f>'дод 3'!E191</f>
        <v>0</v>
      </c>
      <c r="E133" s="80">
        <f>'дод 3'!F191</f>
        <v>0</v>
      </c>
      <c r="F133" s="80">
        <f>'дод 3'!G191</f>
        <v>0</v>
      </c>
      <c r="G133" s="80">
        <f>'дод 3'!H191</f>
        <v>0</v>
      </c>
      <c r="H133" s="80">
        <f>'дод 3'!I191</f>
        <v>0</v>
      </c>
      <c r="I133" s="80">
        <f>'дод 3'!J191</f>
        <v>975480.06</v>
      </c>
      <c r="J133" s="80">
        <f>'дод 3'!K191</f>
        <v>975480.06</v>
      </c>
      <c r="K133" s="80">
        <f>'дод 3'!L191</f>
        <v>0</v>
      </c>
      <c r="L133" s="80">
        <f>'дод 3'!M191</f>
        <v>0</v>
      </c>
      <c r="M133" s="80">
        <f>'дод 3'!N191</f>
        <v>0</v>
      </c>
      <c r="N133" s="80">
        <f>'дод 3'!O191</f>
        <v>975480.06</v>
      </c>
      <c r="O133" s="80">
        <f>'дод 3'!P191</f>
        <v>975480.06</v>
      </c>
    </row>
    <row r="134" spans="1:15" s="54" customFormat="1" ht="293.25" customHeight="1" x14ac:dyDescent="0.25">
      <c r="A134" s="42">
        <v>3222</v>
      </c>
      <c r="B134" s="103" t="s">
        <v>53</v>
      </c>
      <c r="C134" s="36" t="s">
        <v>608</v>
      </c>
      <c r="D134" s="49">
        <f>'дод 3'!E192</f>
        <v>0</v>
      </c>
      <c r="E134" s="49">
        <f>'дод 3'!F192</f>
        <v>0</v>
      </c>
      <c r="F134" s="49">
        <f>'дод 3'!G192</f>
        <v>0</v>
      </c>
      <c r="G134" s="49">
        <f>'дод 3'!H192</f>
        <v>0</v>
      </c>
      <c r="H134" s="49">
        <f>'дод 3'!I192</f>
        <v>0</v>
      </c>
      <c r="I134" s="49">
        <f>'дод 3'!J192</f>
        <v>1176130.99</v>
      </c>
      <c r="J134" s="49">
        <f>'дод 3'!K192</f>
        <v>1176130.99</v>
      </c>
      <c r="K134" s="49">
        <f>'дод 3'!L192</f>
        <v>0</v>
      </c>
      <c r="L134" s="49">
        <f>'дод 3'!M192</f>
        <v>0</v>
      </c>
      <c r="M134" s="49">
        <f>'дод 3'!N192</f>
        <v>0</v>
      </c>
      <c r="N134" s="49">
        <f>'дод 3'!O192</f>
        <v>1176130.99</v>
      </c>
      <c r="O134" s="49">
        <f>'дод 3'!P192</f>
        <v>1176130.99</v>
      </c>
    </row>
    <row r="135" spans="1:15" s="54" customFormat="1" ht="333.75" customHeight="1" x14ac:dyDescent="0.25">
      <c r="A135" s="78"/>
      <c r="B135" s="89"/>
      <c r="C135" s="87" t="s">
        <v>609</v>
      </c>
      <c r="D135" s="80">
        <f>'дод 3'!E193</f>
        <v>0</v>
      </c>
      <c r="E135" s="80">
        <f>'дод 3'!F193</f>
        <v>0</v>
      </c>
      <c r="F135" s="80">
        <f>'дод 3'!G193</f>
        <v>0</v>
      </c>
      <c r="G135" s="80">
        <f>'дод 3'!H193</f>
        <v>0</v>
      </c>
      <c r="H135" s="80">
        <f>'дод 3'!I193</f>
        <v>0</v>
      </c>
      <c r="I135" s="80">
        <f>'дод 3'!J193</f>
        <v>1176130.99</v>
      </c>
      <c r="J135" s="80">
        <f>'дод 3'!K193</f>
        <v>1176130.99</v>
      </c>
      <c r="K135" s="80">
        <f>'дод 3'!L193</f>
        <v>0</v>
      </c>
      <c r="L135" s="80">
        <f>'дод 3'!M193</f>
        <v>0</v>
      </c>
      <c r="M135" s="80">
        <f>'дод 3'!N193</f>
        <v>0</v>
      </c>
      <c r="N135" s="80">
        <f>'дод 3'!O193</f>
        <v>1176130.99</v>
      </c>
      <c r="O135" s="80">
        <f>'дод 3'!P193</f>
        <v>1176130.99</v>
      </c>
    </row>
    <row r="136" spans="1:15" ht="189" hidden="1" x14ac:dyDescent="0.25">
      <c r="A136" s="37">
        <v>3223</v>
      </c>
      <c r="B136" s="58" t="s">
        <v>53</v>
      </c>
      <c r="C136" s="36" t="s">
        <v>442</v>
      </c>
      <c r="D136" s="49">
        <f>'дод 3'!E194</f>
        <v>0</v>
      </c>
      <c r="E136" s="49">
        <f>'дод 3'!F194</f>
        <v>0</v>
      </c>
      <c r="F136" s="49">
        <f>'дод 3'!G194</f>
        <v>0</v>
      </c>
      <c r="G136" s="49">
        <f>'дод 3'!H194</f>
        <v>0</v>
      </c>
      <c r="H136" s="49">
        <f>'дод 3'!I194</f>
        <v>0</v>
      </c>
      <c r="I136" s="49">
        <f>'дод 3'!J194</f>
        <v>0</v>
      </c>
      <c r="J136" s="49">
        <f>'дод 3'!K194</f>
        <v>0</v>
      </c>
      <c r="K136" s="49">
        <f>'дод 3'!L194</f>
        <v>0</v>
      </c>
      <c r="L136" s="49">
        <f>'дод 3'!M194</f>
        <v>0</v>
      </c>
      <c r="M136" s="49">
        <f>'дод 3'!N194</f>
        <v>0</v>
      </c>
      <c r="N136" s="49">
        <f>'дод 3'!O194</f>
        <v>0</v>
      </c>
      <c r="O136" s="49">
        <f>'дод 3'!P194</f>
        <v>0</v>
      </c>
    </row>
    <row r="137" spans="1:15" s="54" customFormat="1" ht="236.25" hidden="1" x14ac:dyDescent="0.25">
      <c r="A137" s="78"/>
      <c r="B137" s="89"/>
      <c r="C137" s="87" t="s">
        <v>443</v>
      </c>
      <c r="D137" s="80">
        <f>'дод 3'!E195</f>
        <v>0</v>
      </c>
      <c r="E137" s="80">
        <f>'дод 3'!F195</f>
        <v>0</v>
      </c>
      <c r="F137" s="80">
        <f>'дод 3'!G195</f>
        <v>0</v>
      </c>
      <c r="G137" s="80">
        <f>'дод 3'!H195</f>
        <v>0</v>
      </c>
      <c r="H137" s="80">
        <f>'дод 3'!I195</f>
        <v>0</v>
      </c>
      <c r="I137" s="80">
        <f>'дод 3'!J195</f>
        <v>0</v>
      </c>
      <c r="J137" s="80">
        <f>'дод 3'!K195</f>
        <v>0</v>
      </c>
      <c r="K137" s="80">
        <f>'дод 3'!L195</f>
        <v>0</v>
      </c>
      <c r="L137" s="80">
        <f>'дод 3'!M195</f>
        <v>0</v>
      </c>
      <c r="M137" s="80">
        <f>'дод 3'!N195</f>
        <v>0</v>
      </c>
      <c r="N137" s="80">
        <f>'дод 3'!O195</f>
        <v>0</v>
      </c>
      <c r="O137" s="80">
        <f>'дод 3'!P195</f>
        <v>0</v>
      </c>
    </row>
    <row r="138" spans="1:15" s="54" customFormat="1" ht="32.25" customHeight="1" x14ac:dyDescent="0.25">
      <c r="A138" s="37" t="s">
        <v>290</v>
      </c>
      <c r="B138" s="37" t="s">
        <v>56</v>
      </c>
      <c r="C138" s="3" t="s">
        <v>292</v>
      </c>
      <c r="D138" s="49">
        <f>'дод 3'!E196+'дод 3'!E31</f>
        <v>8468314.5599999987</v>
      </c>
      <c r="E138" s="49">
        <f>'дод 3'!F196+'дод 3'!F31</f>
        <v>8468314.5599999987</v>
      </c>
      <c r="F138" s="49">
        <f>'дод 3'!G196+'дод 3'!G31</f>
        <v>5153600</v>
      </c>
      <c r="G138" s="49">
        <f>'дод 3'!H196+'дод 3'!H31</f>
        <v>527146</v>
      </c>
      <c r="H138" s="49">
        <f>'дод 3'!I196+'дод 3'!I31</f>
        <v>0</v>
      </c>
      <c r="I138" s="49">
        <f>'дод 3'!J196+'дод 3'!J31</f>
        <v>161000</v>
      </c>
      <c r="J138" s="49">
        <f>'дод 3'!K196+'дод 3'!K31</f>
        <v>161000</v>
      </c>
      <c r="K138" s="49">
        <f>'дод 3'!L196+'дод 3'!L31</f>
        <v>0</v>
      </c>
      <c r="L138" s="49">
        <f>'дод 3'!M196+'дод 3'!M31</f>
        <v>0</v>
      </c>
      <c r="M138" s="49">
        <f>'дод 3'!N196+'дод 3'!N31</f>
        <v>0</v>
      </c>
      <c r="N138" s="49">
        <f>'дод 3'!O196+'дод 3'!O31</f>
        <v>161000</v>
      </c>
      <c r="O138" s="49">
        <f>'дод 3'!P196+'дод 3'!P31</f>
        <v>8629314.5599999987</v>
      </c>
    </row>
    <row r="139" spans="1:15" s="54" customFormat="1" ht="31.5" customHeight="1" x14ac:dyDescent="0.25">
      <c r="A139" s="37" t="s">
        <v>291</v>
      </c>
      <c r="B139" s="37" t="s">
        <v>56</v>
      </c>
      <c r="C139" s="3" t="s">
        <v>515</v>
      </c>
      <c r="D139" s="49">
        <f>'дод 3'!E32+'дод 3'!E112+'дод 3'!E197</f>
        <v>39371002.549999997</v>
      </c>
      <c r="E139" s="49">
        <f>'дод 3'!F32+'дод 3'!F112+'дод 3'!F197</f>
        <v>39371002.549999997</v>
      </c>
      <c r="F139" s="49">
        <f>'дод 3'!G32+'дод 3'!G112+'дод 3'!G197</f>
        <v>0</v>
      </c>
      <c r="G139" s="49">
        <f>'дод 3'!H32+'дод 3'!H112+'дод 3'!H197</f>
        <v>0</v>
      </c>
      <c r="H139" s="49">
        <f>'дод 3'!I32+'дод 3'!I112+'дод 3'!I197</f>
        <v>0</v>
      </c>
      <c r="I139" s="49">
        <f>'дод 3'!J32+'дод 3'!J112+'дод 3'!J197</f>
        <v>57000</v>
      </c>
      <c r="J139" s="49">
        <f>'дод 3'!K32+'дод 3'!K112+'дод 3'!K197</f>
        <v>57000</v>
      </c>
      <c r="K139" s="49">
        <f>'дод 3'!L32+'дод 3'!L112+'дод 3'!L197</f>
        <v>0</v>
      </c>
      <c r="L139" s="49">
        <f>'дод 3'!M32+'дод 3'!M112+'дод 3'!M197</f>
        <v>0</v>
      </c>
      <c r="M139" s="49">
        <f>'дод 3'!N32+'дод 3'!N112+'дод 3'!N197</f>
        <v>0</v>
      </c>
      <c r="N139" s="49">
        <f>'дод 3'!O32+'дод 3'!O112+'дод 3'!O197</f>
        <v>57000</v>
      </c>
      <c r="O139" s="49">
        <f>'дод 3'!P32+'дод 3'!P112+'дод 3'!P197</f>
        <v>39428002.549999997</v>
      </c>
    </row>
    <row r="140" spans="1:15" s="54" customFormat="1" x14ac:dyDescent="0.25">
      <c r="A140" s="78"/>
      <c r="B140" s="78"/>
      <c r="C140" s="79" t="s">
        <v>393</v>
      </c>
      <c r="D140" s="80">
        <f>'дод 3'!E198</f>
        <v>348000</v>
      </c>
      <c r="E140" s="80">
        <f>'дод 3'!F198</f>
        <v>348000</v>
      </c>
      <c r="F140" s="80">
        <f>'дод 3'!G198</f>
        <v>0</v>
      </c>
      <c r="G140" s="80">
        <f>'дод 3'!H198</f>
        <v>0</v>
      </c>
      <c r="H140" s="80">
        <f>'дод 3'!I198</f>
        <v>0</v>
      </c>
      <c r="I140" s="80">
        <f>'дод 3'!J198</f>
        <v>0</v>
      </c>
      <c r="J140" s="80">
        <f>'дод 3'!K198</f>
        <v>0</v>
      </c>
      <c r="K140" s="80">
        <f>'дод 3'!L198</f>
        <v>0</v>
      </c>
      <c r="L140" s="80">
        <f>'дод 3'!M198</f>
        <v>0</v>
      </c>
      <c r="M140" s="80">
        <f>'дод 3'!N198</f>
        <v>0</v>
      </c>
      <c r="N140" s="80">
        <f>'дод 3'!O198</f>
        <v>0</v>
      </c>
      <c r="O140" s="80">
        <f>'дод 3'!P198</f>
        <v>348000</v>
      </c>
    </row>
    <row r="141" spans="1:15" s="52" customFormat="1" ht="19.5" customHeight="1" x14ac:dyDescent="0.25">
      <c r="A141" s="38" t="s">
        <v>71</v>
      </c>
      <c r="B141" s="41"/>
      <c r="C141" s="2" t="s">
        <v>72</v>
      </c>
      <c r="D141" s="48">
        <f t="shared" ref="D141:O141" si="23">D142+D143+D144+D145</f>
        <v>37278578</v>
      </c>
      <c r="E141" s="48">
        <f t="shared" si="23"/>
        <v>37278578</v>
      </c>
      <c r="F141" s="48">
        <f t="shared" si="23"/>
        <v>24290500</v>
      </c>
      <c r="G141" s="48">
        <f t="shared" si="23"/>
        <v>2323897</v>
      </c>
      <c r="H141" s="48">
        <f t="shared" si="23"/>
        <v>0</v>
      </c>
      <c r="I141" s="48">
        <f t="shared" si="23"/>
        <v>346500</v>
      </c>
      <c r="J141" s="48">
        <f t="shared" si="23"/>
        <v>315500</v>
      </c>
      <c r="K141" s="48">
        <f t="shared" si="23"/>
        <v>31000</v>
      </c>
      <c r="L141" s="48">
        <f t="shared" si="23"/>
        <v>12100</v>
      </c>
      <c r="M141" s="48">
        <f t="shared" si="23"/>
        <v>3300</v>
      </c>
      <c r="N141" s="48">
        <f t="shared" si="23"/>
        <v>315500</v>
      </c>
      <c r="O141" s="48">
        <f t="shared" si="23"/>
        <v>37625078</v>
      </c>
    </row>
    <row r="142" spans="1:15" ht="22.5" customHeight="1" x14ac:dyDescent="0.25">
      <c r="A142" s="37" t="s">
        <v>73</v>
      </c>
      <c r="B142" s="37" t="s">
        <v>74</v>
      </c>
      <c r="C142" s="3" t="s">
        <v>15</v>
      </c>
      <c r="D142" s="49">
        <f>'дод 3'!E213</f>
        <v>23086664</v>
      </c>
      <c r="E142" s="49">
        <f>'дод 3'!F213</f>
        <v>23086664</v>
      </c>
      <c r="F142" s="49">
        <f>'дод 3'!G213</f>
        <v>16852700</v>
      </c>
      <c r="G142" s="49">
        <f>'дод 3'!H213</f>
        <v>1328264</v>
      </c>
      <c r="H142" s="49">
        <f>'дод 3'!I213</f>
        <v>0</v>
      </c>
      <c r="I142" s="49">
        <f>'дод 3'!J213</f>
        <v>252500</v>
      </c>
      <c r="J142" s="49">
        <f>'дод 3'!K213</f>
        <v>227500</v>
      </c>
      <c r="K142" s="49">
        <f>'дод 3'!L213</f>
        <v>25000</v>
      </c>
      <c r="L142" s="49">
        <f>'дод 3'!M213</f>
        <v>12100</v>
      </c>
      <c r="M142" s="49">
        <f>'дод 3'!N213</f>
        <v>0</v>
      </c>
      <c r="N142" s="49">
        <f>'дод 3'!O213</f>
        <v>227500</v>
      </c>
      <c r="O142" s="49">
        <f>'дод 3'!P213</f>
        <v>23339164</v>
      </c>
    </row>
    <row r="143" spans="1:15" ht="33.75" customHeight="1" x14ac:dyDescent="0.25">
      <c r="A143" s="37" t="s">
        <v>319</v>
      </c>
      <c r="B143" s="37" t="s">
        <v>320</v>
      </c>
      <c r="C143" s="3" t="s">
        <v>321</v>
      </c>
      <c r="D143" s="49">
        <f>'дод 3'!E33+'дод 3'!E214</f>
        <v>7216125</v>
      </c>
      <c r="E143" s="49">
        <f>'дод 3'!F33+'дод 3'!F214</f>
        <v>7216125</v>
      </c>
      <c r="F143" s="49">
        <f>'дод 3'!G33+'дод 3'!G214</f>
        <v>4057800</v>
      </c>
      <c r="G143" s="49">
        <f>'дод 3'!H33+'дод 3'!H214</f>
        <v>865725</v>
      </c>
      <c r="H143" s="49">
        <f>'дод 3'!I33+'дод 3'!I214</f>
        <v>0</v>
      </c>
      <c r="I143" s="49">
        <f>'дод 3'!J33+'дод 3'!J214</f>
        <v>6000</v>
      </c>
      <c r="J143" s="49">
        <f>'дод 3'!K33+'дод 3'!K214</f>
        <v>0</v>
      </c>
      <c r="K143" s="49">
        <f>'дод 3'!L33+'дод 3'!L214</f>
        <v>6000</v>
      </c>
      <c r="L143" s="49">
        <f>'дод 3'!M33+'дод 3'!M214</f>
        <v>0</v>
      </c>
      <c r="M143" s="49">
        <f>'дод 3'!N33+'дод 3'!N214</f>
        <v>3300</v>
      </c>
      <c r="N143" s="49">
        <f>'дод 3'!O33+'дод 3'!O214</f>
        <v>0</v>
      </c>
      <c r="O143" s="49">
        <f>'дод 3'!P33+'дод 3'!P214</f>
        <v>7222125</v>
      </c>
    </row>
    <row r="144" spans="1:15" s="54" customFormat="1" ht="37.5" customHeight="1" x14ac:dyDescent="0.25">
      <c r="A144" s="37" t="s">
        <v>293</v>
      </c>
      <c r="B144" s="37" t="s">
        <v>75</v>
      </c>
      <c r="C144" s="3" t="s">
        <v>343</v>
      </c>
      <c r="D144" s="49">
        <f>'дод 3'!E34+'дод 3'!E215</f>
        <v>5171608</v>
      </c>
      <c r="E144" s="49">
        <f>'дод 3'!F34+'дод 3'!F215</f>
        <v>5171608</v>
      </c>
      <c r="F144" s="49">
        <f>'дод 3'!G34+'дод 3'!G215</f>
        <v>3380000</v>
      </c>
      <c r="G144" s="49">
        <f>'дод 3'!H34+'дод 3'!H215</f>
        <v>129908</v>
      </c>
      <c r="H144" s="49">
        <f>'дод 3'!I34+'дод 3'!I215</f>
        <v>0</v>
      </c>
      <c r="I144" s="49">
        <f>'дод 3'!J34+'дод 3'!J215</f>
        <v>88000</v>
      </c>
      <c r="J144" s="49">
        <f>'дод 3'!K34+'дод 3'!K215</f>
        <v>88000</v>
      </c>
      <c r="K144" s="49">
        <f>'дод 3'!L34+'дод 3'!L215</f>
        <v>0</v>
      </c>
      <c r="L144" s="49">
        <f>'дод 3'!M34+'дод 3'!M215</f>
        <v>0</v>
      </c>
      <c r="M144" s="49">
        <f>'дод 3'!N34+'дод 3'!N215</f>
        <v>0</v>
      </c>
      <c r="N144" s="49">
        <f>'дод 3'!O34+'дод 3'!O215</f>
        <v>88000</v>
      </c>
      <c r="O144" s="49">
        <f>'дод 3'!P34+'дод 3'!P215</f>
        <v>5259608</v>
      </c>
    </row>
    <row r="145" spans="1:15" s="54" customFormat="1" ht="22.5" customHeight="1" x14ac:dyDescent="0.25">
      <c r="A145" s="37" t="s">
        <v>294</v>
      </c>
      <c r="B145" s="37" t="s">
        <v>75</v>
      </c>
      <c r="C145" s="3" t="s">
        <v>295</v>
      </c>
      <c r="D145" s="49">
        <f>'дод 3'!E35+'дод 3'!E216</f>
        <v>1804181</v>
      </c>
      <c r="E145" s="49">
        <f>'дод 3'!F35+'дод 3'!F216</f>
        <v>1804181</v>
      </c>
      <c r="F145" s="49">
        <f>'дод 3'!G35+'дод 3'!G216</f>
        <v>0</v>
      </c>
      <c r="G145" s="49">
        <f>'дод 3'!H35+'дод 3'!H216</f>
        <v>0</v>
      </c>
      <c r="H145" s="49">
        <f>'дод 3'!I35+'дод 3'!I216</f>
        <v>0</v>
      </c>
      <c r="I145" s="49">
        <f>'дод 3'!J35+'дод 3'!J216</f>
        <v>0</v>
      </c>
      <c r="J145" s="49">
        <f>'дод 3'!K35+'дод 3'!K216</f>
        <v>0</v>
      </c>
      <c r="K145" s="49">
        <f>'дод 3'!L35+'дод 3'!L216</f>
        <v>0</v>
      </c>
      <c r="L145" s="49">
        <f>'дод 3'!M35+'дод 3'!M216</f>
        <v>0</v>
      </c>
      <c r="M145" s="49">
        <f>'дод 3'!N35+'дод 3'!N216</f>
        <v>0</v>
      </c>
      <c r="N145" s="49">
        <f>'дод 3'!O35+'дод 3'!O216</f>
        <v>0</v>
      </c>
      <c r="O145" s="49">
        <f>'дод 3'!P35+'дод 3'!P216</f>
        <v>1804181</v>
      </c>
    </row>
    <row r="146" spans="1:15" s="52" customFormat="1" ht="21.75" customHeight="1" x14ac:dyDescent="0.25">
      <c r="A146" s="38" t="s">
        <v>78</v>
      </c>
      <c r="B146" s="41"/>
      <c r="C146" s="2" t="s">
        <v>593</v>
      </c>
      <c r="D146" s="48">
        <f t="shared" ref="D146:O146" si="24">D148+D149+D150+D152+D153+D154</f>
        <v>63498939</v>
      </c>
      <c r="E146" s="48">
        <f t="shared" si="24"/>
        <v>63498939</v>
      </c>
      <c r="F146" s="48">
        <f t="shared" si="24"/>
        <v>22466825</v>
      </c>
      <c r="G146" s="48">
        <f t="shared" si="24"/>
        <v>1361479</v>
      </c>
      <c r="H146" s="48">
        <f t="shared" si="24"/>
        <v>0</v>
      </c>
      <c r="I146" s="48">
        <f t="shared" si="24"/>
        <v>2315794</v>
      </c>
      <c r="J146" s="48">
        <f t="shared" si="24"/>
        <v>2102800</v>
      </c>
      <c r="K146" s="48">
        <f t="shared" si="24"/>
        <v>212994</v>
      </c>
      <c r="L146" s="48">
        <f t="shared" si="24"/>
        <v>119291</v>
      </c>
      <c r="M146" s="48">
        <f t="shared" si="24"/>
        <v>50432</v>
      </c>
      <c r="N146" s="48">
        <f t="shared" si="24"/>
        <v>2102800</v>
      </c>
      <c r="O146" s="48">
        <f t="shared" si="24"/>
        <v>65814733</v>
      </c>
    </row>
    <row r="147" spans="1:15" s="52" customFormat="1" ht="21.75" customHeight="1" x14ac:dyDescent="0.25">
      <c r="A147" s="38"/>
      <c r="B147" s="41"/>
      <c r="C147" s="77" t="s">
        <v>395</v>
      </c>
      <c r="D147" s="76">
        <f>D151</f>
        <v>134064</v>
      </c>
      <c r="E147" s="76">
        <f t="shared" ref="E147:O147" si="25">E151</f>
        <v>134064</v>
      </c>
      <c r="F147" s="76">
        <f t="shared" si="25"/>
        <v>0</v>
      </c>
      <c r="G147" s="76">
        <f t="shared" si="25"/>
        <v>0</v>
      </c>
      <c r="H147" s="76">
        <f t="shared" si="25"/>
        <v>0</v>
      </c>
      <c r="I147" s="76">
        <f t="shared" si="25"/>
        <v>0</v>
      </c>
      <c r="J147" s="76">
        <f t="shared" si="25"/>
        <v>0</v>
      </c>
      <c r="K147" s="76">
        <f t="shared" si="25"/>
        <v>0</v>
      </c>
      <c r="L147" s="76">
        <f t="shared" si="25"/>
        <v>0</v>
      </c>
      <c r="M147" s="76">
        <f t="shared" si="25"/>
        <v>0</v>
      </c>
      <c r="N147" s="76">
        <f t="shared" si="25"/>
        <v>0</v>
      </c>
      <c r="O147" s="76">
        <f t="shared" si="25"/>
        <v>134064</v>
      </c>
    </row>
    <row r="148" spans="1:15" s="54" customFormat="1" ht="37.5" customHeight="1" x14ac:dyDescent="0.25">
      <c r="A148" s="37" t="s">
        <v>79</v>
      </c>
      <c r="B148" s="37" t="s">
        <v>80</v>
      </c>
      <c r="C148" s="3" t="s">
        <v>21</v>
      </c>
      <c r="D148" s="49">
        <f>'дод 3'!E36</f>
        <v>710000</v>
      </c>
      <c r="E148" s="49">
        <f>'дод 3'!F36</f>
        <v>710000</v>
      </c>
      <c r="F148" s="49">
        <f>'дод 3'!G36</f>
        <v>0</v>
      </c>
      <c r="G148" s="49">
        <f>'дод 3'!H36</f>
        <v>0</v>
      </c>
      <c r="H148" s="49">
        <f>'дод 3'!I36</f>
        <v>0</v>
      </c>
      <c r="I148" s="49">
        <f>'дод 3'!J36</f>
        <v>0</v>
      </c>
      <c r="J148" s="49">
        <f>'дод 3'!K36</f>
        <v>0</v>
      </c>
      <c r="K148" s="49">
        <f>'дод 3'!L36</f>
        <v>0</v>
      </c>
      <c r="L148" s="49">
        <f>'дод 3'!M36</f>
        <v>0</v>
      </c>
      <c r="M148" s="49">
        <f>'дод 3'!N36</f>
        <v>0</v>
      </c>
      <c r="N148" s="49">
        <f>'дод 3'!O36</f>
        <v>0</v>
      </c>
      <c r="O148" s="49">
        <f>'дод 3'!P36</f>
        <v>710000</v>
      </c>
    </row>
    <row r="149" spans="1:15" s="54" customFormat="1" ht="34.5" customHeight="1" x14ac:dyDescent="0.25">
      <c r="A149" s="37" t="s">
        <v>81</v>
      </c>
      <c r="B149" s="37" t="s">
        <v>80</v>
      </c>
      <c r="C149" s="3" t="s">
        <v>16</v>
      </c>
      <c r="D149" s="49">
        <f>'дод 3'!E37</f>
        <v>1031480</v>
      </c>
      <c r="E149" s="49">
        <f>'дод 3'!F37</f>
        <v>1031480</v>
      </c>
      <c r="F149" s="49">
        <f>'дод 3'!G37</f>
        <v>0</v>
      </c>
      <c r="G149" s="49">
        <f>'дод 3'!H37</f>
        <v>0</v>
      </c>
      <c r="H149" s="49">
        <f>'дод 3'!I37</f>
        <v>0</v>
      </c>
      <c r="I149" s="49">
        <f>'дод 3'!J37</f>
        <v>0</v>
      </c>
      <c r="J149" s="49">
        <f>'дод 3'!K37</f>
        <v>0</v>
      </c>
      <c r="K149" s="49">
        <f>'дод 3'!L37</f>
        <v>0</v>
      </c>
      <c r="L149" s="49">
        <f>'дод 3'!M37</f>
        <v>0</v>
      </c>
      <c r="M149" s="49">
        <f>'дод 3'!N37</f>
        <v>0</v>
      </c>
      <c r="N149" s="49">
        <f>'дод 3'!O37</f>
        <v>0</v>
      </c>
      <c r="O149" s="49">
        <f>'дод 3'!P37</f>
        <v>1031480</v>
      </c>
    </row>
    <row r="150" spans="1:15" s="54" customFormat="1" ht="47.25" x14ac:dyDescent="0.25">
      <c r="A150" s="37" t="s">
        <v>116</v>
      </c>
      <c r="B150" s="37" t="s">
        <v>80</v>
      </c>
      <c r="C150" s="3" t="s">
        <v>594</v>
      </c>
      <c r="D150" s="49">
        <f>'дод 3'!E38+'дод 3'!E113</f>
        <v>26852938</v>
      </c>
      <c r="E150" s="49">
        <f>'дод 3'!F38+'дод 3'!F113</f>
        <v>26852938</v>
      </c>
      <c r="F150" s="49">
        <f>'дод 3'!G38+'дод 3'!G113</f>
        <v>19479425</v>
      </c>
      <c r="G150" s="49">
        <f>'дод 3'!H38+'дод 3'!H113</f>
        <v>1042440</v>
      </c>
      <c r="H150" s="49">
        <f>'дод 3'!I38+'дод 3'!I113</f>
        <v>0</v>
      </c>
      <c r="I150" s="49">
        <f>'дод 3'!J38+'дод 3'!J113</f>
        <v>200700</v>
      </c>
      <c r="J150" s="49">
        <f>'дод 3'!K38+'дод 3'!K113</f>
        <v>200700</v>
      </c>
      <c r="K150" s="49">
        <f>'дод 3'!L38+'дод 3'!L113</f>
        <v>0</v>
      </c>
      <c r="L150" s="49">
        <f>'дод 3'!M38+'дод 3'!M113</f>
        <v>0</v>
      </c>
      <c r="M150" s="49">
        <f>'дод 3'!N38+'дод 3'!N113</f>
        <v>0</v>
      </c>
      <c r="N150" s="49">
        <f>'дод 3'!O38+'дод 3'!O113</f>
        <v>200700</v>
      </c>
      <c r="O150" s="49">
        <f>'дод 3'!P38+'дод 3'!P113</f>
        <v>27053638</v>
      </c>
    </row>
    <row r="151" spans="1:15" s="54" customFormat="1" ht="25.5" customHeight="1" x14ac:dyDescent="0.25">
      <c r="A151" s="37"/>
      <c r="B151" s="37"/>
      <c r="C151" s="87" t="s">
        <v>395</v>
      </c>
      <c r="D151" s="80">
        <f>'дод 3'!E114</f>
        <v>134064</v>
      </c>
      <c r="E151" s="80">
        <f>'дод 3'!F114</f>
        <v>134064</v>
      </c>
      <c r="F151" s="80">
        <f>'дод 3'!G114</f>
        <v>0</v>
      </c>
      <c r="G151" s="80">
        <f>'дод 3'!H114</f>
        <v>0</v>
      </c>
      <c r="H151" s="80">
        <f>'дод 3'!I114</f>
        <v>0</v>
      </c>
      <c r="I151" s="80">
        <f>'дод 3'!J114</f>
        <v>0</v>
      </c>
      <c r="J151" s="80">
        <f>'дод 3'!K114</f>
        <v>0</v>
      </c>
      <c r="K151" s="80">
        <f>'дод 3'!L114</f>
        <v>0</v>
      </c>
      <c r="L151" s="80">
        <f>'дод 3'!M114</f>
        <v>0</v>
      </c>
      <c r="M151" s="80">
        <f>'дод 3'!N114</f>
        <v>0</v>
      </c>
      <c r="N151" s="80">
        <f>'дод 3'!O114</f>
        <v>0</v>
      </c>
      <c r="O151" s="80">
        <f>'дод 3'!P114</f>
        <v>134064</v>
      </c>
    </row>
    <row r="152" spans="1:15" s="54" customFormat="1" ht="31.5" customHeight="1" x14ac:dyDescent="0.25">
      <c r="A152" s="37" t="s">
        <v>117</v>
      </c>
      <c r="B152" s="37" t="s">
        <v>80</v>
      </c>
      <c r="C152" s="3" t="s">
        <v>22</v>
      </c>
      <c r="D152" s="49">
        <f>'дод 3'!E39</f>
        <v>14952642</v>
      </c>
      <c r="E152" s="49">
        <f>'дод 3'!F39</f>
        <v>14952642</v>
      </c>
      <c r="F152" s="49">
        <f>'дод 3'!G39</f>
        <v>0</v>
      </c>
      <c r="G152" s="49">
        <f>'дод 3'!H39</f>
        <v>0</v>
      </c>
      <c r="H152" s="49">
        <f>'дод 3'!I39</f>
        <v>0</v>
      </c>
      <c r="I152" s="49">
        <f>'дод 3'!J39</f>
        <v>372100</v>
      </c>
      <c r="J152" s="49">
        <f>'дод 3'!K39</f>
        <v>372100</v>
      </c>
      <c r="K152" s="49">
        <f>'дод 3'!L39</f>
        <v>0</v>
      </c>
      <c r="L152" s="49">
        <f>'дод 3'!M39</f>
        <v>0</v>
      </c>
      <c r="M152" s="49">
        <f>'дод 3'!N39</f>
        <v>0</v>
      </c>
      <c r="N152" s="49">
        <f>'дод 3'!O39</f>
        <v>372100</v>
      </c>
      <c r="O152" s="49">
        <f>'дод 3'!P39</f>
        <v>15324742</v>
      </c>
    </row>
    <row r="153" spans="1:15" s="54" customFormat="1" ht="54" customHeight="1" x14ac:dyDescent="0.25">
      <c r="A153" s="37" t="s">
        <v>112</v>
      </c>
      <c r="B153" s="37" t="s">
        <v>80</v>
      </c>
      <c r="C153" s="3" t="s">
        <v>113</v>
      </c>
      <c r="D153" s="49">
        <f>'дод 3'!E40</f>
        <v>4983184</v>
      </c>
      <c r="E153" s="49">
        <f>'дод 3'!F40</f>
        <v>4983184</v>
      </c>
      <c r="F153" s="49">
        <f>'дод 3'!G40</f>
        <v>2987400</v>
      </c>
      <c r="G153" s="49">
        <f>'дод 3'!H40</f>
        <v>319039</v>
      </c>
      <c r="H153" s="49">
        <f>'дод 3'!I40</f>
        <v>0</v>
      </c>
      <c r="I153" s="49">
        <f>'дод 3'!J40</f>
        <v>1742994</v>
      </c>
      <c r="J153" s="49">
        <f>'дод 3'!K40</f>
        <v>1530000</v>
      </c>
      <c r="K153" s="49">
        <f>'дод 3'!L40</f>
        <v>212994</v>
      </c>
      <c r="L153" s="49">
        <f>'дод 3'!M40</f>
        <v>119291</v>
      </c>
      <c r="M153" s="49">
        <f>'дод 3'!N40</f>
        <v>50432</v>
      </c>
      <c r="N153" s="49">
        <f>'дод 3'!O40</f>
        <v>1530000</v>
      </c>
      <c r="O153" s="49">
        <f>'дод 3'!P40</f>
        <v>6726178</v>
      </c>
    </row>
    <row r="154" spans="1:15" s="54" customFormat="1" ht="37.5" customHeight="1" x14ac:dyDescent="0.25">
      <c r="A154" s="37" t="s">
        <v>115</v>
      </c>
      <c r="B154" s="37" t="s">
        <v>80</v>
      </c>
      <c r="C154" s="3" t="s">
        <v>114</v>
      </c>
      <c r="D154" s="49">
        <f>'дод 3'!E41</f>
        <v>14968695</v>
      </c>
      <c r="E154" s="49">
        <f>'дод 3'!F41</f>
        <v>14968695</v>
      </c>
      <c r="F154" s="49">
        <f>'дод 3'!G41</f>
        <v>0</v>
      </c>
      <c r="G154" s="49">
        <f>'дод 3'!H41</f>
        <v>0</v>
      </c>
      <c r="H154" s="49">
        <f>'дод 3'!I41</f>
        <v>0</v>
      </c>
      <c r="I154" s="49">
        <f>'дод 3'!J41</f>
        <v>0</v>
      </c>
      <c r="J154" s="49">
        <f>'дод 3'!K41</f>
        <v>0</v>
      </c>
      <c r="K154" s="49">
        <f>'дод 3'!L41</f>
        <v>0</v>
      </c>
      <c r="L154" s="49">
        <f>'дод 3'!M41</f>
        <v>0</v>
      </c>
      <c r="M154" s="49">
        <f>'дод 3'!N41</f>
        <v>0</v>
      </c>
      <c r="N154" s="49">
        <f>'дод 3'!O41</f>
        <v>0</v>
      </c>
      <c r="O154" s="49">
        <f>'дод 3'!P41</f>
        <v>14968695</v>
      </c>
    </row>
    <row r="155" spans="1:15" s="52" customFormat="1" ht="18" customHeight="1" x14ac:dyDescent="0.25">
      <c r="A155" s="38" t="s">
        <v>66</v>
      </c>
      <c r="B155" s="41"/>
      <c r="C155" s="2" t="s">
        <v>67</v>
      </c>
      <c r="D155" s="48">
        <f>D157+D158+D159+D160+D161+D162+D163+D165+D166</f>
        <v>273276659.26999998</v>
      </c>
      <c r="E155" s="48">
        <f t="shared" ref="E155:O155" si="26">E157+E158+E159+E160+E161+E162+E163+E165+E166</f>
        <v>239619700.78999999</v>
      </c>
      <c r="F155" s="48">
        <f t="shared" si="26"/>
        <v>0</v>
      </c>
      <c r="G155" s="48">
        <f t="shared" si="26"/>
        <v>35017960</v>
      </c>
      <c r="H155" s="48">
        <f t="shared" si="26"/>
        <v>33656958.480000004</v>
      </c>
      <c r="I155" s="48">
        <f t="shared" si="26"/>
        <v>133692181.22999999</v>
      </c>
      <c r="J155" s="48">
        <f t="shared" si="26"/>
        <v>131749352.57999998</v>
      </c>
      <c r="K155" s="48">
        <f t="shared" si="26"/>
        <v>0</v>
      </c>
      <c r="L155" s="48">
        <f t="shared" si="26"/>
        <v>0</v>
      </c>
      <c r="M155" s="48">
        <f t="shared" si="26"/>
        <v>0</v>
      </c>
      <c r="N155" s="48">
        <f t="shared" si="26"/>
        <v>133692181.22999999</v>
      </c>
      <c r="O155" s="48">
        <f t="shared" si="26"/>
        <v>406968840.5</v>
      </c>
    </row>
    <row r="156" spans="1:15" s="52" customFormat="1" ht="110.25" hidden="1" customHeight="1" x14ac:dyDescent="0.25">
      <c r="A156" s="38"/>
      <c r="B156" s="41"/>
      <c r="C156" s="2" t="s">
        <v>445</v>
      </c>
      <c r="D156" s="48">
        <f>D164</f>
        <v>0</v>
      </c>
      <c r="E156" s="48">
        <f t="shared" ref="E156:O156" si="27">E164</f>
        <v>0</v>
      </c>
      <c r="F156" s="48">
        <f t="shared" si="27"/>
        <v>0</v>
      </c>
      <c r="G156" s="48">
        <f t="shared" si="27"/>
        <v>0</v>
      </c>
      <c r="H156" s="48">
        <f t="shared" si="27"/>
        <v>0</v>
      </c>
      <c r="I156" s="48">
        <f t="shared" si="27"/>
        <v>0</v>
      </c>
      <c r="J156" s="48">
        <f t="shared" si="27"/>
        <v>0</v>
      </c>
      <c r="K156" s="48">
        <f t="shared" si="27"/>
        <v>0</v>
      </c>
      <c r="L156" s="48">
        <f t="shared" si="27"/>
        <v>0</v>
      </c>
      <c r="M156" s="48">
        <f t="shared" si="27"/>
        <v>0</v>
      </c>
      <c r="N156" s="48">
        <f t="shared" si="27"/>
        <v>0</v>
      </c>
      <c r="O156" s="48">
        <f t="shared" si="27"/>
        <v>0</v>
      </c>
    </row>
    <row r="157" spans="1:15" s="54" customFormat="1" ht="31.5" x14ac:dyDescent="0.25">
      <c r="A157" s="37" t="s">
        <v>127</v>
      </c>
      <c r="B157" s="37" t="s">
        <v>68</v>
      </c>
      <c r="C157" s="3" t="s">
        <v>128</v>
      </c>
      <c r="D157" s="49">
        <f>'дод 3'!E231</f>
        <v>0</v>
      </c>
      <c r="E157" s="49">
        <f>'дод 3'!F231</f>
        <v>0</v>
      </c>
      <c r="F157" s="49">
        <f>'дод 3'!G231</f>
        <v>0</v>
      </c>
      <c r="G157" s="49">
        <f>'дод 3'!H231</f>
        <v>0</v>
      </c>
      <c r="H157" s="49">
        <f>'дод 3'!I231</f>
        <v>0</v>
      </c>
      <c r="I157" s="49">
        <f>'дод 3'!J231</f>
        <v>9505553</v>
      </c>
      <c r="J157" s="49">
        <f>'дод 3'!K231</f>
        <v>9469073</v>
      </c>
      <c r="K157" s="49">
        <f>'дод 3'!L231</f>
        <v>0</v>
      </c>
      <c r="L157" s="49">
        <f>'дод 3'!M231</f>
        <v>0</v>
      </c>
      <c r="M157" s="49">
        <f>'дод 3'!N231</f>
        <v>0</v>
      </c>
      <c r="N157" s="49">
        <f>'дод 3'!O231</f>
        <v>9505553</v>
      </c>
      <c r="O157" s="49">
        <f>'дод 3'!P231</f>
        <v>9505553</v>
      </c>
    </row>
    <row r="158" spans="1:15" s="54" customFormat="1" ht="36.75" customHeight="1" x14ac:dyDescent="0.25">
      <c r="A158" s="37" t="s">
        <v>129</v>
      </c>
      <c r="B158" s="37" t="s">
        <v>70</v>
      </c>
      <c r="C158" s="3" t="s">
        <v>147</v>
      </c>
      <c r="D158" s="49">
        <f>'дод 3'!E232</f>
        <v>29375568</v>
      </c>
      <c r="E158" s="49">
        <f>'дод 3'!F232</f>
        <v>875568</v>
      </c>
      <c r="F158" s="49">
        <f>'дод 3'!G232</f>
        <v>0</v>
      </c>
      <c r="G158" s="49">
        <f>'дод 3'!H232</f>
        <v>0</v>
      </c>
      <c r="H158" s="49">
        <f>'дод 3'!I232</f>
        <v>28500000</v>
      </c>
      <c r="I158" s="49">
        <f>'дод 3'!J232</f>
        <v>200000</v>
      </c>
      <c r="J158" s="49">
        <f>'дод 3'!K232</f>
        <v>200000</v>
      </c>
      <c r="K158" s="49">
        <f>'дод 3'!L232</f>
        <v>0</v>
      </c>
      <c r="L158" s="49">
        <f>'дод 3'!M232</f>
        <v>0</v>
      </c>
      <c r="M158" s="49">
        <f>'дод 3'!N232</f>
        <v>0</v>
      </c>
      <c r="N158" s="49">
        <f>'дод 3'!O232</f>
        <v>200000</v>
      </c>
      <c r="O158" s="49">
        <f>'дод 3'!P232</f>
        <v>29575568</v>
      </c>
    </row>
    <row r="159" spans="1:15" s="54" customFormat="1" ht="33" customHeight="1" x14ac:dyDescent="0.25">
      <c r="A159" s="40" t="s">
        <v>260</v>
      </c>
      <c r="B159" s="40" t="s">
        <v>70</v>
      </c>
      <c r="C159" s="3" t="s">
        <v>261</v>
      </c>
      <c r="D159" s="49">
        <f>'дод 3'!E233</f>
        <v>155980</v>
      </c>
      <c r="E159" s="49">
        <f>'дод 3'!F233</f>
        <v>155980</v>
      </c>
      <c r="F159" s="49">
        <f>'дод 3'!G233</f>
        <v>0</v>
      </c>
      <c r="G159" s="49">
        <f>'дод 3'!H233</f>
        <v>0</v>
      </c>
      <c r="H159" s="49">
        <f>'дод 3'!I233</f>
        <v>0</v>
      </c>
      <c r="I159" s="49">
        <f>'дод 3'!J233</f>
        <v>33515050</v>
      </c>
      <c r="J159" s="49">
        <f>'дод 3'!K233</f>
        <v>33465050</v>
      </c>
      <c r="K159" s="49">
        <f>'дод 3'!L233</f>
        <v>0</v>
      </c>
      <c r="L159" s="49">
        <f>'дод 3'!M233</f>
        <v>0</v>
      </c>
      <c r="M159" s="49">
        <f>'дод 3'!N233</f>
        <v>0</v>
      </c>
      <c r="N159" s="49">
        <f>'дод 3'!O233</f>
        <v>33515050</v>
      </c>
      <c r="O159" s="49">
        <f>'дод 3'!P233</f>
        <v>33671030</v>
      </c>
    </row>
    <row r="160" spans="1:15" s="54" customFormat="1" ht="33" customHeight="1" x14ac:dyDescent="0.25">
      <c r="A160" s="37" t="s">
        <v>263</v>
      </c>
      <c r="B160" s="37" t="s">
        <v>70</v>
      </c>
      <c r="C160" s="3" t="s">
        <v>344</v>
      </c>
      <c r="D160" s="49">
        <f>'дод 3'!E234</f>
        <v>100000</v>
      </c>
      <c r="E160" s="49">
        <f>'дод 3'!F234</f>
        <v>100000</v>
      </c>
      <c r="F160" s="49">
        <f>'дод 3'!G234</f>
        <v>0</v>
      </c>
      <c r="G160" s="49">
        <f>'дод 3'!H234</f>
        <v>0</v>
      </c>
      <c r="H160" s="49">
        <f>'дод 3'!I234</f>
        <v>0</v>
      </c>
      <c r="I160" s="49">
        <f>'дод 3'!J234</f>
        <v>0</v>
      </c>
      <c r="J160" s="49">
        <f>'дод 3'!K234</f>
        <v>0</v>
      </c>
      <c r="K160" s="49">
        <f>'дод 3'!L234</f>
        <v>0</v>
      </c>
      <c r="L160" s="49">
        <f>'дод 3'!M234</f>
        <v>0</v>
      </c>
      <c r="M160" s="49">
        <f>'дод 3'!N234</f>
        <v>0</v>
      </c>
      <c r="N160" s="49">
        <f>'дод 3'!O234</f>
        <v>0</v>
      </c>
      <c r="O160" s="49">
        <f>'дод 3'!P234</f>
        <v>100000</v>
      </c>
    </row>
    <row r="161" spans="1:15" s="54" customFormat="1" ht="52.5" customHeight="1" x14ac:dyDescent="0.25">
      <c r="A161" s="37" t="s">
        <v>69</v>
      </c>
      <c r="B161" s="37" t="s">
        <v>70</v>
      </c>
      <c r="C161" s="3" t="s">
        <v>132</v>
      </c>
      <c r="D161" s="49">
        <f>'дод 3'!E235</f>
        <v>4786258.4800000004</v>
      </c>
      <c r="E161" s="49">
        <f>'дод 3'!F235</f>
        <v>29300</v>
      </c>
      <c r="F161" s="49">
        <f>'дод 3'!G235</f>
        <v>0</v>
      </c>
      <c r="G161" s="49">
        <f>'дод 3'!H235</f>
        <v>0</v>
      </c>
      <c r="H161" s="49">
        <f>'дод 3'!I235</f>
        <v>4756958.4800000004</v>
      </c>
      <c r="I161" s="49">
        <f>'дод 3'!J235</f>
        <v>85000</v>
      </c>
      <c r="J161" s="49">
        <f>'дод 3'!K235</f>
        <v>85000</v>
      </c>
      <c r="K161" s="49">
        <f>'дод 3'!L235</f>
        <v>0</v>
      </c>
      <c r="L161" s="49">
        <f>'дод 3'!M235</f>
        <v>0</v>
      </c>
      <c r="M161" s="49">
        <f>'дод 3'!N235</f>
        <v>0</v>
      </c>
      <c r="N161" s="49">
        <f>'дод 3'!O235</f>
        <v>85000</v>
      </c>
      <c r="O161" s="49">
        <f>'дод 3'!P235</f>
        <v>4871258.4800000004</v>
      </c>
    </row>
    <row r="162" spans="1:15" ht="24" customHeight="1" x14ac:dyDescent="0.25">
      <c r="A162" s="37" t="s">
        <v>130</v>
      </c>
      <c r="B162" s="37" t="s">
        <v>70</v>
      </c>
      <c r="C162" s="3" t="s">
        <v>131</v>
      </c>
      <c r="D162" s="49">
        <f>'дод 3'!E236+'дод 3'!E269</f>
        <v>230444185.78</v>
      </c>
      <c r="E162" s="49">
        <f>'дод 3'!F236+'дод 3'!F269</f>
        <v>230344185.78</v>
      </c>
      <c r="F162" s="49">
        <f>'дод 3'!G236+'дод 3'!G269</f>
        <v>0</v>
      </c>
      <c r="G162" s="49">
        <f>'дод 3'!H236+'дод 3'!H269</f>
        <v>34990460</v>
      </c>
      <c r="H162" s="49">
        <f>'дод 3'!I236+'дод 3'!I269</f>
        <v>100000</v>
      </c>
      <c r="I162" s="49">
        <f>'дод 3'!J236+'дод 3'!J269</f>
        <v>88497029.579999983</v>
      </c>
      <c r="J162" s="49">
        <f>'дод 3'!K236+'дод 3'!K269</f>
        <v>88497029.579999983</v>
      </c>
      <c r="K162" s="49">
        <f>'дод 3'!L236+'дод 3'!L269</f>
        <v>0</v>
      </c>
      <c r="L162" s="49">
        <f>'дод 3'!M236+'дод 3'!M269</f>
        <v>0</v>
      </c>
      <c r="M162" s="49">
        <f>'дод 3'!N236+'дод 3'!N269</f>
        <v>0</v>
      </c>
      <c r="N162" s="49">
        <f>'дод 3'!O236+'дод 3'!O269</f>
        <v>88497029.579999983</v>
      </c>
      <c r="O162" s="49">
        <f>'дод 3'!P236+'дод 3'!P269</f>
        <v>318941215.36000001</v>
      </c>
    </row>
    <row r="163" spans="1:15" ht="83.25" customHeight="1" x14ac:dyDescent="0.25">
      <c r="A163" s="37">
        <v>6083</v>
      </c>
      <c r="B163" s="58" t="s">
        <v>68</v>
      </c>
      <c r="C163" s="11" t="s">
        <v>438</v>
      </c>
      <c r="D163" s="49">
        <f>'дод 3'!E207</f>
        <v>0</v>
      </c>
      <c r="E163" s="49">
        <f>'дод 3'!F207</f>
        <v>0</v>
      </c>
      <c r="F163" s="49">
        <f>'дод 3'!G207</f>
        <v>0</v>
      </c>
      <c r="G163" s="49">
        <f>'дод 3'!H207</f>
        <v>0</v>
      </c>
      <c r="H163" s="49">
        <f>'дод 3'!I207</f>
        <v>0</v>
      </c>
      <c r="I163" s="49">
        <f>'дод 3'!J207</f>
        <v>33200</v>
      </c>
      <c r="J163" s="49">
        <f>'дод 3'!K207</f>
        <v>33200</v>
      </c>
      <c r="K163" s="49">
        <f>'дод 3'!L207</f>
        <v>0</v>
      </c>
      <c r="L163" s="49">
        <f>'дод 3'!M207</f>
        <v>0</v>
      </c>
      <c r="M163" s="49">
        <f>'дод 3'!N207</f>
        <v>0</v>
      </c>
      <c r="N163" s="49">
        <f>'дод 3'!O207</f>
        <v>33200</v>
      </c>
      <c r="O163" s="49">
        <f>'дод 3'!P207</f>
        <v>33200</v>
      </c>
    </row>
    <row r="164" spans="1:15" s="54" customFormat="1" ht="110.25" hidden="1" x14ac:dyDescent="0.25">
      <c r="A164" s="78"/>
      <c r="B164" s="89"/>
      <c r="C164" s="90" t="s">
        <v>445</v>
      </c>
      <c r="D164" s="80">
        <f>'дод 3'!E208</f>
        <v>0</v>
      </c>
      <c r="E164" s="80">
        <f>'дод 3'!F208</f>
        <v>0</v>
      </c>
      <c r="F164" s="80">
        <f>'дод 3'!G208</f>
        <v>0</v>
      </c>
      <c r="G164" s="80">
        <f>'дод 3'!H208</f>
        <v>0</v>
      </c>
      <c r="H164" s="80">
        <f>'дод 3'!I208</f>
        <v>0</v>
      </c>
      <c r="I164" s="80">
        <f>'дод 3'!J208</f>
        <v>0</v>
      </c>
      <c r="J164" s="80">
        <f>'дод 3'!K208</f>
        <v>0</v>
      </c>
      <c r="K164" s="80">
        <f>'дод 3'!L208</f>
        <v>0</v>
      </c>
      <c r="L164" s="80">
        <f>'дод 3'!M208</f>
        <v>0</v>
      </c>
      <c r="M164" s="80">
        <f>'дод 3'!N208</f>
        <v>0</v>
      </c>
      <c r="N164" s="80">
        <f>'дод 3'!O208</f>
        <v>0</v>
      </c>
      <c r="O164" s="80">
        <f>'дод 3'!P208</f>
        <v>0</v>
      </c>
    </row>
    <row r="165" spans="1:15" s="54" customFormat="1" ht="54.75" customHeight="1" x14ac:dyDescent="0.25">
      <c r="A165" s="37" t="s">
        <v>134</v>
      </c>
      <c r="B165" s="42" t="s">
        <v>68</v>
      </c>
      <c r="C165" s="3" t="s">
        <v>135</v>
      </c>
      <c r="D165" s="49">
        <f>'дод 3'!E270</f>
        <v>0</v>
      </c>
      <c r="E165" s="49">
        <f>'дод 3'!F270</f>
        <v>0</v>
      </c>
      <c r="F165" s="49">
        <f>'дод 3'!G270</f>
        <v>0</v>
      </c>
      <c r="G165" s="49">
        <f>'дод 3'!H270</f>
        <v>0</v>
      </c>
      <c r="H165" s="49">
        <f>'дод 3'!I270</f>
        <v>0</v>
      </c>
      <c r="I165" s="49">
        <f>'дод 3'!J270</f>
        <v>71348.649999999994</v>
      </c>
      <c r="J165" s="49">
        <f>'дод 3'!K270</f>
        <v>0</v>
      </c>
      <c r="K165" s="49">
        <f>'дод 3'!L270</f>
        <v>0</v>
      </c>
      <c r="L165" s="49">
        <f>'дод 3'!M270</f>
        <v>0</v>
      </c>
      <c r="M165" s="49">
        <f>'дод 3'!N270</f>
        <v>0</v>
      </c>
      <c r="N165" s="49">
        <f>'дод 3'!O270</f>
        <v>71348.649999999994</v>
      </c>
      <c r="O165" s="49">
        <f>'дод 3'!P270</f>
        <v>71348.649999999994</v>
      </c>
    </row>
    <row r="166" spans="1:15" ht="36" customHeight="1" x14ac:dyDescent="0.25">
      <c r="A166" s="37" t="s">
        <v>141</v>
      </c>
      <c r="B166" s="42" t="s">
        <v>312</v>
      </c>
      <c r="C166" s="3" t="s">
        <v>142</v>
      </c>
      <c r="D166" s="49">
        <f>'дод 3'!E237+'дод 3'!E288</f>
        <v>8414667.0100000016</v>
      </c>
      <c r="E166" s="49">
        <f>'дод 3'!F237+'дод 3'!F288</f>
        <v>8114667.0100000016</v>
      </c>
      <c r="F166" s="49">
        <f>'дод 3'!G237+'дод 3'!G288</f>
        <v>0</v>
      </c>
      <c r="G166" s="49">
        <f>'дод 3'!H237+'дод 3'!H288</f>
        <v>27500</v>
      </c>
      <c r="H166" s="49">
        <f>'дод 3'!I237+'дод 3'!I288</f>
        <v>300000</v>
      </c>
      <c r="I166" s="49">
        <f>'дод 3'!J237+'дод 3'!J288</f>
        <v>1785000</v>
      </c>
      <c r="J166" s="49">
        <f>'дод 3'!K237+'дод 3'!K288</f>
        <v>0</v>
      </c>
      <c r="K166" s="49">
        <f>'дод 3'!L237+'дод 3'!L288</f>
        <v>0</v>
      </c>
      <c r="L166" s="49">
        <f>'дод 3'!M237+'дод 3'!M288</f>
        <v>0</v>
      </c>
      <c r="M166" s="49">
        <f>'дод 3'!N237+'дод 3'!N288</f>
        <v>0</v>
      </c>
      <c r="N166" s="49">
        <f>'дод 3'!O237+'дод 3'!O288</f>
        <v>1785000</v>
      </c>
      <c r="O166" s="49">
        <f>'дод 3'!P237+'дод 3'!P288</f>
        <v>10199667.010000002</v>
      </c>
    </row>
    <row r="167" spans="1:15" s="52" customFormat="1" ht="21.75" customHeight="1" x14ac:dyDescent="0.25">
      <c r="A167" s="38" t="s">
        <v>136</v>
      </c>
      <c r="B167" s="41"/>
      <c r="C167" s="2" t="s">
        <v>407</v>
      </c>
      <c r="D167" s="48">
        <f>D172+D174+D194+D210+D212+D224</f>
        <v>80533190.149999991</v>
      </c>
      <c r="E167" s="48">
        <f>E172+E174+E194+E210+E212+E224</f>
        <v>17433994.149999999</v>
      </c>
      <c r="F167" s="48">
        <f t="shared" ref="F167:O167" si="28">F172+F174+F194+F210+F212+F224</f>
        <v>0</v>
      </c>
      <c r="G167" s="48">
        <f t="shared" si="28"/>
        <v>0</v>
      </c>
      <c r="H167" s="48">
        <f t="shared" si="28"/>
        <v>63099196</v>
      </c>
      <c r="I167" s="48">
        <f t="shared" si="28"/>
        <v>437957863.42000002</v>
      </c>
      <c r="J167" s="48">
        <f t="shared" si="28"/>
        <v>417504941.55000001</v>
      </c>
      <c r="K167" s="48">
        <f t="shared" si="28"/>
        <v>2948437.8699999996</v>
      </c>
      <c r="L167" s="48">
        <f t="shared" si="28"/>
        <v>0</v>
      </c>
      <c r="M167" s="48">
        <f t="shared" si="28"/>
        <v>0</v>
      </c>
      <c r="N167" s="48">
        <f t="shared" si="28"/>
        <v>435009425.55000001</v>
      </c>
      <c r="O167" s="48">
        <f t="shared" si="28"/>
        <v>518491053.57000005</v>
      </c>
    </row>
    <row r="168" spans="1:15" s="53" customFormat="1" ht="47.25" x14ac:dyDescent="0.25">
      <c r="A168" s="71"/>
      <c r="B168" s="72"/>
      <c r="C168" s="75" t="s">
        <v>388</v>
      </c>
      <c r="D168" s="76">
        <f>D175</f>
        <v>0</v>
      </c>
      <c r="E168" s="76">
        <f t="shared" ref="E168:O168" si="29">E175</f>
        <v>0</v>
      </c>
      <c r="F168" s="76">
        <f t="shared" si="29"/>
        <v>0</v>
      </c>
      <c r="G168" s="76">
        <f t="shared" si="29"/>
        <v>0</v>
      </c>
      <c r="H168" s="76">
        <f t="shared" si="29"/>
        <v>0</v>
      </c>
      <c r="I168" s="76">
        <f t="shared" si="29"/>
        <v>20015420</v>
      </c>
      <c r="J168" s="76">
        <f t="shared" si="29"/>
        <v>16522470</v>
      </c>
      <c r="K168" s="76">
        <f t="shared" si="29"/>
        <v>0</v>
      </c>
      <c r="L168" s="76">
        <f t="shared" si="29"/>
        <v>0</v>
      </c>
      <c r="M168" s="76">
        <f t="shared" si="29"/>
        <v>0</v>
      </c>
      <c r="N168" s="76">
        <f t="shared" si="29"/>
        <v>20015420</v>
      </c>
      <c r="O168" s="76">
        <f t="shared" si="29"/>
        <v>20015420</v>
      </c>
    </row>
    <row r="169" spans="1:15" s="53" customFormat="1" ht="94.5" hidden="1" x14ac:dyDescent="0.25">
      <c r="A169" s="71"/>
      <c r="B169" s="72"/>
      <c r="C169" s="75" t="s">
        <v>397</v>
      </c>
      <c r="D169" s="76">
        <f>D195</f>
        <v>0</v>
      </c>
      <c r="E169" s="76">
        <f t="shared" ref="E169:N169" si="30">E195</f>
        <v>0</v>
      </c>
      <c r="F169" s="76">
        <f t="shared" si="30"/>
        <v>0</v>
      </c>
      <c r="G169" s="76">
        <f t="shared" si="30"/>
        <v>0</v>
      </c>
      <c r="H169" s="76">
        <f t="shared" si="30"/>
        <v>0</v>
      </c>
      <c r="I169" s="76">
        <f t="shared" si="30"/>
        <v>0</v>
      </c>
      <c r="J169" s="76">
        <f t="shared" si="30"/>
        <v>0</v>
      </c>
      <c r="K169" s="76">
        <f t="shared" si="30"/>
        <v>0</v>
      </c>
      <c r="L169" s="76">
        <f t="shared" si="30"/>
        <v>0</v>
      </c>
      <c r="M169" s="76">
        <f t="shared" si="30"/>
        <v>0</v>
      </c>
      <c r="N169" s="76">
        <f t="shared" si="30"/>
        <v>0</v>
      </c>
      <c r="O169" s="76">
        <f t="shared" ref="O169" si="31">O195</f>
        <v>0</v>
      </c>
    </row>
    <row r="170" spans="1:15" s="53" customFormat="1" x14ac:dyDescent="0.25">
      <c r="A170" s="71"/>
      <c r="B170" s="72"/>
      <c r="C170" s="77" t="s">
        <v>395</v>
      </c>
      <c r="D170" s="76">
        <f>D176+D197</f>
        <v>200000</v>
      </c>
      <c r="E170" s="76">
        <f t="shared" ref="E170:O170" si="32">E176+E197</f>
        <v>200000</v>
      </c>
      <c r="F170" s="76">
        <f t="shared" si="32"/>
        <v>0</v>
      </c>
      <c r="G170" s="76">
        <f t="shared" si="32"/>
        <v>0</v>
      </c>
      <c r="H170" s="76">
        <f t="shared" si="32"/>
        <v>0</v>
      </c>
      <c r="I170" s="76">
        <f t="shared" si="32"/>
        <v>450000</v>
      </c>
      <c r="J170" s="76">
        <f t="shared" si="32"/>
        <v>450000</v>
      </c>
      <c r="K170" s="76">
        <f t="shared" si="32"/>
        <v>0</v>
      </c>
      <c r="L170" s="76">
        <f t="shared" si="32"/>
        <v>0</v>
      </c>
      <c r="M170" s="76">
        <f t="shared" si="32"/>
        <v>0</v>
      </c>
      <c r="N170" s="76">
        <f t="shared" si="32"/>
        <v>450000</v>
      </c>
      <c r="O170" s="76">
        <f t="shared" si="32"/>
        <v>650000</v>
      </c>
    </row>
    <row r="171" spans="1:15" s="53" customFormat="1" ht="18" customHeight="1" x14ac:dyDescent="0.25">
      <c r="A171" s="71"/>
      <c r="B171" s="71"/>
      <c r="C171" s="83" t="s">
        <v>419</v>
      </c>
      <c r="D171" s="76">
        <f>D213</f>
        <v>0</v>
      </c>
      <c r="E171" s="76">
        <f t="shared" ref="E171:O171" si="33">E213</f>
        <v>0</v>
      </c>
      <c r="F171" s="76">
        <f t="shared" si="33"/>
        <v>0</v>
      </c>
      <c r="G171" s="76">
        <f t="shared" si="33"/>
        <v>0</v>
      </c>
      <c r="H171" s="76">
        <f t="shared" si="33"/>
        <v>0</v>
      </c>
      <c r="I171" s="76">
        <f t="shared" si="33"/>
        <v>127771665.12</v>
      </c>
      <c r="J171" s="76">
        <f t="shared" si="33"/>
        <v>127771665.12</v>
      </c>
      <c r="K171" s="76">
        <f t="shared" si="33"/>
        <v>0</v>
      </c>
      <c r="L171" s="76">
        <f t="shared" si="33"/>
        <v>0</v>
      </c>
      <c r="M171" s="76">
        <f t="shared" si="33"/>
        <v>0</v>
      </c>
      <c r="N171" s="76">
        <f t="shared" si="33"/>
        <v>127771665.12</v>
      </c>
      <c r="O171" s="76">
        <f t="shared" si="33"/>
        <v>127771665.12</v>
      </c>
    </row>
    <row r="172" spans="1:15" s="52" customFormat="1" x14ac:dyDescent="0.25">
      <c r="A172" s="38" t="s">
        <v>143</v>
      </c>
      <c r="B172" s="41"/>
      <c r="C172" s="2" t="s">
        <v>144</v>
      </c>
      <c r="D172" s="48">
        <f t="shared" ref="D172:O172" si="34">D173</f>
        <v>450000</v>
      </c>
      <c r="E172" s="48">
        <f t="shared" si="34"/>
        <v>450000</v>
      </c>
      <c r="F172" s="48">
        <f t="shared" si="34"/>
        <v>0</v>
      </c>
      <c r="G172" s="48">
        <f t="shared" si="34"/>
        <v>0</v>
      </c>
      <c r="H172" s="48">
        <f t="shared" si="34"/>
        <v>0</v>
      </c>
      <c r="I172" s="48">
        <f t="shared" si="34"/>
        <v>0</v>
      </c>
      <c r="J172" s="48">
        <f t="shared" si="34"/>
        <v>0</v>
      </c>
      <c r="K172" s="48">
        <f t="shared" si="34"/>
        <v>0</v>
      </c>
      <c r="L172" s="48">
        <f t="shared" si="34"/>
        <v>0</v>
      </c>
      <c r="M172" s="48">
        <f t="shared" si="34"/>
        <v>0</v>
      </c>
      <c r="N172" s="48">
        <f t="shared" si="34"/>
        <v>0</v>
      </c>
      <c r="O172" s="48">
        <f t="shared" si="34"/>
        <v>450000</v>
      </c>
    </row>
    <row r="173" spans="1:15" ht="24" customHeight="1" x14ac:dyDescent="0.25">
      <c r="A173" s="37" t="s">
        <v>137</v>
      </c>
      <c r="B173" s="37" t="s">
        <v>83</v>
      </c>
      <c r="C173" s="3" t="s">
        <v>345</v>
      </c>
      <c r="D173" s="49">
        <f>'дод 3'!E298</f>
        <v>450000</v>
      </c>
      <c r="E173" s="49">
        <f>'дод 3'!F298</f>
        <v>450000</v>
      </c>
      <c r="F173" s="49">
        <f>'дод 3'!G298</f>
        <v>0</v>
      </c>
      <c r="G173" s="49">
        <f>'дод 3'!H298</f>
        <v>0</v>
      </c>
      <c r="H173" s="49">
        <f>'дод 3'!I298</f>
        <v>0</v>
      </c>
      <c r="I173" s="49">
        <f>'дод 3'!J298</f>
        <v>0</v>
      </c>
      <c r="J173" s="49">
        <f>'дод 3'!K298</f>
        <v>0</v>
      </c>
      <c r="K173" s="49">
        <f>'дод 3'!L298</f>
        <v>0</v>
      </c>
      <c r="L173" s="49">
        <f>'дод 3'!M298</f>
        <v>0</v>
      </c>
      <c r="M173" s="49">
        <f>'дод 3'!N298</f>
        <v>0</v>
      </c>
      <c r="N173" s="49">
        <f>'дод 3'!O298</f>
        <v>0</v>
      </c>
      <c r="O173" s="49">
        <f>'дод 3'!P298</f>
        <v>450000</v>
      </c>
    </row>
    <row r="174" spans="1:15" s="52" customFormat="1" ht="31.5" x14ac:dyDescent="0.25">
      <c r="A174" s="38" t="s">
        <v>97</v>
      </c>
      <c r="B174" s="38"/>
      <c r="C174" s="13" t="s">
        <v>595</v>
      </c>
      <c r="D174" s="48">
        <f>D177+D178+D180+D181+D182+D183+D184+D185+D186+D187+D189+D191+D193</f>
        <v>2341300.6</v>
      </c>
      <c r="E174" s="48">
        <f t="shared" ref="E174:O174" si="35">E177+E178+E180+E181+E182+E183+E184+E185+E186+E187+E189+E191+E193</f>
        <v>2341300.6</v>
      </c>
      <c r="F174" s="48">
        <f t="shared" si="35"/>
        <v>0</v>
      </c>
      <c r="G174" s="48">
        <f t="shared" si="35"/>
        <v>0</v>
      </c>
      <c r="H174" s="48">
        <f t="shared" si="35"/>
        <v>0</v>
      </c>
      <c r="I174" s="48">
        <f t="shared" si="35"/>
        <v>220270820.98000002</v>
      </c>
      <c r="J174" s="48">
        <f t="shared" si="35"/>
        <v>216777870.98000002</v>
      </c>
      <c r="K174" s="48">
        <f t="shared" si="35"/>
        <v>0</v>
      </c>
      <c r="L174" s="48">
        <f t="shared" si="35"/>
        <v>0</v>
      </c>
      <c r="M174" s="48">
        <f t="shared" si="35"/>
        <v>0</v>
      </c>
      <c r="N174" s="48">
        <f t="shared" si="35"/>
        <v>220270820.98000002</v>
      </c>
      <c r="O174" s="48">
        <f t="shared" si="35"/>
        <v>222612121.58000001</v>
      </c>
    </row>
    <row r="175" spans="1:15" s="53" customFormat="1" ht="53.25" customHeight="1" x14ac:dyDescent="0.25">
      <c r="A175" s="71"/>
      <c r="B175" s="71"/>
      <c r="C175" s="75" t="s">
        <v>388</v>
      </c>
      <c r="D175" s="76">
        <f>D190</f>
        <v>0</v>
      </c>
      <c r="E175" s="76">
        <f t="shared" ref="E175:O175" si="36">E190</f>
        <v>0</v>
      </c>
      <c r="F175" s="76">
        <f t="shared" si="36"/>
        <v>0</v>
      </c>
      <c r="G175" s="76">
        <f t="shared" si="36"/>
        <v>0</v>
      </c>
      <c r="H175" s="76">
        <f t="shared" si="36"/>
        <v>0</v>
      </c>
      <c r="I175" s="76">
        <f t="shared" si="36"/>
        <v>20015420</v>
      </c>
      <c r="J175" s="76">
        <f t="shared" si="36"/>
        <v>16522470</v>
      </c>
      <c r="K175" s="76">
        <f t="shared" si="36"/>
        <v>0</v>
      </c>
      <c r="L175" s="76">
        <f t="shared" si="36"/>
        <v>0</v>
      </c>
      <c r="M175" s="76">
        <f t="shared" si="36"/>
        <v>0</v>
      </c>
      <c r="N175" s="76">
        <f t="shared" si="36"/>
        <v>20015420</v>
      </c>
      <c r="O175" s="76">
        <f t="shared" si="36"/>
        <v>20015420</v>
      </c>
    </row>
    <row r="176" spans="1:15" s="53" customFormat="1" x14ac:dyDescent="0.25">
      <c r="A176" s="71"/>
      <c r="B176" s="71"/>
      <c r="C176" s="77" t="s">
        <v>395</v>
      </c>
      <c r="D176" s="76">
        <f>D179+D192</f>
        <v>0</v>
      </c>
      <c r="E176" s="76">
        <f t="shared" ref="E176:O176" si="37">E179+E192</f>
        <v>0</v>
      </c>
      <c r="F176" s="76">
        <f t="shared" si="37"/>
        <v>0</v>
      </c>
      <c r="G176" s="76">
        <f t="shared" si="37"/>
        <v>0</v>
      </c>
      <c r="H176" s="76">
        <f t="shared" si="37"/>
        <v>0</v>
      </c>
      <c r="I176" s="76">
        <f t="shared" si="37"/>
        <v>450000</v>
      </c>
      <c r="J176" s="76">
        <f>J179+J192</f>
        <v>450000</v>
      </c>
      <c r="K176" s="76">
        <f t="shared" si="37"/>
        <v>0</v>
      </c>
      <c r="L176" s="76">
        <f t="shared" si="37"/>
        <v>0</v>
      </c>
      <c r="M176" s="76">
        <f t="shared" si="37"/>
        <v>0</v>
      </c>
      <c r="N176" s="76">
        <f t="shared" si="37"/>
        <v>450000</v>
      </c>
      <c r="O176" s="76">
        <f t="shared" si="37"/>
        <v>450000</v>
      </c>
    </row>
    <row r="177" spans="1:15" ht="33" customHeight="1" x14ac:dyDescent="0.25">
      <c r="A177" s="40" t="s">
        <v>272</v>
      </c>
      <c r="B177" s="40" t="s">
        <v>111</v>
      </c>
      <c r="C177" s="6" t="s">
        <v>552</v>
      </c>
      <c r="D177" s="49">
        <f>'дод 3'!E271+'дод 3'!E238</f>
        <v>0</v>
      </c>
      <c r="E177" s="49">
        <f>'дод 3'!F271+'дод 3'!F238</f>
        <v>0</v>
      </c>
      <c r="F177" s="49">
        <f>'дод 3'!G271+'дод 3'!G238</f>
        <v>0</v>
      </c>
      <c r="G177" s="49">
        <f>'дод 3'!H271+'дод 3'!H238</f>
        <v>0</v>
      </c>
      <c r="H177" s="49">
        <f>'дод 3'!I271+'дод 3'!I238</f>
        <v>0</v>
      </c>
      <c r="I177" s="49">
        <f>'дод 3'!J271+'дод 3'!J238</f>
        <v>16987098.399999999</v>
      </c>
      <c r="J177" s="49">
        <f>'дод 3'!K271+'дод 3'!K238</f>
        <v>16987098.399999999</v>
      </c>
      <c r="K177" s="49">
        <f>'дод 3'!L271+'дод 3'!L238</f>
        <v>0</v>
      </c>
      <c r="L177" s="49">
        <f>'дод 3'!M271+'дод 3'!M238</f>
        <v>0</v>
      </c>
      <c r="M177" s="49">
        <f>'дод 3'!N271+'дод 3'!N238</f>
        <v>0</v>
      </c>
      <c r="N177" s="49">
        <f>'дод 3'!O271+'дод 3'!O238</f>
        <v>16987098.399999999</v>
      </c>
      <c r="O177" s="49">
        <f>'дод 3'!P271+'дод 3'!P238</f>
        <v>16987098.399999999</v>
      </c>
    </row>
    <row r="178" spans="1:15" s="54" customFormat="1" ht="34.5" x14ac:dyDescent="0.25">
      <c r="A178" s="40" t="s">
        <v>277</v>
      </c>
      <c r="B178" s="40" t="s">
        <v>111</v>
      </c>
      <c r="C178" s="6" t="s">
        <v>596</v>
      </c>
      <c r="D178" s="49">
        <f>'дод 3'!E115+'дод 3'!E272</f>
        <v>0</v>
      </c>
      <c r="E178" s="49">
        <f>'дод 3'!F115+'дод 3'!F272</f>
        <v>0</v>
      </c>
      <c r="F178" s="49">
        <f>'дод 3'!G115+'дод 3'!G272</f>
        <v>0</v>
      </c>
      <c r="G178" s="49">
        <f>'дод 3'!H115+'дод 3'!H272</f>
        <v>0</v>
      </c>
      <c r="H178" s="49">
        <f>'дод 3'!I115+'дод 3'!I272</f>
        <v>0</v>
      </c>
      <c r="I178" s="49">
        <f>'дод 3'!J115+'дод 3'!J272</f>
        <v>25920126</v>
      </c>
      <c r="J178" s="49">
        <f>'дод 3'!K115+'дод 3'!K272</f>
        <v>25920126</v>
      </c>
      <c r="K178" s="49">
        <f>'дод 3'!L115+'дод 3'!L272</f>
        <v>0</v>
      </c>
      <c r="L178" s="49">
        <f>'дод 3'!M115+'дод 3'!M272</f>
        <v>0</v>
      </c>
      <c r="M178" s="49">
        <f>'дод 3'!N115+'дод 3'!N272</f>
        <v>0</v>
      </c>
      <c r="N178" s="49">
        <f>'дод 3'!O115+'дод 3'!O272</f>
        <v>25920126</v>
      </c>
      <c r="O178" s="49">
        <f>'дод 3'!P115+'дод 3'!P272</f>
        <v>25920126</v>
      </c>
    </row>
    <row r="179" spans="1:15" s="54" customFormat="1" ht="21.75" customHeight="1" x14ac:dyDescent="0.25">
      <c r="A179" s="82"/>
      <c r="B179" s="82"/>
      <c r="C179" s="87" t="s">
        <v>395</v>
      </c>
      <c r="D179" s="80">
        <f>'дод 3'!E116</f>
        <v>0</v>
      </c>
      <c r="E179" s="80">
        <f>'дод 3'!F116</f>
        <v>0</v>
      </c>
      <c r="F179" s="80">
        <f>'дод 3'!G116</f>
        <v>0</v>
      </c>
      <c r="G179" s="80">
        <f>'дод 3'!H116</f>
        <v>0</v>
      </c>
      <c r="H179" s="80">
        <f>'дод 3'!I116</f>
        <v>0</v>
      </c>
      <c r="I179" s="80">
        <f>'дод 3'!J116</f>
        <v>250000</v>
      </c>
      <c r="J179" s="80">
        <f>'дод 3'!K116</f>
        <v>250000</v>
      </c>
      <c r="K179" s="80">
        <f>'дод 3'!L116</f>
        <v>0</v>
      </c>
      <c r="L179" s="80">
        <f>'дод 3'!M116</f>
        <v>0</v>
      </c>
      <c r="M179" s="80">
        <f>'дод 3'!N116</f>
        <v>0</v>
      </c>
      <c r="N179" s="80">
        <f>'дод 3'!O116</f>
        <v>250000</v>
      </c>
      <c r="O179" s="80">
        <f>'дод 3'!P116</f>
        <v>250000</v>
      </c>
    </row>
    <row r="180" spans="1:15" s="54" customFormat="1" ht="24" customHeight="1" x14ac:dyDescent="0.25">
      <c r="A180" s="40" t="s">
        <v>279</v>
      </c>
      <c r="B180" s="40" t="s">
        <v>111</v>
      </c>
      <c r="C180" s="6" t="s">
        <v>549</v>
      </c>
      <c r="D180" s="49">
        <f>'дод 3'!E273+'дод 3'!E152</f>
        <v>0</v>
      </c>
      <c r="E180" s="49">
        <f>'дод 3'!F273+'дод 3'!F152</f>
        <v>0</v>
      </c>
      <c r="F180" s="49">
        <f>'дод 3'!G273+'дод 3'!G152</f>
        <v>0</v>
      </c>
      <c r="G180" s="49">
        <f>'дод 3'!H273+'дод 3'!H152</f>
        <v>0</v>
      </c>
      <c r="H180" s="49">
        <f>'дод 3'!I273+'дод 3'!I152</f>
        <v>0</v>
      </c>
      <c r="I180" s="49">
        <f>'дод 3'!J273+'дод 3'!J152</f>
        <v>37928372</v>
      </c>
      <c r="J180" s="49">
        <f>'дод 3'!K273+'дод 3'!K152</f>
        <v>37928372</v>
      </c>
      <c r="K180" s="49">
        <f>'дод 3'!L273+'дод 3'!L152</f>
        <v>0</v>
      </c>
      <c r="L180" s="49">
        <f>'дод 3'!M273+'дод 3'!M152</f>
        <v>0</v>
      </c>
      <c r="M180" s="49">
        <f>'дод 3'!N273+'дод 3'!N152</f>
        <v>0</v>
      </c>
      <c r="N180" s="49">
        <f>'дод 3'!O273+'дод 3'!O152</f>
        <v>37928372</v>
      </c>
      <c r="O180" s="49">
        <f>'дод 3'!P273+'дод 3'!P152</f>
        <v>37928372</v>
      </c>
    </row>
    <row r="181" spans="1:15" s="54" customFormat="1" ht="22.5" customHeight="1" x14ac:dyDescent="0.25">
      <c r="A181" s="40">
        <v>7323</v>
      </c>
      <c r="B181" s="73" t="s">
        <v>111</v>
      </c>
      <c r="C181" s="134" t="s">
        <v>550</v>
      </c>
      <c r="D181" s="49">
        <f>'дод 3'!E199</f>
        <v>0</v>
      </c>
      <c r="E181" s="49">
        <f>'дод 3'!F199</f>
        <v>0</v>
      </c>
      <c r="F181" s="49">
        <f>'дод 3'!G199</f>
        <v>0</v>
      </c>
      <c r="G181" s="49">
        <f>'дод 3'!H199</f>
        <v>0</v>
      </c>
      <c r="H181" s="49">
        <f>'дод 3'!I199</f>
        <v>0</v>
      </c>
      <c r="I181" s="49">
        <f>'дод 3'!J199</f>
        <v>473213</v>
      </c>
      <c r="J181" s="49">
        <f>'дод 3'!K199</f>
        <v>473213</v>
      </c>
      <c r="K181" s="49">
        <f>'дод 3'!L199</f>
        <v>0</v>
      </c>
      <c r="L181" s="49">
        <f>'дод 3'!M199</f>
        <v>0</v>
      </c>
      <c r="M181" s="49">
        <f>'дод 3'!N199</f>
        <v>0</v>
      </c>
      <c r="N181" s="49">
        <f>'дод 3'!O199</f>
        <v>473213</v>
      </c>
      <c r="O181" s="49">
        <f>'дод 3'!P199</f>
        <v>473213</v>
      </c>
    </row>
    <row r="182" spans="1:15" s="54" customFormat="1" ht="19.5" customHeight="1" x14ac:dyDescent="0.25">
      <c r="A182" s="40">
        <v>7324</v>
      </c>
      <c r="B182" s="73" t="s">
        <v>111</v>
      </c>
      <c r="C182" s="6" t="s">
        <v>551</v>
      </c>
      <c r="D182" s="49">
        <f>'дод 3'!E217+'дод 3'!E274</f>
        <v>0</v>
      </c>
      <c r="E182" s="49">
        <f>'дод 3'!F217+'дод 3'!F274</f>
        <v>0</v>
      </c>
      <c r="F182" s="49">
        <f>'дод 3'!G217+'дод 3'!G274</f>
        <v>0</v>
      </c>
      <c r="G182" s="49">
        <f>'дод 3'!H217+'дод 3'!H274</f>
        <v>0</v>
      </c>
      <c r="H182" s="49">
        <f>'дод 3'!I217+'дод 3'!I274</f>
        <v>0</v>
      </c>
      <c r="I182" s="49">
        <f>'дод 3'!J217+'дод 3'!J274</f>
        <v>970000</v>
      </c>
      <c r="J182" s="49">
        <f>'дод 3'!K217+'дод 3'!K274</f>
        <v>970000</v>
      </c>
      <c r="K182" s="49">
        <f>'дод 3'!L217+'дод 3'!L274</f>
        <v>0</v>
      </c>
      <c r="L182" s="49">
        <f>'дод 3'!M217+'дод 3'!M274</f>
        <v>0</v>
      </c>
      <c r="M182" s="49">
        <f>'дод 3'!N217+'дод 3'!N274</f>
        <v>0</v>
      </c>
      <c r="N182" s="49">
        <f>'дод 3'!O217+'дод 3'!O274</f>
        <v>970000</v>
      </c>
      <c r="O182" s="49">
        <f>'дод 3'!P217+'дод 3'!P274</f>
        <v>970000</v>
      </c>
    </row>
    <row r="183" spans="1:15" s="54" customFormat="1" ht="34.5" x14ac:dyDescent="0.25">
      <c r="A183" s="40">
        <v>7325</v>
      </c>
      <c r="B183" s="73" t="s">
        <v>111</v>
      </c>
      <c r="C183" s="6" t="s">
        <v>546</v>
      </c>
      <c r="D183" s="49">
        <f>'дод 3'!E275+'дод 3'!E42</f>
        <v>0</v>
      </c>
      <c r="E183" s="49">
        <f>'дод 3'!F275+'дод 3'!F42</f>
        <v>0</v>
      </c>
      <c r="F183" s="49">
        <f>'дод 3'!G275+'дод 3'!G42</f>
        <v>0</v>
      </c>
      <c r="G183" s="49">
        <f>'дод 3'!H275+'дод 3'!H42</f>
        <v>0</v>
      </c>
      <c r="H183" s="49">
        <f>'дод 3'!I275+'дод 3'!I42</f>
        <v>0</v>
      </c>
      <c r="I183" s="49">
        <f>'дод 3'!J275+'дод 3'!J42</f>
        <v>11589440</v>
      </c>
      <c r="J183" s="49">
        <f>'дод 3'!K275+'дод 3'!K42</f>
        <v>11589440</v>
      </c>
      <c r="K183" s="49">
        <f>'дод 3'!L275+'дод 3'!L42</f>
        <v>0</v>
      </c>
      <c r="L183" s="49">
        <f>'дод 3'!M275+'дод 3'!M42</f>
        <v>0</v>
      </c>
      <c r="M183" s="49">
        <f>'дод 3'!N275+'дод 3'!N42</f>
        <v>0</v>
      </c>
      <c r="N183" s="49">
        <f>'дод 3'!O275+'дод 3'!O42</f>
        <v>11589440</v>
      </c>
      <c r="O183" s="49">
        <f>'дод 3'!P275+'дод 3'!P42</f>
        <v>11589440</v>
      </c>
    </row>
    <row r="184" spans="1:15" ht="21.75" customHeight="1" x14ac:dyDescent="0.25">
      <c r="A184" s="40" t="s">
        <v>274</v>
      </c>
      <c r="B184" s="40" t="s">
        <v>111</v>
      </c>
      <c r="C184" s="6" t="s">
        <v>547</v>
      </c>
      <c r="D184" s="49">
        <f>'дод 3'!E276+'дод 3'!E239+'дод 3'!E43</f>
        <v>0</v>
      </c>
      <c r="E184" s="49">
        <f>'дод 3'!F276+'дод 3'!F239+'дод 3'!F43</f>
        <v>0</v>
      </c>
      <c r="F184" s="49">
        <f>'дод 3'!G276+'дод 3'!G239+'дод 3'!G43</f>
        <v>0</v>
      </c>
      <c r="G184" s="49">
        <f>'дод 3'!H276+'дод 3'!H239+'дод 3'!H43</f>
        <v>0</v>
      </c>
      <c r="H184" s="49">
        <f>'дод 3'!I276+'дод 3'!I239+'дод 3'!I43</f>
        <v>0</v>
      </c>
      <c r="I184" s="49">
        <f>'дод 3'!J276+'дод 3'!J239+'дод 3'!J43</f>
        <v>30889714.579999998</v>
      </c>
      <c r="J184" s="49">
        <f>'дод 3'!K276+'дод 3'!K239+'дод 3'!K43</f>
        <v>30889714.579999998</v>
      </c>
      <c r="K184" s="49">
        <f>'дод 3'!L276+'дод 3'!L239+'дод 3'!L43</f>
        <v>0</v>
      </c>
      <c r="L184" s="49">
        <f>'дод 3'!M276+'дод 3'!M239+'дод 3'!M43</f>
        <v>0</v>
      </c>
      <c r="M184" s="49">
        <f>'дод 3'!N276+'дод 3'!N239+'дод 3'!N43</f>
        <v>0</v>
      </c>
      <c r="N184" s="49">
        <f>'дод 3'!O276+'дод 3'!O239+'дод 3'!O43</f>
        <v>30889714.579999998</v>
      </c>
      <c r="O184" s="49">
        <f>'дод 3'!P276+'дод 3'!P239+'дод 3'!P43</f>
        <v>30889714.579999998</v>
      </c>
    </row>
    <row r="185" spans="1:15" ht="31.5" customHeight="1" x14ac:dyDescent="0.25">
      <c r="A185" s="37" t="s">
        <v>138</v>
      </c>
      <c r="B185" s="37" t="s">
        <v>111</v>
      </c>
      <c r="C185" s="3" t="s">
        <v>1</v>
      </c>
      <c r="D185" s="49">
        <f>'дод 3'!E240+'дод 3'!E277</f>
        <v>0</v>
      </c>
      <c r="E185" s="49">
        <f>'дод 3'!F240+'дод 3'!F277</f>
        <v>0</v>
      </c>
      <c r="F185" s="49">
        <f>'дод 3'!G240+'дод 3'!G277</f>
        <v>0</v>
      </c>
      <c r="G185" s="49">
        <f>'дод 3'!H240+'дод 3'!H277</f>
        <v>0</v>
      </c>
      <c r="H185" s="49">
        <f>'дод 3'!I240+'дод 3'!I277</f>
        <v>0</v>
      </c>
      <c r="I185" s="49">
        <f>'дод 3'!J240+'дод 3'!J277</f>
        <v>4250000</v>
      </c>
      <c r="J185" s="49">
        <f>'дод 3'!K240+'дод 3'!K277</f>
        <v>4250000</v>
      </c>
      <c r="K185" s="49">
        <f>'дод 3'!L240+'дод 3'!L277</f>
        <v>0</v>
      </c>
      <c r="L185" s="49">
        <f>'дод 3'!M240+'дод 3'!M277</f>
        <v>0</v>
      </c>
      <c r="M185" s="49">
        <f>'дод 3'!N240+'дод 3'!N277</f>
        <v>0</v>
      </c>
      <c r="N185" s="49">
        <f>'дод 3'!O240+'дод 3'!O277</f>
        <v>4250000</v>
      </c>
      <c r="O185" s="49">
        <f>'дод 3'!P240+'дод 3'!P277</f>
        <v>4250000</v>
      </c>
    </row>
    <row r="186" spans="1:15" ht="35.25" customHeight="1" x14ac:dyDescent="0.25">
      <c r="A186" s="58" t="s">
        <v>459</v>
      </c>
      <c r="B186" s="58" t="s">
        <v>111</v>
      </c>
      <c r="C186" s="3" t="s">
        <v>460</v>
      </c>
      <c r="D186" s="49">
        <f>'дод 3'!E289</f>
        <v>0</v>
      </c>
      <c r="E186" s="49">
        <f>'дод 3'!F289</f>
        <v>0</v>
      </c>
      <c r="F186" s="49">
        <f>'дод 3'!G289</f>
        <v>0</v>
      </c>
      <c r="G186" s="49">
        <f>'дод 3'!H289</f>
        <v>0</v>
      </c>
      <c r="H186" s="49">
        <f>'дод 3'!I289</f>
        <v>0</v>
      </c>
      <c r="I186" s="49">
        <f>'дод 3'!J289</f>
        <v>0</v>
      </c>
      <c r="J186" s="49">
        <f>'дод 3'!K289</f>
        <v>0</v>
      </c>
      <c r="K186" s="49">
        <f>'дод 3'!L289</f>
        <v>0</v>
      </c>
      <c r="L186" s="49">
        <f>'дод 3'!M289</f>
        <v>0</v>
      </c>
      <c r="M186" s="49">
        <f>'дод 3'!N289</f>
        <v>0</v>
      </c>
      <c r="N186" s="49">
        <f>'дод 3'!O289</f>
        <v>0</v>
      </c>
      <c r="O186" s="49">
        <f>'дод 3'!P289</f>
        <v>0</v>
      </c>
    </row>
    <row r="187" spans="1:15" ht="51.75" customHeight="1" x14ac:dyDescent="0.25">
      <c r="A187" s="37">
        <v>7361</v>
      </c>
      <c r="B187" s="37" t="s">
        <v>82</v>
      </c>
      <c r="C187" s="3" t="s">
        <v>372</v>
      </c>
      <c r="D187" s="49">
        <f>'дод 3'!E241+'дод 3'!E278+'дод 3'!E153</f>
        <v>0</v>
      </c>
      <c r="E187" s="49">
        <f>'дод 3'!F241+'дод 3'!F278+'дод 3'!F153</f>
        <v>0</v>
      </c>
      <c r="F187" s="49">
        <f>'дод 3'!G241+'дод 3'!G278+'дод 3'!G153</f>
        <v>0</v>
      </c>
      <c r="G187" s="49">
        <f>'дод 3'!H241+'дод 3'!H278+'дод 3'!H153</f>
        <v>0</v>
      </c>
      <c r="H187" s="49">
        <f>'дод 3'!I241+'дод 3'!I278+'дод 3'!I153</f>
        <v>0</v>
      </c>
      <c r="I187" s="49">
        <f>'дод 3'!J241+'дод 3'!J278+'дод 3'!J153</f>
        <v>62461673</v>
      </c>
      <c r="J187" s="49">
        <f>'дод 3'!K241+'дод 3'!K278+'дод 3'!K153</f>
        <v>62461673</v>
      </c>
      <c r="K187" s="49">
        <f>'дод 3'!L241+'дод 3'!L278+'дод 3'!L153</f>
        <v>0</v>
      </c>
      <c r="L187" s="49">
        <f>'дод 3'!M241+'дод 3'!M278+'дод 3'!M153</f>
        <v>0</v>
      </c>
      <c r="M187" s="49">
        <f>'дод 3'!N241+'дод 3'!N278+'дод 3'!N153</f>
        <v>0</v>
      </c>
      <c r="N187" s="49">
        <f>'дод 3'!O241+'дод 3'!O278+'дод 3'!O153</f>
        <v>62461673</v>
      </c>
      <c r="O187" s="49">
        <f>'дод 3'!P241+'дод 3'!P278+'дод 3'!P153</f>
        <v>62461673</v>
      </c>
    </row>
    <row r="188" spans="1:15" s="54" customFormat="1" ht="46.5" hidden="1" customHeight="1" x14ac:dyDescent="0.25">
      <c r="A188" s="37">
        <v>7362</v>
      </c>
      <c r="B188" s="37" t="s">
        <v>82</v>
      </c>
      <c r="C188" s="3" t="s">
        <v>364</v>
      </c>
      <c r="D188" s="49">
        <f>'дод 3'!E242</f>
        <v>0</v>
      </c>
      <c r="E188" s="49">
        <f>'дод 3'!F242</f>
        <v>0</v>
      </c>
      <c r="F188" s="49">
        <f>'дод 3'!G242</f>
        <v>0</v>
      </c>
      <c r="G188" s="49">
        <f>'дод 3'!H242</f>
        <v>0</v>
      </c>
      <c r="H188" s="49">
        <f>'дод 3'!I242</f>
        <v>0</v>
      </c>
      <c r="I188" s="49">
        <f>'дод 3'!J242</f>
        <v>0</v>
      </c>
      <c r="J188" s="49">
        <f>'дод 3'!K242</f>
        <v>0</v>
      </c>
      <c r="K188" s="49">
        <f>'дод 3'!L242</f>
        <v>0</v>
      </c>
      <c r="L188" s="49">
        <f>'дод 3'!M242</f>
        <v>0</v>
      </c>
      <c r="M188" s="49">
        <f>'дод 3'!N242</f>
        <v>0</v>
      </c>
      <c r="N188" s="49">
        <f>'дод 3'!O242</f>
        <v>0</v>
      </c>
      <c r="O188" s="49">
        <f>'дод 3'!P242</f>
        <v>0</v>
      </c>
    </row>
    <row r="189" spans="1:15" s="54" customFormat="1" ht="47.25" x14ac:dyDescent="0.25">
      <c r="A189" s="37">
        <v>7363</v>
      </c>
      <c r="B189" s="59" t="s">
        <v>82</v>
      </c>
      <c r="C189" s="60" t="s">
        <v>398</v>
      </c>
      <c r="D189" s="49">
        <f>'дод 3'!E243+'дод 3'!E117+'дод 3'!E154</f>
        <v>0</v>
      </c>
      <c r="E189" s="49">
        <f>'дод 3'!F243+'дод 3'!F117+'дод 3'!F154</f>
        <v>0</v>
      </c>
      <c r="F189" s="49">
        <f>'дод 3'!G243+'дод 3'!G117+'дод 3'!G154</f>
        <v>0</v>
      </c>
      <c r="G189" s="49">
        <f>'дод 3'!H243+'дод 3'!H117+'дод 3'!H154</f>
        <v>0</v>
      </c>
      <c r="H189" s="49">
        <f>'дод 3'!I243+'дод 3'!I117+'дод 3'!I154</f>
        <v>0</v>
      </c>
      <c r="I189" s="49">
        <f>'дод 3'!J243+'дод 3'!J117+'дод 3'!J154</f>
        <v>28601184</v>
      </c>
      <c r="J189" s="49">
        <f>'дод 3'!K243+'дод 3'!K117+'дод 3'!K154</f>
        <v>25108234</v>
      </c>
      <c r="K189" s="49">
        <f>'дод 3'!L243+'дод 3'!L117+'дод 3'!L154</f>
        <v>0</v>
      </c>
      <c r="L189" s="49">
        <f>'дод 3'!M243+'дод 3'!M117+'дод 3'!M154</f>
        <v>0</v>
      </c>
      <c r="M189" s="49">
        <f>'дод 3'!N243+'дод 3'!N117+'дод 3'!N154</f>
        <v>0</v>
      </c>
      <c r="N189" s="49">
        <f>'дод 3'!O243+'дод 3'!O117+'дод 3'!O154</f>
        <v>28601184</v>
      </c>
      <c r="O189" s="49">
        <f>'дод 3'!P243+'дод 3'!P117+'дод 3'!P154</f>
        <v>28601184</v>
      </c>
    </row>
    <row r="190" spans="1:15" s="54" customFormat="1" ht="47.25" x14ac:dyDescent="0.25">
      <c r="A190" s="78"/>
      <c r="B190" s="84"/>
      <c r="C190" s="79" t="s">
        <v>388</v>
      </c>
      <c r="D190" s="80">
        <f>'дод 3'!E118+'дод 3'!E155+'дод 3'!E244</f>
        <v>0</v>
      </c>
      <c r="E190" s="80">
        <f>'дод 3'!F118+'дод 3'!F155+'дод 3'!F244</f>
        <v>0</v>
      </c>
      <c r="F190" s="80">
        <f>'дод 3'!G118+'дод 3'!G155+'дод 3'!G244</f>
        <v>0</v>
      </c>
      <c r="G190" s="80">
        <f>'дод 3'!H118+'дод 3'!H155+'дод 3'!H244</f>
        <v>0</v>
      </c>
      <c r="H190" s="80">
        <f>'дод 3'!I118+'дод 3'!I155+'дод 3'!I244</f>
        <v>0</v>
      </c>
      <c r="I190" s="80">
        <f>'дод 3'!J118+'дод 3'!J155+'дод 3'!J244</f>
        <v>20015420</v>
      </c>
      <c r="J190" s="80">
        <f>'дод 3'!K118+'дод 3'!K155+'дод 3'!K244</f>
        <v>16522470</v>
      </c>
      <c r="K190" s="80">
        <f>'дод 3'!L118+'дод 3'!L155+'дод 3'!L244</f>
        <v>0</v>
      </c>
      <c r="L190" s="80">
        <f>'дод 3'!M118+'дод 3'!M155+'дод 3'!M244</f>
        <v>0</v>
      </c>
      <c r="M190" s="80">
        <f>'дод 3'!N118+'дод 3'!N155+'дод 3'!N244</f>
        <v>0</v>
      </c>
      <c r="N190" s="80">
        <f>'дод 3'!O118+'дод 3'!O155+'дод 3'!O244</f>
        <v>20015420</v>
      </c>
      <c r="O190" s="80">
        <f>'дод 3'!P118+'дод 3'!P155+'дод 3'!P244</f>
        <v>20015420</v>
      </c>
    </row>
    <row r="191" spans="1:15" ht="31.5" x14ac:dyDescent="0.25">
      <c r="A191" s="37">
        <v>7368</v>
      </c>
      <c r="B191" s="37" t="s">
        <v>82</v>
      </c>
      <c r="C191" s="36" t="s">
        <v>592</v>
      </c>
      <c r="D191" s="49">
        <f>'дод 3'!E245</f>
        <v>0</v>
      </c>
      <c r="E191" s="49">
        <f>'дод 3'!F245</f>
        <v>0</v>
      </c>
      <c r="F191" s="49">
        <f>'дод 3'!G245</f>
        <v>0</v>
      </c>
      <c r="G191" s="49">
        <f>'дод 3'!H245</f>
        <v>0</v>
      </c>
      <c r="H191" s="49">
        <f>'дод 3'!I245</f>
        <v>0</v>
      </c>
      <c r="I191" s="49">
        <f>'дод 3'!J245</f>
        <v>200000</v>
      </c>
      <c r="J191" s="49">
        <f>'дод 3'!K245</f>
        <v>200000</v>
      </c>
      <c r="K191" s="49">
        <f>'дод 3'!L245</f>
        <v>0</v>
      </c>
      <c r="L191" s="49">
        <f>'дод 3'!M245</f>
        <v>0</v>
      </c>
      <c r="M191" s="49">
        <f>'дод 3'!N245</f>
        <v>0</v>
      </c>
      <c r="N191" s="49">
        <f>'дод 3'!O245</f>
        <v>200000</v>
      </c>
      <c r="O191" s="49">
        <f>'дод 3'!P245</f>
        <v>200000</v>
      </c>
    </row>
    <row r="192" spans="1:15" s="54" customFormat="1" x14ac:dyDescent="0.25">
      <c r="A192" s="78"/>
      <c r="B192" s="84"/>
      <c r="C192" s="85" t="s">
        <v>393</v>
      </c>
      <c r="D192" s="80">
        <f>'дод 3'!E246</f>
        <v>0</v>
      </c>
      <c r="E192" s="80">
        <f>'дод 3'!F246</f>
        <v>0</v>
      </c>
      <c r="F192" s="80">
        <f>'дод 3'!G246</f>
        <v>0</v>
      </c>
      <c r="G192" s="80">
        <f>'дод 3'!H246</f>
        <v>0</v>
      </c>
      <c r="H192" s="80">
        <f>'дод 3'!I246</f>
        <v>0</v>
      </c>
      <c r="I192" s="80">
        <f>'дод 3'!J246</f>
        <v>200000</v>
      </c>
      <c r="J192" s="80">
        <f>'дод 3'!K246</f>
        <v>200000</v>
      </c>
      <c r="K192" s="80">
        <f>'дод 3'!L246</f>
        <v>0</v>
      </c>
      <c r="L192" s="80">
        <f>'дод 3'!M246</f>
        <v>0</v>
      </c>
      <c r="M192" s="80">
        <f>'дод 3'!N246</f>
        <v>0</v>
      </c>
      <c r="N192" s="80">
        <f>'дод 3'!O246</f>
        <v>200000</v>
      </c>
      <c r="O192" s="80">
        <f>'дод 3'!P246</f>
        <v>200000</v>
      </c>
    </row>
    <row r="193" spans="1:15" s="54" customFormat="1" ht="31.5" x14ac:dyDescent="0.25">
      <c r="A193" s="37">
        <v>7370</v>
      </c>
      <c r="B193" s="59" t="s">
        <v>82</v>
      </c>
      <c r="C193" s="60" t="s">
        <v>431</v>
      </c>
      <c r="D193" s="49">
        <f>'дод 3'!E280+'дод 3'!E290</f>
        <v>2341300.6</v>
      </c>
      <c r="E193" s="49">
        <f>'дод 3'!F280+'дод 3'!F290</f>
        <v>2341300.6</v>
      </c>
      <c r="F193" s="49">
        <f>'дод 3'!G280+'дод 3'!G290</f>
        <v>0</v>
      </c>
      <c r="G193" s="49">
        <f>'дод 3'!H280+'дод 3'!H290</f>
        <v>0</v>
      </c>
      <c r="H193" s="49">
        <f>'дод 3'!I280+'дод 3'!I290</f>
        <v>0</v>
      </c>
      <c r="I193" s="49">
        <f>'дод 3'!J280+'дод 3'!J290</f>
        <v>0</v>
      </c>
      <c r="J193" s="49">
        <f>'дод 3'!K280+'дод 3'!K290</f>
        <v>0</v>
      </c>
      <c r="K193" s="49">
        <f>'дод 3'!L280+'дод 3'!L290</f>
        <v>0</v>
      </c>
      <c r="L193" s="49">
        <f>'дод 3'!M280+'дод 3'!M290</f>
        <v>0</v>
      </c>
      <c r="M193" s="49">
        <f>'дод 3'!N280+'дод 3'!N290</f>
        <v>0</v>
      </c>
      <c r="N193" s="49">
        <f>'дод 3'!O280+'дод 3'!O290</f>
        <v>0</v>
      </c>
      <c r="O193" s="49">
        <f>'дод 3'!P280+'дод 3'!P290</f>
        <v>2341300.6</v>
      </c>
    </row>
    <row r="194" spans="1:15" s="52" customFormat="1" ht="34.5" customHeight="1" x14ac:dyDescent="0.25">
      <c r="A194" s="38" t="s">
        <v>85</v>
      </c>
      <c r="B194" s="41"/>
      <c r="C194" s="2" t="s">
        <v>597</v>
      </c>
      <c r="D194" s="48">
        <f>D198+D199+D200+D201+D205+D206+D208</f>
        <v>62966542</v>
      </c>
      <c r="E194" s="48">
        <f t="shared" ref="E194:O194" si="38">E198+E199+E200+E201+E205+E206+E208</f>
        <v>1867346</v>
      </c>
      <c r="F194" s="48">
        <f t="shared" si="38"/>
        <v>0</v>
      </c>
      <c r="G194" s="48">
        <f t="shared" si="38"/>
        <v>0</v>
      </c>
      <c r="H194" s="48">
        <f t="shared" si="38"/>
        <v>61099196</v>
      </c>
      <c r="I194" s="48">
        <f t="shared" si="38"/>
        <v>0</v>
      </c>
      <c r="J194" s="48">
        <f t="shared" si="38"/>
        <v>0</v>
      </c>
      <c r="K194" s="48">
        <f t="shared" si="38"/>
        <v>0</v>
      </c>
      <c r="L194" s="48">
        <f t="shared" si="38"/>
        <v>0</v>
      </c>
      <c r="M194" s="48">
        <f t="shared" si="38"/>
        <v>0</v>
      </c>
      <c r="N194" s="48">
        <f t="shared" si="38"/>
        <v>0</v>
      </c>
      <c r="O194" s="48">
        <f t="shared" si="38"/>
        <v>62966542</v>
      </c>
    </row>
    <row r="195" spans="1:15" s="53" customFormat="1" ht="94.5" hidden="1" customHeight="1" x14ac:dyDescent="0.25">
      <c r="A195" s="71"/>
      <c r="B195" s="72"/>
      <c r="C195" s="75" t="s">
        <v>397</v>
      </c>
      <c r="D195" s="76">
        <f>D203</f>
        <v>0</v>
      </c>
      <c r="E195" s="76">
        <f t="shared" ref="E195:O195" si="39">E203</f>
        <v>0</v>
      </c>
      <c r="F195" s="76">
        <f t="shared" si="39"/>
        <v>0</v>
      </c>
      <c r="G195" s="76">
        <f t="shared" si="39"/>
        <v>0</v>
      </c>
      <c r="H195" s="76">
        <f t="shared" si="39"/>
        <v>0</v>
      </c>
      <c r="I195" s="76">
        <f t="shared" si="39"/>
        <v>0</v>
      </c>
      <c r="J195" s="76">
        <f t="shared" si="39"/>
        <v>0</v>
      </c>
      <c r="K195" s="76">
        <f t="shared" si="39"/>
        <v>0</v>
      </c>
      <c r="L195" s="76">
        <f t="shared" si="39"/>
        <v>0</v>
      </c>
      <c r="M195" s="76">
        <f t="shared" si="39"/>
        <v>0</v>
      </c>
      <c r="N195" s="76">
        <f t="shared" si="39"/>
        <v>0</v>
      </c>
      <c r="O195" s="76">
        <f t="shared" si="39"/>
        <v>0</v>
      </c>
    </row>
    <row r="196" spans="1:15" s="53" customFormat="1" ht="63" x14ac:dyDescent="0.25">
      <c r="A196" s="71"/>
      <c r="B196" s="72"/>
      <c r="C196" s="75" t="s">
        <v>446</v>
      </c>
      <c r="D196" s="76">
        <f>D207</f>
        <v>1527346</v>
      </c>
      <c r="E196" s="76">
        <f t="shared" ref="E196:O196" si="40">E207</f>
        <v>1527346</v>
      </c>
      <c r="F196" s="76">
        <f t="shared" si="40"/>
        <v>0</v>
      </c>
      <c r="G196" s="76">
        <f t="shared" si="40"/>
        <v>0</v>
      </c>
      <c r="H196" s="76">
        <f t="shared" si="40"/>
        <v>0</v>
      </c>
      <c r="I196" s="76">
        <f t="shared" si="40"/>
        <v>0</v>
      </c>
      <c r="J196" s="76">
        <f t="shared" si="40"/>
        <v>0</v>
      </c>
      <c r="K196" s="76">
        <f t="shared" si="40"/>
        <v>0</v>
      </c>
      <c r="L196" s="76">
        <f t="shared" si="40"/>
        <v>0</v>
      </c>
      <c r="M196" s="76">
        <f t="shared" si="40"/>
        <v>0</v>
      </c>
      <c r="N196" s="76">
        <f t="shared" si="40"/>
        <v>0</v>
      </c>
      <c r="O196" s="76">
        <f t="shared" si="40"/>
        <v>1527346</v>
      </c>
    </row>
    <row r="197" spans="1:15" s="53" customFormat="1" x14ac:dyDescent="0.25">
      <c r="A197" s="71"/>
      <c r="B197" s="72"/>
      <c r="C197" s="83" t="s">
        <v>393</v>
      </c>
      <c r="D197" s="76">
        <f>D209</f>
        <v>200000</v>
      </c>
      <c r="E197" s="76">
        <f t="shared" ref="E197:O197" si="41">E209</f>
        <v>200000</v>
      </c>
      <c r="F197" s="76">
        <f t="shared" si="41"/>
        <v>0</v>
      </c>
      <c r="G197" s="76">
        <f t="shared" si="41"/>
        <v>0</v>
      </c>
      <c r="H197" s="76">
        <f t="shared" si="41"/>
        <v>0</v>
      </c>
      <c r="I197" s="76">
        <f t="shared" si="41"/>
        <v>0</v>
      </c>
      <c r="J197" s="76">
        <f t="shared" si="41"/>
        <v>0</v>
      </c>
      <c r="K197" s="76">
        <f t="shared" si="41"/>
        <v>0</v>
      </c>
      <c r="L197" s="76">
        <f t="shared" si="41"/>
        <v>0</v>
      </c>
      <c r="M197" s="76">
        <f t="shared" si="41"/>
        <v>0</v>
      </c>
      <c r="N197" s="76">
        <f t="shared" si="41"/>
        <v>0</v>
      </c>
      <c r="O197" s="76">
        <f t="shared" si="41"/>
        <v>200000</v>
      </c>
    </row>
    <row r="198" spans="1:15" s="54" customFormat="1" ht="18.75" customHeight="1" x14ac:dyDescent="0.25">
      <c r="A198" s="37" t="s">
        <v>3</v>
      </c>
      <c r="B198" s="37" t="s">
        <v>84</v>
      </c>
      <c r="C198" s="3" t="s">
        <v>36</v>
      </c>
      <c r="D198" s="49">
        <f>'дод 3'!E44</f>
        <v>6542500</v>
      </c>
      <c r="E198" s="49">
        <f>'дод 3'!F44</f>
        <v>0</v>
      </c>
      <c r="F198" s="49">
        <f>'дод 3'!G44</f>
        <v>0</v>
      </c>
      <c r="G198" s="49">
        <f>'дод 3'!H44</f>
        <v>0</v>
      </c>
      <c r="H198" s="49">
        <f>'дод 3'!I44</f>
        <v>6542500</v>
      </c>
      <c r="I198" s="49">
        <f>'дод 3'!J44</f>
        <v>0</v>
      </c>
      <c r="J198" s="49">
        <f>'дод 3'!K44</f>
        <v>0</v>
      </c>
      <c r="K198" s="49">
        <f>'дод 3'!L44</f>
        <v>0</v>
      </c>
      <c r="L198" s="49">
        <f>'дод 3'!M44</f>
        <v>0</v>
      </c>
      <c r="M198" s="49">
        <f>'дод 3'!N44</f>
        <v>0</v>
      </c>
      <c r="N198" s="49">
        <f>'дод 3'!O44</f>
        <v>0</v>
      </c>
      <c r="O198" s="49">
        <f>'дод 3'!P44</f>
        <v>6542500</v>
      </c>
    </row>
    <row r="199" spans="1:15" s="54" customFormat="1" ht="20.25" customHeight="1" x14ac:dyDescent="0.25">
      <c r="A199" s="37">
        <v>7413</v>
      </c>
      <c r="B199" s="37" t="s">
        <v>84</v>
      </c>
      <c r="C199" s="3" t="s">
        <v>375</v>
      </c>
      <c r="D199" s="49">
        <f>'дод 3'!E45</f>
        <v>12800000</v>
      </c>
      <c r="E199" s="49">
        <f>'дод 3'!F45</f>
        <v>0</v>
      </c>
      <c r="F199" s="49">
        <f>'дод 3'!G45</f>
        <v>0</v>
      </c>
      <c r="G199" s="49">
        <f>'дод 3'!H45</f>
        <v>0</v>
      </c>
      <c r="H199" s="49">
        <f>'дод 3'!I45</f>
        <v>12800000</v>
      </c>
      <c r="I199" s="49">
        <f>'дод 3'!J45</f>
        <v>0</v>
      </c>
      <c r="J199" s="49">
        <f>'дод 3'!K45</f>
        <v>0</v>
      </c>
      <c r="K199" s="49">
        <f>'дод 3'!L45</f>
        <v>0</v>
      </c>
      <c r="L199" s="49">
        <f>'дод 3'!M45</f>
        <v>0</v>
      </c>
      <c r="M199" s="49">
        <f>'дод 3'!N45</f>
        <v>0</v>
      </c>
      <c r="N199" s="49">
        <f>'дод 3'!O45</f>
        <v>0</v>
      </c>
      <c r="O199" s="49">
        <f>'дод 3'!P45</f>
        <v>12800000</v>
      </c>
    </row>
    <row r="200" spans="1:15" s="54" customFormat="1" ht="31.5" x14ac:dyDescent="0.25">
      <c r="A200" s="42">
        <v>7422</v>
      </c>
      <c r="B200" s="103" t="s">
        <v>413</v>
      </c>
      <c r="C200" s="104" t="s">
        <v>568</v>
      </c>
      <c r="D200" s="49">
        <f>'дод 3'!E46</f>
        <v>4314400</v>
      </c>
      <c r="E200" s="49">
        <f>'дод 3'!F46</f>
        <v>0</v>
      </c>
      <c r="F200" s="49">
        <f>'дод 3'!G46</f>
        <v>0</v>
      </c>
      <c r="G200" s="49">
        <f>'дод 3'!H46</f>
        <v>0</v>
      </c>
      <c r="H200" s="49">
        <f>'дод 3'!I46</f>
        <v>4314400</v>
      </c>
      <c r="I200" s="49">
        <f>'дод 3'!J46</f>
        <v>0</v>
      </c>
      <c r="J200" s="49">
        <f>'дод 3'!K46</f>
        <v>0</v>
      </c>
      <c r="K200" s="49">
        <f>'дод 3'!L46</f>
        <v>0</v>
      </c>
      <c r="L200" s="49">
        <f>'дод 3'!M46</f>
        <v>0</v>
      </c>
      <c r="M200" s="49">
        <f>'дод 3'!N46</f>
        <v>0</v>
      </c>
      <c r="N200" s="49">
        <f>'дод 3'!O46</f>
        <v>0</v>
      </c>
      <c r="O200" s="49">
        <f>'дод 3'!P46</f>
        <v>4314400</v>
      </c>
    </row>
    <row r="201" spans="1:15" s="54" customFormat="1" ht="24" customHeight="1" x14ac:dyDescent="0.25">
      <c r="A201" s="37">
        <v>7426</v>
      </c>
      <c r="B201" s="58" t="s">
        <v>413</v>
      </c>
      <c r="C201" s="3" t="s">
        <v>376</v>
      </c>
      <c r="D201" s="49">
        <f>'дод 3'!E47</f>
        <v>37442296</v>
      </c>
      <c r="E201" s="49">
        <f>'дод 3'!F47</f>
        <v>0</v>
      </c>
      <c r="F201" s="49">
        <f>'дод 3'!G47</f>
        <v>0</v>
      </c>
      <c r="G201" s="49">
        <f>'дод 3'!H47</f>
        <v>0</v>
      </c>
      <c r="H201" s="49">
        <f>'дод 3'!I47</f>
        <v>37442296</v>
      </c>
      <c r="I201" s="49">
        <f>'дод 3'!J47</f>
        <v>0</v>
      </c>
      <c r="J201" s="49">
        <f>'дод 3'!K47</f>
        <v>0</v>
      </c>
      <c r="K201" s="49">
        <f>'дод 3'!L47</f>
        <v>0</v>
      </c>
      <c r="L201" s="49">
        <f>'дод 3'!M47</f>
        <v>0</v>
      </c>
      <c r="M201" s="49">
        <f>'дод 3'!N47</f>
        <v>0</v>
      </c>
      <c r="N201" s="49">
        <f>'дод 3'!O47</f>
        <v>0</v>
      </c>
      <c r="O201" s="49">
        <f>'дод 3'!P47</f>
        <v>37442296</v>
      </c>
    </row>
    <row r="202" spans="1:15" s="54" customFormat="1" ht="53.25" hidden="1" customHeight="1" x14ac:dyDescent="0.25">
      <c r="A202" s="37">
        <v>7462</v>
      </c>
      <c r="B202" s="58" t="s">
        <v>400</v>
      </c>
      <c r="C202" s="3" t="s">
        <v>399</v>
      </c>
      <c r="D202" s="49">
        <f>'дод 3'!E247</f>
        <v>1527346</v>
      </c>
      <c r="E202" s="49">
        <f>'дод 3'!F247</f>
        <v>1527346</v>
      </c>
      <c r="F202" s="49">
        <f>'дод 3'!G247</f>
        <v>0</v>
      </c>
      <c r="G202" s="49">
        <f>'дод 3'!H247</f>
        <v>0</v>
      </c>
      <c r="H202" s="49">
        <f>'дод 3'!I247</f>
        <v>0</v>
      </c>
      <c r="I202" s="49">
        <f>'дод 3'!J247</f>
        <v>0</v>
      </c>
      <c r="J202" s="49">
        <f>'дод 3'!K247</f>
        <v>0</v>
      </c>
      <c r="K202" s="49">
        <f>'дод 3'!L247</f>
        <v>0</v>
      </c>
      <c r="L202" s="49">
        <f>'дод 3'!M247</f>
        <v>0</v>
      </c>
      <c r="M202" s="49">
        <f>'дод 3'!N247</f>
        <v>0</v>
      </c>
      <c r="N202" s="49">
        <f>'дод 3'!O247</f>
        <v>0</v>
      </c>
      <c r="O202" s="49">
        <f>'дод 3'!P247</f>
        <v>1527346</v>
      </c>
    </row>
    <row r="203" spans="1:15" s="54" customFormat="1" ht="94.5" hidden="1" customHeight="1" x14ac:dyDescent="0.25">
      <c r="A203" s="78"/>
      <c r="B203" s="78"/>
      <c r="C203" s="79" t="s">
        <v>397</v>
      </c>
      <c r="D203" s="80">
        <f>'дод 3'!E248</f>
        <v>0</v>
      </c>
      <c r="E203" s="80">
        <f>'дод 3'!F248</f>
        <v>0</v>
      </c>
      <c r="F203" s="80">
        <f>'дод 3'!G248</f>
        <v>0</v>
      </c>
      <c r="G203" s="80">
        <f>'дод 3'!H248</f>
        <v>0</v>
      </c>
      <c r="H203" s="80">
        <f>'дод 3'!I248</f>
        <v>0</v>
      </c>
      <c r="I203" s="80">
        <f>'дод 3'!J248</f>
        <v>0</v>
      </c>
      <c r="J203" s="80">
        <f>'дод 3'!K248</f>
        <v>0</v>
      </c>
      <c r="K203" s="80">
        <f>'дод 3'!L248</f>
        <v>0</v>
      </c>
      <c r="L203" s="80">
        <f>'дод 3'!M248</f>
        <v>0</v>
      </c>
      <c r="M203" s="80">
        <f>'дод 3'!N248</f>
        <v>0</v>
      </c>
      <c r="N203" s="80">
        <f>'дод 3'!O248</f>
        <v>0</v>
      </c>
      <c r="O203" s="80">
        <f>'дод 3'!P248</f>
        <v>0</v>
      </c>
    </row>
    <row r="204" spans="1:15" s="54" customFormat="1" ht="63" hidden="1" customHeight="1" x14ac:dyDescent="0.25">
      <c r="A204" s="78"/>
      <c r="B204" s="78"/>
      <c r="C204" s="79" t="s">
        <v>446</v>
      </c>
      <c r="D204" s="80">
        <f>'дод 3'!E249</f>
        <v>1527346</v>
      </c>
      <c r="E204" s="80">
        <f>'дод 3'!F249</f>
        <v>1527346</v>
      </c>
      <c r="F204" s="80">
        <f>'дод 3'!G249</f>
        <v>0</v>
      </c>
      <c r="G204" s="80">
        <f>'дод 3'!H249</f>
        <v>0</v>
      </c>
      <c r="H204" s="80">
        <f>'дод 3'!I249</f>
        <v>0</v>
      </c>
      <c r="I204" s="80">
        <f>'дод 3'!J249</f>
        <v>0</v>
      </c>
      <c r="J204" s="80">
        <f>'дод 3'!K249</f>
        <v>0</v>
      </c>
      <c r="K204" s="80">
        <f>'дод 3'!L249</f>
        <v>0</v>
      </c>
      <c r="L204" s="80">
        <f>'дод 3'!M249</f>
        <v>0</v>
      </c>
      <c r="M204" s="80">
        <f>'дод 3'!N249</f>
        <v>0</v>
      </c>
      <c r="N204" s="80">
        <f>'дод 3'!O249</f>
        <v>0</v>
      </c>
      <c r="O204" s="80">
        <f>'дод 3'!P249</f>
        <v>1527346</v>
      </c>
    </row>
    <row r="205" spans="1:15" s="54" customFormat="1" ht="18" customHeight="1" x14ac:dyDescent="0.25">
      <c r="A205" s="58" t="s">
        <v>455</v>
      </c>
      <c r="B205" s="58" t="s">
        <v>400</v>
      </c>
      <c r="C205" s="3" t="s">
        <v>461</v>
      </c>
      <c r="D205" s="49">
        <f>'дод 3'!E48</f>
        <v>140000</v>
      </c>
      <c r="E205" s="49">
        <f>'дод 3'!F48</f>
        <v>140000</v>
      </c>
      <c r="F205" s="49">
        <f>'дод 3'!G48</f>
        <v>0</v>
      </c>
      <c r="G205" s="49">
        <f>'дод 3'!H48</f>
        <v>0</v>
      </c>
      <c r="H205" s="49">
        <f>'дод 3'!I48</f>
        <v>0</v>
      </c>
      <c r="I205" s="49">
        <f>'дод 3'!J48</f>
        <v>0</v>
      </c>
      <c r="J205" s="49">
        <f>'дод 3'!K48</f>
        <v>0</v>
      </c>
      <c r="K205" s="49">
        <f>'дод 3'!L48</f>
        <v>0</v>
      </c>
      <c r="L205" s="49">
        <f>'дод 3'!M48</f>
        <v>0</v>
      </c>
      <c r="M205" s="49">
        <f>'дод 3'!N48</f>
        <v>0</v>
      </c>
      <c r="N205" s="49">
        <f>'дод 3'!O48</f>
        <v>0</v>
      </c>
      <c r="O205" s="49">
        <f>'дод 3'!P48</f>
        <v>140000</v>
      </c>
    </row>
    <row r="206" spans="1:15" s="54" customFormat="1" ht="54.75" customHeight="1" x14ac:dyDescent="0.25">
      <c r="A206" s="58" t="s">
        <v>542</v>
      </c>
      <c r="B206" s="58" t="s">
        <v>400</v>
      </c>
      <c r="C206" s="117" t="s">
        <v>399</v>
      </c>
      <c r="D206" s="49">
        <f>'дод 3'!E247</f>
        <v>1527346</v>
      </c>
      <c r="E206" s="49">
        <f>'дод 3'!F247</f>
        <v>1527346</v>
      </c>
      <c r="F206" s="49">
        <f>'дод 3'!G247</f>
        <v>0</v>
      </c>
      <c r="G206" s="49">
        <f>'дод 3'!H247</f>
        <v>0</v>
      </c>
      <c r="H206" s="49">
        <f>'дод 3'!I247</f>
        <v>0</v>
      </c>
      <c r="I206" s="49">
        <f>'дод 3'!J247</f>
        <v>0</v>
      </c>
      <c r="J206" s="49">
        <f>'дод 3'!K247</f>
        <v>0</v>
      </c>
      <c r="K206" s="49">
        <f>'дод 3'!L247</f>
        <v>0</v>
      </c>
      <c r="L206" s="49">
        <f>'дод 3'!M247</f>
        <v>0</v>
      </c>
      <c r="M206" s="49">
        <f>'дод 3'!N247</f>
        <v>0</v>
      </c>
      <c r="N206" s="49">
        <f>'дод 3'!O247</f>
        <v>0</v>
      </c>
      <c r="O206" s="49">
        <f>'дод 3'!P247</f>
        <v>1527346</v>
      </c>
    </row>
    <row r="207" spans="1:15" s="54" customFormat="1" ht="63" x14ac:dyDescent="0.25">
      <c r="A207" s="89"/>
      <c r="B207" s="89"/>
      <c r="C207" s="87" t="s">
        <v>540</v>
      </c>
      <c r="D207" s="80">
        <f>'дод 3'!E249</f>
        <v>1527346</v>
      </c>
      <c r="E207" s="80">
        <f>'дод 3'!F249</f>
        <v>1527346</v>
      </c>
      <c r="F207" s="80">
        <f>'дод 3'!G249</f>
        <v>0</v>
      </c>
      <c r="G207" s="80">
        <f>'дод 3'!H249</f>
        <v>0</v>
      </c>
      <c r="H207" s="80">
        <f>'дод 3'!I249</f>
        <v>0</v>
      </c>
      <c r="I207" s="80">
        <f>'дод 3'!J249</f>
        <v>0</v>
      </c>
      <c r="J207" s="80">
        <f>'дод 3'!K249</f>
        <v>0</v>
      </c>
      <c r="K207" s="80">
        <f>'дод 3'!L249</f>
        <v>0</v>
      </c>
      <c r="L207" s="80">
        <f>'дод 3'!M249</f>
        <v>0</v>
      </c>
      <c r="M207" s="80">
        <f>'дод 3'!N249</f>
        <v>0</v>
      </c>
      <c r="N207" s="80">
        <f>'дод 3'!O249</f>
        <v>0</v>
      </c>
      <c r="O207" s="80">
        <f>'дод 3'!P249</f>
        <v>1527346</v>
      </c>
    </row>
    <row r="208" spans="1:15" ht="49.5" customHeight="1" x14ac:dyDescent="0.25">
      <c r="A208" s="58" t="s">
        <v>600</v>
      </c>
      <c r="B208" s="59" t="s">
        <v>400</v>
      </c>
      <c r="C208" s="117" t="s">
        <v>590</v>
      </c>
      <c r="D208" s="49">
        <f>'дод 3'!E250</f>
        <v>200000</v>
      </c>
      <c r="E208" s="49">
        <f>'дод 3'!F250</f>
        <v>200000</v>
      </c>
      <c r="F208" s="49">
        <f>'дод 3'!G250</f>
        <v>0</v>
      </c>
      <c r="G208" s="49">
        <f>'дод 3'!H250</f>
        <v>0</v>
      </c>
      <c r="H208" s="49">
        <f>'дод 3'!I250</f>
        <v>0</v>
      </c>
      <c r="I208" s="49">
        <f>'дод 3'!J250</f>
        <v>0</v>
      </c>
      <c r="J208" s="49">
        <f>'дод 3'!K250</f>
        <v>0</v>
      </c>
      <c r="K208" s="49">
        <f>'дод 3'!L250</f>
        <v>0</v>
      </c>
      <c r="L208" s="49">
        <f>'дод 3'!M250</f>
        <v>0</v>
      </c>
      <c r="M208" s="49">
        <f>'дод 3'!N250</f>
        <v>0</v>
      </c>
      <c r="N208" s="49">
        <f>'дод 3'!O250</f>
        <v>0</v>
      </c>
      <c r="O208" s="49">
        <f>'дод 3'!P250</f>
        <v>200000</v>
      </c>
    </row>
    <row r="209" spans="1:15" s="54" customFormat="1" x14ac:dyDescent="0.25">
      <c r="A209" s="89"/>
      <c r="B209" s="89"/>
      <c r="C209" s="85" t="s">
        <v>393</v>
      </c>
      <c r="D209" s="80">
        <f>'дод 3'!E251</f>
        <v>200000</v>
      </c>
      <c r="E209" s="80">
        <f>'дод 3'!F251</f>
        <v>200000</v>
      </c>
      <c r="F209" s="80">
        <f>'дод 3'!G251</f>
        <v>0</v>
      </c>
      <c r="G209" s="80">
        <f>'дод 3'!H251</f>
        <v>0</v>
      </c>
      <c r="H209" s="80">
        <f>'дод 3'!I251</f>
        <v>0</v>
      </c>
      <c r="I209" s="80">
        <f>'дод 3'!J251</f>
        <v>0</v>
      </c>
      <c r="J209" s="80">
        <f>'дод 3'!K251</f>
        <v>0</v>
      </c>
      <c r="K209" s="80">
        <f>'дод 3'!L251</f>
        <v>0</v>
      </c>
      <c r="L209" s="80">
        <f>'дод 3'!M251</f>
        <v>0</v>
      </c>
      <c r="M209" s="80">
        <f>'дод 3'!N251</f>
        <v>0</v>
      </c>
      <c r="N209" s="80">
        <f>'дод 3'!O251</f>
        <v>0</v>
      </c>
      <c r="O209" s="80">
        <f>'дод 3'!P251</f>
        <v>200000</v>
      </c>
    </row>
    <row r="210" spans="1:15" s="52" customFormat="1" ht="18.75" customHeight="1" x14ac:dyDescent="0.25">
      <c r="A210" s="39" t="s">
        <v>237</v>
      </c>
      <c r="B210" s="41"/>
      <c r="C210" s="2" t="s">
        <v>238</v>
      </c>
      <c r="D210" s="48">
        <f>D211</f>
        <v>7250000</v>
      </c>
      <c r="E210" s="48">
        <f t="shared" ref="E210:O210" si="42">E211</f>
        <v>7250000</v>
      </c>
      <c r="F210" s="48">
        <f t="shared" si="42"/>
        <v>0</v>
      </c>
      <c r="G210" s="48">
        <f t="shared" si="42"/>
        <v>0</v>
      </c>
      <c r="H210" s="48">
        <f t="shared" si="42"/>
        <v>0</v>
      </c>
      <c r="I210" s="48">
        <f t="shared" si="42"/>
        <v>3150000</v>
      </c>
      <c r="J210" s="48">
        <f t="shared" si="42"/>
        <v>3150000</v>
      </c>
      <c r="K210" s="48">
        <f t="shared" si="42"/>
        <v>0</v>
      </c>
      <c r="L210" s="48">
        <f t="shared" si="42"/>
        <v>0</v>
      </c>
      <c r="M210" s="48">
        <f t="shared" si="42"/>
        <v>0</v>
      </c>
      <c r="N210" s="48">
        <f t="shared" si="42"/>
        <v>3150000</v>
      </c>
      <c r="O210" s="48">
        <f t="shared" si="42"/>
        <v>10400000</v>
      </c>
    </row>
    <row r="211" spans="1:15" ht="37.5" customHeight="1" x14ac:dyDescent="0.25">
      <c r="A211" s="40" t="s">
        <v>235</v>
      </c>
      <c r="B211" s="40" t="s">
        <v>236</v>
      </c>
      <c r="C211" s="11" t="s">
        <v>234</v>
      </c>
      <c r="D211" s="49">
        <f>'дод 3'!E49+'дод 3'!E252</f>
        <v>7250000</v>
      </c>
      <c r="E211" s="49">
        <f>'дод 3'!F49+'дод 3'!F252</f>
        <v>7250000</v>
      </c>
      <c r="F211" s="49">
        <f>'дод 3'!G49+'дод 3'!G252</f>
        <v>0</v>
      </c>
      <c r="G211" s="49">
        <f>'дод 3'!H49+'дод 3'!H252</f>
        <v>0</v>
      </c>
      <c r="H211" s="49">
        <f>'дод 3'!I49+'дод 3'!I252</f>
        <v>0</v>
      </c>
      <c r="I211" s="49">
        <f>'дод 3'!J49+'дод 3'!J252</f>
        <v>3150000</v>
      </c>
      <c r="J211" s="49">
        <f>'дод 3'!K49+'дод 3'!K252</f>
        <v>3150000</v>
      </c>
      <c r="K211" s="49">
        <f>'дод 3'!L49+'дод 3'!L252</f>
        <v>0</v>
      </c>
      <c r="L211" s="49">
        <f>'дод 3'!M49+'дод 3'!M252</f>
        <v>0</v>
      </c>
      <c r="M211" s="49">
        <f>'дод 3'!N49+'дод 3'!N252</f>
        <v>0</v>
      </c>
      <c r="N211" s="49">
        <f>'дод 3'!O49+'дод 3'!O252</f>
        <v>3150000</v>
      </c>
      <c r="O211" s="49">
        <f>'дод 3'!P49+'дод 3'!P252</f>
        <v>10400000</v>
      </c>
    </row>
    <row r="212" spans="1:15" s="52" customFormat="1" ht="31.5" customHeight="1" x14ac:dyDescent="0.25">
      <c r="A212" s="38" t="s">
        <v>88</v>
      </c>
      <c r="B212" s="41"/>
      <c r="C212" s="2" t="s">
        <v>421</v>
      </c>
      <c r="D212" s="48">
        <f>D214+D215+D217+D218+D219+D221+D222+D223</f>
        <v>7525347.5499999998</v>
      </c>
      <c r="E212" s="48">
        <f t="shared" ref="E212:O212" si="43">E214+E215+E217+E218+E219+E221+E222+E223</f>
        <v>5525347.5499999998</v>
      </c>
      <c r="F212" s="48">
        <f t="shared" si="43"/>
        <v>0</v>
      </c>
      <c r="G212" s="48">
        <f t="shared" si="43"/>
        <v>0</v>
      </c>
      <c r="H212" s="48">
        <f t="shared" si="43"/>
        <v>2000000</v>
      </c>
      <c r="I212" s="48">
        <f t="shared" si="43"/>
        <v>213907042.44</v>
      </c>
      <c r="J212" s="48">
        <f t="shared" si="43"/>
        <v>197577070.56999999</v>
      </c>
      <c r="K212" s="48">
        <f t="shared" si="43"/>
        <v>2948437.8699999996</v>
      </c>
      <c r="L212" s="48">
        <f t="shared" si="43"/>
        <v>0</v>
      </c>
      <c r="M212" s="48">
        <f t="shared" si="43"/>
        <v>0</v>
      </c>
      <c r="N212" s="48">
        <f t="shared" si="43"/>
        <v>210958604.56999999</v>
      </c>
      <c r="O212" s="48">
        <f t="shared" si="43"/>
        <v>221432389.99000001</v>
      </c>
    </row>
    <row r="213" spans="1:15" s="53" customFormat="1" ht="16.5" customHeight="1" x14ac:dyDescent="0.25">
      <c r="A213" s="71"/>
      <c r="B213" s="71"/>
      <c r="C213" s="83" t="s">
        <v>419</v>
      </c>
      <c r="D213" s="76">
        <f>D216+D220</f>
        <v>0</v>
      </c>
      <c r="E213" s="76">
        <f t="shared" ref="E213:O213" si="44">E216+E220</f>
        <v>0</v>
      </c>
      <c r="F213" s="76">
        <f t="shared" si="44"/>
        <v>0</v>
      </c>
      <c r="G213" s="76">
        <f t="shared" si="44"/>
        <v>0</v>
      </c>
      <c r="H213" s="76">
        <f t="shared" si="44"/>
        <v>0</v>
      </c>
      <c r="I213" s="76">
        <f t="shared" si="44"/>
        <v>127771665.12</v>
      </c>
      <c r="J213" s="76">
        <f t="shared" si="44"/>
        <v>127771665.12</v>
      </c>
      <c r="K213" s="76">
        <f t="shared" si="44"/>
        <v>0</v>
      </c>
      <c r="L213" s="76">
        <f t="shared" si="44"/>
        <v>0</v>
      </c>
      <c r="M213" s="76">
        <f t="shared" si="44"/>
        <v>0</v>
      </c>
      <c r="N213" s="76">
        <f t="shared" si="44"/>
        <v>127771665.12</v>
      </c>
      <c r="O213" s="76">
        <f t="shared" si="44"/>
        <v>127771665.12</v>
      </c>
    </row>
    <row r="214" spans="1:15" ht="32.25" customHeight="1" x14ac:dyDescent="0.25">
      <c r="A214" s="37" t="s">
        <v>4</v>
      </c>
      <c r="B214" s="37" t="s">
        <v>87</v>
      </c>
      <c r="C214" s="3" t="s">
        <v>23</v>
      </c>
      <c r="D214" s="49">
        <f>'дод 3'!E50+'дод 3'!E299</f>
        <v>475000</v>
      </c>
      <c r="E214" s="49">
        <f>'дод 3'!F50+'дод 3'!F299</f>
        <v>475000</v>
      </c>
      <c r="F214" s="49">
        <f>'дод 3'!G50+'дод 3'!G299</f>
        <v>0</v>
      </c>
      <c r="G214" s="49">
        <f>'дод 3'!H50+'дод 3'!H299</f>
        <v>0</v>
      </c>
      <c r="H214" s="49">
        <f>'дод 3'!I50+'дод 3'!I299</f>
        <v>0</v>
      </c>
      <c r="I214" s="49">
        <f>'дод 3'!J50+'дод 3'!J299</f>
        <v>0</v>
      </c>
      <c r="J214" s="49">
        <f>'дод 3'!K50+'дод 3'!K299</f>
        <v>0</v>
      </c>
      <c r="K214" s="49">
        <f>'дод 3'!L50+'дод 3'!L299</f>
        <v>0</v>
      </c>
      <c r="L214" s="49">
        <f>'дод 3'!M50+'дод 3'!M299</f>
        <v>0</v>
      </c>
      <c r="M214" s="49">
        <f>'дод 3'!N50+'дод 3'!N299</f>
        <v>0</v>
      </c>
      <c r="N214" s="49">
        <f>'дод 3'!O50+'дод 3'!O299</f>
        <v>0</v>
      </c>
      <c r="O214" s="49">
        <f>'дод 3'!P50+'дод 3'!P299</f>
        <v>475000</v>
      </c>
    </row>
    <row r="215" spans="1:15" ht="20.25" customHeight="1" x14ac:dyDescent="0.25">
      <c r="A215" s="37" t="s">
        <v>2</v>
      </c>
      <c r="B215" s="37" t="s">
        <v>86</v>
      </c>
      <c r="C215" s="3" t="s">
        <v>418</v>
      </c>
      <c r="D215" s="49">
        <f>'дод 3'!E119+'дод 3'!E156+'дод 3'!E218+'дод 3'!E253+'дод 3'!E281+'дод 3'!E309</f>
        <v>4944384.55</v>
      </c>
      <c r="E215" s="49">
        <f>'дод 3'!F119+'дод 3'!F156+'дод 3'!F218+'дод 3'!F253+'дод 3'!F281+'дод 3'!F309</f>
        <v>2944384.55</v>
      </c>
      <c r="F215" s="49">
        <f>'дод 3'!G119+'дод 3'!G156+'дод 3'!G218+'дод 3'!G253+'дод 3'!G281+'дод 3'!G309</f>
        <v>0</v>
      </c>
      <c r="G215" s="49">
        <f>'дод 3'!H119+'дод 3'!H156+'дод 3'!H218+'дод 3'!H253+'дод 3'!H281+'дод 3'!H309</f>
        <v>0</v>
      </c>
      <c r="H215" s="49">
        <f>'дод 3'!I119+'дод 3'!I156+'дод 3'!I218+'дод 3'!I253+'дод 3'!I281+'дод 3'!I309</f>
        <v>2000000</v>
      </c>
      <c r="I215" s="49">
        <f>'дод 3'!J119+'дод 3'!J156+'дод 3'!J218+'дод 3'!J253+'дод 3'!J281+'дод 3'!J309</f>
        <v>163198104.56999999</v>
      </c>
      <c r="J215" s="49">
        <f>'дод 3'!K119+'дод 3'!K156+'дод 3'!K218+'дод 3'!K253+'дод 3'!K281+'дод 3'!K309</f>
        <v>151724170.56999999</v>
      </c>
      <c r="K215" s="49">
        <f>'дод 3'!L119+'дод 3'!L156+'дод 3'!L218+'дод 3'!L253+'дод 3'!L281+'дод 3'!L309</f>
        <v>0</v>
      </c>
      <c r="L215" s="49">
        <f>'дод 3'!M119+'дод 3'!M156+'дод 3'!M218+'дод 3'!M253+'дод 3'!M281+'дод 3'!M309</f>
        <v>0</v>
      </c>
      <c r="M215" s="49">
        <f>'дод 3'!N119+'дод 3'!N156+'дод 3'!N218+'дод 3'!N253+'дод 3'!N281+'дод 3'!N309</f>
        <v>0</v>
      </c>
      <c r="N215" s="49">
        <f>'дод 3'!O119+'дод 3'!O156+'дод 3'!O218+'дод 3'!O253+'дод 3'!O281+'дод 3'!O309</f>
        <v>163198104.56999999</v>
      </c>
      <c r="O215" s="49">
        <f>'дод 3'!P119+'дод 3'!P156+'дод 3'!P218+'дод 3'!P253+'дод 3'!P281+'дод 3'!P309</f>
        <v>168142489.12</v>
      </c>
    </row>
    <row r="216" spans="1:15" s="54" customFormat="1" ht="17.25" customHeight="1" x14ac:dyDescent="0.25">
      <c r="A216" s="78"/>
      <c r="B216" s="78"/>
      <c r="C216" s="85" t="s">
        <v>419</v>
      </c>
      <c r="D216" s="80">
        <f>'дод 3'!E157+'дод 3'!E282</f>
        <v>0</v>
      </c>
      <c r="E216" s="80">
        <f>'дод 3'!F157+'дод 3'!F282</f>
        <v>0</v>
      </c>
      <c r="F216" s="80">
        <f>'дод 3'!G157+'дод 3'!G282</f>
        <v>0</v>
      </c>
      <c r="G216" s="80">
        <f>'дод 3'!H157+'дод 3'!H282</f>
        <v>0</v>
      </c>
      <c r="H216" s="80">
        <f>'дод 3'!I157+'дод 3'!I282</f>
        <v>0</v>
      </c>
      <c r="I216" s="80">
        <f>'дод 3'!J157+'дод 3'!J282</f>
        <v>101521665.12</v>
      </c>
      <c r="J216" s="80">
        <f>'дод 3'!K157+'дод 3'!K282</f>
        <v>101521665.12</v>
      </c>
      <c r="K216" s="80">
        <f>'дод 3'!L157+'дод 3'!L282</f>
        <v>0</v>
      </c>
      <c r="L216" s="80">
        <f>'дод 3'!M157+'дод 3'!M282</f>
        <v>0</v>
      </c>
      <c r="M216" s="80">
        <f>'дод 3'!N157+'дод 3'!N282</f>
        <v>0</v>
      </c>
      <c r="N216" s="80">
        <f>'дод 3'!O157+'дод 3'!O282</f>
        <v>101521665.12</v>
      </c>
      <c r="O216" s="80">
        <f>'дод 3'!P157+'дод 3'!P282</f>
        <v>101521665.12</v>
      </c>
    </row>
    <row r="217" spans="1:15" ht="33.75" customHeight="1" x14ac:dyDescent="0.25">
      <c r="A217" s="37" t="s">
        <v>267</v>
      </c>
      <c r="B217" s="37" t="s">
        <v>82</v>
      </c>
      <c r="C217" s="3" t="s">
        <v>346</v>
      </c>
      <c r="D217" s="49">
        <f>'дод 3'!E300</f>
        <v>0</v>
      </c>
      <c r="E217" s="49">
        <f>'дод 3'!F300</f>
        <v>0</v>
      </c>
      <c r="F217" s="49">
        <f>'дод 3'!G300</f>
        <v>0</v>
      </c>
      <c r="G217" s="49">
        <f>'дод 3'!H300</f>
        <v>0</v>
      </c>
      <c r="H217" s="49">
        <f>'дод 3'!I300</f>
        <v>0</v>
      </c>
      <c r="I217" s="49">
        <f>'дод 3'!J300</f>
        <v>20000</v>
      </c>
      <c r="J217" s="49">
        <f>'дод 3'!K300</f>
        <v>20000</v>
      </c>
      <c r="K217" s="49">
        <f>'дод 3'!L300</f>
        <v>0</v>
      </c>
      <c r="L217" s="49">
        <f>'дод 3'!M300</f>
        <v>0</v>
      </c>
      <c r="M217" s="49">
        <f>'дод 3'!N300</f>
        <v>0</v>
      </c>
      <c r="N217" s="49">
        <f>'дод 3'!O300</f>
        <v>20000</v>
      </c>
      <c r="O217" s="49">
        <f>'дод 3'!P300</f>
        <v>20000</v>
      </c>
    </row>
    <row r="218" spans="1:15" ht="67.5" customHeight="1" x14ac:dyDescent="0.25">
      <c r="A218" s="37" t="s">
        <v>269</v>
      </c>
      <c r="B218" s="37" t="s">
        <v>82</v>
      </c>
      <c r="C218" s="3" t="s">
        <v>270</v>
      </c>
      <c r="D218" s="49">
        <f>'дод 3'!E301</f>
        <v>0</v>
      </c>
      <c r="E218" s="49">
        <f>'дод 3'!F301</f>
        <v>0</v>
      </c>
      <c r="F218" s="49">
        <f>'дод 3'!G301</f>
        <v>0</v>
      </c>
      <c r="G218" s="49">
        <f>'дод 3'!H301</f>
        <v>0</v>
      </c>
      <c r="H218" s="49">
        <f>'дод 3'!I301</f>
        <v>0</v>
      </c>
      <c r="I218" s="49">
        <f>'дод 3'!J301</f>
        <v>45000</v>
      </c>
      <c r="J218" s="49">
        <f>'дод 3'!K301</f>
        <v>45000</v>
      </c>
      <c r="K218" s="49">
        <f>'дод 3'!L301</f>
        <v>0</v>
      </c>
      <c r="L218" s="49">
        <f>'дод 3'!M301</f>
        <v>0</v>
      </c>
      <c r="M218" s="49">
        <f>'дод 3'!N301</f>
        <v>0</v>
      </c>
      <c r="N218" s="49">
        <f>'дод 3'!O301</f>
        <v>45000</v>
      </c>
      <c r="O218" s="49">
        <f>'дод 3'!P301</f>
        <v>45000</v>
      </c>
    </row>
    <row r="219" spans="1:15" ht="30.75" customHeight="1" x14ac:dyDescent="0.25">
      <c r="A219" s="37" t="s">
        <v>5</v>
      </c>
      <c r="B219" s="37" t="s">
        <v>82</v>
      </c>
      <c r="C219" s="3" t="s">
        <v>467</v>
      </c>
      <c r="D219" s="49">
        <f>'дод 3'!E51+'дод 3'!E254</f>
        <v>0</v>
      </c>
      <c r="E219" s="49">
        <f>'дод 3'!F51+'дод 3'!F254</f>
        <v>0</v>
      </c>
      <c r="F219" s="49">
        <f>'дод 3'!G51+'дод 3'!G254</f>
        <v>0</v>
      </c>
      <c r="G219" s="49">
        <f>'дод 3'!H51+'дод 3'!H254</f>
        <v>0</v>
      </c>
      <c r="H219" s="49">
        <f>'дод 3'!I51+'дод 3'!I254</f>
        <v>0</v>
      </c>
      <c r="I219" s="49">
        <f>'дод 3'!J51+'дод 3'!J254</f>
        <v>45787900</v>
      </c>
      <c r="J219" s="49">
        <f>'дод 3'!K51+'дод 3'!K254</f>
        <v>45787900</v>
      </c>
      <c r="K219" s="49">
        <f>'дод 3'!L51+'дод 3'!L254</f>
        <v>0</v>
      </c>
      <c r="L219" s="49">
        <f>'дод 3'!M51+'дод 3'!M254</f>
        <v>0</v>
      </c>
      <c r="M219" s="49">
        <f>'дод 3'!N51+'дод 3'!N254</f>
        <v>0</v>
      </c>
      <c r="N219" s="49">
        <f>'дод 3'!O51+'дод 3'!O254</f>
        <v>45787900</v>
      </c>
      <c r="O219" s="49">
        <f>'дод 3'!P51+'дод 3'!P254</f>
        <v>45787900</v>
      </c>
    </row>
    <row r="220" spans="1:15" ht="16.5" customHeight="1" x14ac:dyDescent="0.25">
      <c r="A220" s="37"/>
      <c r="B220" s="37"/>
      <c r="C220" s="85" t="s">
        <v>419</v>
      </c>
      <c r="D220" s="49">
        <f>'дод 3'!E255</f>
        <v>0</v>
      </c>
      <c r="E220" s="49">
        <f>'дод 3'!F255</f>
        <v>0</v>
      </c>
      <c r="F220" s="49">
        <f>'дод 3'!G255</f>
        <v>0</v>
      </c>
      <c r="G220" s="49">
        <f>'дод 3'!H255</f>
        <v>0</v>
      </c>
      <c r="H220" s="49">
        <f>'дод 3'!I255</f>
        <v>0</v>
      </c>
      <c r="I220" s="49">
        <f>'дод 3'!J255</f>
        <v>26250000</v>
      </c>
      <c r="J220" s="49">
        <f>'дод 3'!K255</f>
        <v>26250000</v>
      </c>
      <c r="K220" s="49">
        <f>'дод 3'!L255</f>
        <v>0</v>
      </c>
      <c r="L220" s="49">
        <f>'дод 3'!M255</f>
        <v>0</v>
      </c>
      <c r="M220" s="49">
        <f>'дод 3'!N255</f>
        <v>0</v>
      </c>
      <c r="N220" s="49">
        <f>'дод 3'!O255</f>
        <v>26250000</v>
      </c>
      <c r="O220" s="49">
        <f>'дод 3'!P255</f>
        <v>26250000</v>
      </c>
    </row>
    <row r="221" spans="1:15" ht="36.75" customHeight="1" x14ac:dyDescent="0.25">
      <c r="A221" s="37" t="s">
        <v>248</v>
      </c>
      <c r="B221" s="37" t="s">
        <v>82</v>
      </c>
      <c r="C221" s="3" t="s">
        <v>249</v>
      </c>
      <c r="D221" s="49">
        <f>'дод 3'!E52</f>
        <v>356337</v>
      </c>
      <c r="E221" s="49">
        <f>'дод 3'!F52</f>
        <v>356337</v>
      </c>
      <c r="F221" s="49">
        <f>'дод 3'!G52</f>
        <v>0</v>
      </c>
      <c r="G221" s="49">
        <f>'дод 3'!H52</f>
        <v>0</v>
      </c>
      <c r="H221" s="49">
        <f>'дод 3'!I52</f>
        <v>0</v>
      </c>
      <c r="I221" s="49">
        <f>'дод 3'!J52</f>
        <v>0</v>
      </c>
      <c r="J221" s="49">
        <f>'дод 3'!K52</f>
        <v>0</v>
      </c>
      <c r="K221" s="49">
        <f>'дод 3'!L52</f>
        <v>0</v>
      </c>
      <c r="L221" s="49">
        <f>'дод 3'!M52</f>
        <v>0</v>
      </c>
      <c r="M221" s="49">
        <f>'дод 3'!N52</f>
        <v>0</v>
      </c>
      <c r="N221" s="49">
        <f>'дод 3'!O52</f>
        <v>0</v>
      </c>
      <c r="O221" s="49">
        <f>'дод 3'!P52</f>
        <v>356337</v>
      </c>
    </row>
    <row r="222" spans="1:15" s="54" customFormat="1" ht="117" customHeight="1" x14ac:dyDescent="0.25">
      <c r="A222" s="37" t="s">
        <v>296</v>
      </c>
      <c r="B222" s="37" t="s">
        <v>82</v>
      </c>
      <c r="C222" s="3" t="s">
        <v>314</v>
      </c>
      <c r="D222" s="49">
        <f>'дод 3'!E53+'дод 3'!E256+'дод 3'!E283+'дод 3'!E291</f>
        <v>0</v>
      </c>
      <c r="E222" s="49">
        <f>'дод 3'!F53+'дод 3'!F256+'дод 3'!F283+'дод 3'!F291</f>
        <v>0</v>
      </c>
      <c r="F222" s="49">
        <f>'дод 3'!G53+'дод 3'!G256+'дод 3'!G283+'дод 3'!G291</f>
        <v>0</v>
      </c>
      <c r="G222" s="49">
        <f>'дод 3'!H53+'дод 3'!H256+'дод 3'!H283+'дод 3'!H291</f>
        <v>0</v>
      </c>
      <c r="H222" s="49">
        <f>'дод 3'!I53+'дод 3'!I256+'дод 3'!I283+'дод 3'!I291</f>
        <v>0</v>
      </c>
      <c r="I222" s="49">
        <f>'дод 3'!J53+'дод 3'!J256+'дод 3'!J283+'дод 3'!J291</f>
        <v>4856037.8699999992</v>
      </c>
      <c r="J222" s="49">
        <f>'дод 3'!K53+'дод 3'!K256+'дод 3'!K283+'дод 3'!K291</f>
        <v>0</v>
      </c>
      <c r="K222" s="49">
        <f>'дод 3'!L53+'дод 3'!L256+'дод 3'!L283+'дод 3'!L291</f>
        <v>2948437.8699999996</v>
      </c>
      <c r="L222" s="49">
        <f>'дод 3'!M53+'дод 3'!M256+'дод 3'!M283+'дод 3'!M291</f>
        <v>0</v>
      </c>
      <c r="M222" s="49">
        <f>'дод 3'!N53+'дод 3'!N256+'дод 3'!N283+'дод 3'!N291</f>
        <v>0</v>
      </c>
      <c r="N222" s="49">
        <f>'дод 3'!O53+'дод 3'!O256+'дод 3'!O283+'дод 3'!O291</f>
        <v>1907600</v>
      </c>
      <c r="O222" s="49">
        <f>'дод 3'!P53+'дод 3'!P256+'дод 3'!P283+'дод 3'!P291</f>
        <v>4856037.8699999992</v>
      </c>
    </row>
    <row r="223" spans="1:15" s="54" customFormat="1" ht="23.25" customHeight="1" x14ac:dyDescent="0.25">
      <c r="A223" s="37" t="s">
        <v>239</v>
      </c>
      <c r="B223" s="37" t="s">
        <v>82</v>
      </c>
      <c r="C223" s="3" t="s">
        <v>17</v>
      </c>
      <c r="D223" s="49">
        <f>'дод 3'!E54+'дод 3'!E302+'дод 3'!E310</f>
        <v>1749626</v>
      </c>
      <c r="E223" s="49">
        <f>'дод 3'!F54+'дод 3'!F302+'дод 3'!F310</f>
        <v>1749626</v>
      </c>
      <c r="F223" s="49">
        <f>'дод 3'!G54+'дод 3'!G302+'дод 3'!G310</f>
        <v>0</v>
      </c>
      <c r="G223" s="49">
        <f>'дод 3'!H54+'дод 3'!H302+'дод 3'!H310</f>
        <v>0</v>
      </c>
      <c r="H223" s="49">
        <f>'дод 3'!I54+'дод 3'!I302+'дод 3'!I310</f>
        <v>0</v>
      </c>
      <c r="I223" s="49">
        <f>'дод 3'!J54+'дод 3'!J302+'дод 3'!J310</f>
        <v>0</v>
      </c>
      <c r="J223" s="49">
        <f>'дод 3'!K54+'дод 3'!K302+'дод 3'!K310</f>
        <v>0</v>
      </c>
      <c r="K223" s="49">
        <f>'дод 3'!L54+'дод 3'!L302+'дод 3'!L310</f>
        <v>0</v>
      </c>
      <c r="L223" s="49">
        <f>'дод 3'!M54+'дод 3'!M302+'дод 3'!M310</f>
        <v>0</v>
      </c>
      <c r="M223" s="49">
        <f>'дод 3'!N54+'дод 3'!N302+'дод 3'!N310</f>
        <v>0</v>
      </c>
      <c r="N223" s="49">
        <f>'дод 3'!O54+'дод 3'!O302+'дод 3'!O310</f>
        <v>0</v>
      </c>
      <c r="O223" s="49">
        <f>'дод 3'!P54+'дод 3'!P302+'дод 3'!P310</f>
        <v>1749626</v>
      </c>
    </row>
    <row r="224" spans="1:15" s="53" customFormat="1" ht="48.75" customHeight="1" x14ac:dyDescent="0.25">
      <c r="A224" s="38">
        <v>7700</v>
      </c>
      <c r="B224" s="38"/>
      <c r="C224" s="91" t="s">
        <v>362</v>
      </c>
      <c r="D224" s="48">
        <f>D225</f>
        <v>0</v>
      </c>
      <c r="E224" s="48">
        <f t="shared" ref="E224:O224" si="45">E225</f>
        <v>0</v>
      </c>
      <c r="F224" s="48">
        <f t="shared" si="45"/>
        <v>0</v>
      </c>
      <c r="G224" s="48">
        <f t="shared" si="45"/>
        <v>0</v>
      </c>
      <c r="H224" s="48">
        <f t="shared" si="45"/>
        <v>0</v>
      </c>
      <c r="I224" s="48">
        <f t="shared" si="45"/>
        <v>630000</v>
      </c>
      <c r="J224" s="48">
        <f t="shared" si="45"/>
        <v>0</v>
      </c>
      <c r="K224" s="48">
        <f t="shared" si="45"/>
        <v>0</v>
      </c>
      <c r="L224" s="48">
        <f t="shared" si="45"/>
        <v>0</v>
      </c>
      <c r="M224" s="48">
        <f t="shared" si="45"/>
        <v>0</v>
      </c>
      <c r="N224" s="48">
        <f t="shared" si="45"/>
        <v>630000</v>
      </c>
      <c r="O224" s="48">
        <f t="shared" si="45"/>
        <v>630000</v>
      </c>
    </row>
    <row r="225" spans="1:15" s="54" customFormat="1" ht="46.5" customHeight="1" x14ac:dyDescent="0.25">
      <c r="A225" s="37">
        <v>7700</v>
      </c>
      <c r="B225" s="58" t="s">
        <v>93</v>
      </c>
      <c r="C225" s="60" t="s">
        <v>362</v>
      </c>
      <c r="D225" s="49">
        <f>'дод 3'!E120</f>
        <v>0</v>
      </c>
      <c r="E225" s="49">
        <f>'дод 3'!F120</f>
        <v>0</v>
      </c>
      <c r="F225" s="49">
        <f>'дод 3'!G120</f>
        <v>0</v>
      </c>
      <c r="G225" s="49">
        <f>'дод 3'!H120</f>
        <v>0</v>
      </c>
      <c r="H225" s="49">
        <f>'дод 3'!I120</f>
        <v>0</v>
      </c>
      <c r="I225" s="49">
        <f>'дод 3'!J120</f>
        <v>630000</v>
      </c>
      <c r="J225" s="49">
        <f>'дод 3'!K120</f>
        <v>0</v>
      </c>
      <c r="K225" s="49">
        <f>'дод 3'!L120</f>
        <v>0</v>
      </c>
      <c r="L225" s="49">
        <f>'дод 3'!M120</f>
        <v>0</v>
      </c>
      <c r="M225" s="49">
        <f>'дод 3'!N120</f>
        <v>0</v>
      </c>
      <c r="N225" s="49">
        <f>'дод 3'!O120</f>
        <v>630000</v>
      </c>
      <c r="O225" s="49">
        <f>'дод 3'!P120</f>
        <v>630000</v>
      </c>
    </row>
    <row r="226" spans="1:15" s="52" customFormat="1" ht="30.75" customHeight="1" x14ac:dyDescent="0.25">
      <c r="A226" s="38" t="s">
        <v>94</v>
      </c>
      <c r="B226" s="39"/>
      <c r="C226" s="2" t="s">
        <v>588</v>
      </c>
      <c r="D226" s="48">
        <f>D228+D233+D235+D238+D240+D241</f>
        <v>11485227.649999999</v>
      </c>
      <c r="E226" s="48">
        <f t="shared" ref="E226:O226" si="46">E228+E233+E235+E238+E240+E241</f>
        <v>5906581.21</v>
      </c>
      <c r="F226" s="48">
        <f t="shared" si="46"/>
        <v>1906900</v>
      </c>
      <c r="G226" s="48">
        <f t="shared" si="46"/>
        <v>338147</v>
      </c>
      <c r="H226" s="48">
        <f t="shared" si="46"/>
        <v>0</v>
      </c>
      <c r="I226" s="48">
        <f t="shared" si="46"/>
        <v>5730564.6600000001</v>
      </c>
      <c r="J226" s="48">
        <f t="shared" si="46"/>
        <v>1398264.66</v>
      </c>
      <c r="K226" s="48">
        <f t="shared" si="46"/>
        <v>2982400</v>
      </c>
      <c r="L226" s="48">
        <f t="shared" si="46"/>
        <v>0</v>
      </c>
      <c r="M226" s="48">
        <f t="shared" si="46"/>
        <v>1400</v>
      </c>
      <c r="N226" s="48">
        <f t="shared" si="46"/>
        <v>2748164.66</v>
      </c>
      <c r="O226" s="48">
        <f t="shared" si="46"/>
        <v>17215792.310000002</v>
      </c>
    </row>
    <row r="227" spans="1:15" s="53" customFormat="1" ht="54.75" customHeight="1" x14ac:dyDescent="0.25">
      <c r="A227" s="71"/>
      <c r="B227" s="74"/>
      <c r="C227" s="75" t="s">
        <v>382</v>
      </c>
      <c r="D227" s="76">
        <f>D229</f>
        <v>588815</v>
      </c>
      <c r="E227" s="76">
        <f t="shared" ref="E227:O227" si="47">E229</f>
        <v>588815</v>
      </c>
      <c r="F227" s="76">
        <f t="shared" si="47"/>
        <v>482635</v>
      </c>
      <c r="G227" s="76">
        <f t="shared" si="47"/>
        <v>0</v>
      </c>
      <c r="H227" s="76">
        <f t="shared" si="47"/>
        <v>0</v>
      </c>
      <c r="I227" s="76">
        <f t="shared" si="47"/>
        <v>0</v>
      </c>
      <c r="J227" s="76">
        <f t="shared" si="47"/>
        <v>0</v>
      </c>
      <c r="K227" s="76">
        <f t="shared" si="47"/>
        <v>0</v>
      </c>
      <c r="L227" s="76">
        <f t="shared" si="47"/>
        <v>0</v>
      </c>
      <c r="M227" s="76">
        <f t="shared" si="47"/>
        <v>0</v>
      </c>
      <c r="N227" s="76">
        <f t="shared" si="47"/>
        <v>0</v>
      </c>
      <c r="O227" s="76">
        <f t="shared" si="47"/>
        <v>588815</v>
      </c>
    </row>
    <row r="228" spans="1:15" s="52" customFormat="1" ht="51.75" customHeight="1" x14ac:dyDescent="0.25">
      <c r="A228" s="38" t="s">
        <v>96</v>
      </c>
      <c r="B228" s="39"/>
      <c r="C228" s="2" t="s">
        <v>521</v>
      </c>
      <c r="D228" s="48">
        <f t="shared" ref="D228:O228" si="48">D230+D231</f>
        <v>3410086.21</v>
      </c>
      <c r="E228" s="48">
        <f t="shared" si="48"/>
        <v>3410086.21</v>
      </c>
      <c r="F228" s="48">
        <f t="shared" si="48"/>
        <v>1906900</v>
      </c>
      <c r="G228" s="48">
        <f t="shared" si="48"/>
        <v>80205</v>
      </c>
      <c r="H228" s="48">
        <f t="shared" si="48"/>
        <v>0</v>
      </c>
      <c r="I228" s="48">
        <f t="shared" si="48"/>
        <v>1403964.66</v>
      </c>
      <c r="J228" s="48">
        <f t="shared" si="48"/>
        <v>1398264.66</v>
      </c>
      <c r="K228" s="48">
        <f t="shared" si="48"/>
        <v>5700</v>
      </c>
      <c r="L228" s="48">
        <f t="shared" si="48"/>
        <v>0</v>
      </c>
      <c r="M228" s="48">
        <f t="shared" si="48"/>
        <v>1400</v>
      </c>
      <c r="N228" s="48">
        <f t="shared" si="48"/>
        <v>1398264.66</v>
      </c>
      <c r="O228" s="48">
        <f t="shared" si="48"/>
        <v>4814050.87</v>
      </c>
    </row>
    <row r="229" spans="1:15" s="53" customFormat="1" ht="53.25" customHeight="1" x14ac:dyDescent="0.25">
      <c r="A229" s="71"/>
      <c r="B229" s="74"/>
      <c r="C229" s="77" t="str">
        <f>C232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29" s="76">
        <f>D232</f>
        <v>588815</v>
      </c>
      <c r="E229" s="76">
        <f t="shared" ref="E229:O229" si="49">E232</f>
        <v>588815</v>
      </c>
      <c r="F229" s="76">
        <f t="shared" si="49"/>
        <v>482635</v>
      </c>
      <c r="G229" s="76">
        <f t="shared" si="49"/>
        <v>0</v>
      </c>
      <c r="H229" s="76">
        <f t="shared" si="49"/>
        <v>0</v>
      </c>
      <c r="I229" s="76">
        <f t="shared" si="49"/>
        <v>0</v>
      </c>
      <c r="J229" s="76">
        <f t="shared" si="49"/>
        <v>0</v>
      </c>
      <c r="K229" s="76">
        <f t="shared" si="49"/>
        <v>0</v>
      </c>
      <c r="L229" s="76">
        <f t="shared" si="49"/>
        <v>0</v>
      </c>
      <c r="M229" s="76">
        <f t="shared" si="49"/>
        <v>0</v>
      </c>
      <c r="N229" s="76">
        <f t="shared" si="49"/>
        <v>0</v>
      </c>
      <c r="O229" s="76">
        <f t="shared" si="49"/>
        <v>588815</v>
      </c>
    </row>
    <row r="230" spans="1:15" s="52" customFormat="1" ht="36.75" customHeight="1" x14ac:dyDescent="0.25">
      <c r="A230" s="40" t="s">
        <v>7</v>
      </c>
      <c r="B230" s="40" t="s">
        <v>89</v>
      </c>
      <c r="C230" s="3" t="s">
        <v>297</v>
      </c>
      <c r="D230" s="49">
        <f>'дод 3'!E55+'дод 3'!E257</f>
        <v>960981.21</v>
      </c>
      <c r="E230" s="49">
        <f>'дод 3'!F55+'дод 3'!F257</f>
        <v>960981.21</v>
      </c>
      <c r="F230" s="49">
        <f>'дод 3'!G55+'дод 3'!G257</f>
        <v>0</v>
      </c>
      <c r="G230" s="49">
        <f>'дод 3'!H55+'дод 3'!H257</f>
        <v>6500</v>
      </c>
      <c r="H230" s="49">
        <f>'дод 3'!I55+'дод 3'!I257</f>
        <v>0</v>
      </c>
      <c r="I230" s="49">
        <f>'дод 3'!J55+'дод 3'!J257</f>
        <v>1398264.66</v>
      </c>
      <c r="J230" s="49">
        <f>'дод 3'!K55+'дод 3'!K257</f>
        <v>1398264.66</v>
      </c>
      <c r="K230" s="49">
        <f>'дод 3'!L55+'дод 3'!L257</f>
        <v>0</v>
      </c>
      <c r="L230" s="49">
        <f>'дод 3'!M55+'дод 3'!M257</f>
        <v>0</v>
      </c>
      <c r="M230" s="49">
        <f>'дод 3'!N55+'дод 3'!N257</f>
        <v>0</v>
      </c>
      <c r="N230" s="49">
        <f>'дод 3'!O55+'дод 3'!O257</f>
        <v>1398264.66</v>
      </c>
      <c r="O230" s="49">
        <f>'дод 3'!P55+'дод 3'!P257</f>
        <v>2359245.87</v>
      </c>
    </row>
    <row r="231" spans="1:15" ht="27" customHeight="1" x14ac:dyDescent="0.25">
      <c r="A231" s="37" t="s">
        <v>148</v>
      </c>
      <c r="B231" s="42" t="s">
        <v>89</v>
      </c>
      <c r="C231" s="3" t="s">
        <v>519</v>
      </c>
      <c r="D231" s="49">
        <f>'дод 3'!E56</f>
        <v>2449105</v>
      </c>
      <c r="E231" s="49">
        <f>'дод 3'!F56</f>
        <v>2449105</v>
      </c>
      <c r="F231" s="49">
        <f>'дод 3'!G56</f>
        <v>1906900</v>
      </c>
      <c r="G231" s="49">
        <f>'дод 3'!H56</f>
        <v>73705</v>
      </c>
      <c r="H231" s="49">
        <f>'дод 3'!I56</f>
        <v>0</v>
      </c>
      <c r="I231" s="49">
        <f>'дод 3'!J56</f>
        <v>5700</v>
      </c>
      <c r="J231" s="49">
        <f>'дод 3'!K56</f>
        <v>0</v>
      </c>
      <c r="K231" s="49">
        <f>'дод 3'!L56</f>
        <v>5700</v>
      </c>
      <c r="L231" s="49">
        <f>'дод 3'!M56</f>
        <v>0</v>
      </c>
      <c r="M231" s="49">
        <f>'дод 3'!N56</f>
        <v>1400</v>
      </c>
      <c r="N231" s="49">
        <f>'дод 3'!O56</f>
        <v>0</v>
      </c>
      <c r="O231" s="49">
        <f>'дод 3'!P56</f>
        <v>2454805</v>
      </c>
    </row>
    <row r="232" spans="1:15" s="54" customFormat="1" ht="47.25" x14ac:dyDescent="0.25">
      <c r="A232" s="78"/>
      <c r="B232" s="88"/>
      <c r="C232" s="87" t="s">
        <v>382</v>
      </c>
      <c r="D232" s="80">
        <f>'дод 3'!E57</f>
        <v>588815</v>
      </c>
      <c r="E232" s="80">
        <f>'дод 3'!F57</f>
        <v>588815</v>
      </c>
      <c r="F232" s="80">
        <f>'дод 3'!G57</f>
        <v>482635</v>
      </c>
      <c r="G232" s="80">
        <f>'дод 3'!H57</f>
        <v>0</v>
      </c>
      <c r="H232" s="80">
        <f>'дод 3'!I57</f>
        <v>0</v>
      </c>
      <c r="I232" s="80">
        <f>'дод 3'!J57</f>
        <v>0</v>
      </c>
      <c r="J232" s="80">
        <f>'дод 3'!K57</f>
        <v>0</v>
      </c>
      <c r="K232" s="80">
        <f>'дод 3'!L57</f>
        <v>0</v>
      </c>
      <c r="L232" s="80">
        <f>'дод 3'!M57</f>
        <v>0</v>
      </c>
      <c r="M232" s="80">
        <f>'дод 3'!N57</f>
        <v>0</v>
      </c>
      <c r="N232" s="80">
        <f>'дод 3'!O57</f>
        <v>0</v>
      </c>
      <c r="O232" s="80">
        <f>'дод 3'!P57</f>
        <v>588815</v>
      </c>
    </row>
    <row r="233" spans="1:15" s="52" customFormat="1" ht="23.25" customHeight="1" x14ac:dyDescent="0.25">
      <c r="A233" s="38" t="s">
        <v>250</v>
      </c>
      <c r="B233" s="38"/>
      <c r="C233" s="12" t="s">
        <v>251</v>
      </c>
      <c r="D233" s="48">
        <f t="shared" ref="D233:O233" si="50">D234</f>
        <v>427256</v>
      </c>
      <c r="E233" s="48">
        <f t="shared" si="50"/>
        <v>427256</v>
      </c>
      <c r="F233" s="48">
        <f t="shared" si="50"/>
        <v>0</v>
      </c>
      <c r="G233" s="48">
        <f t="shared" si="50"/>
        <v>257942</v>
      </c>
      <c r="H233" s="48">
        <f t="shared" si="50"/>
        <v>0</v>
      </c>
      <c r="I233" s="48">
        <f t="shared" si="50"/>
        <v>0</v>
      </c>
      <c r="J233" s="48">
        <f t="shared" si="50"/>
        <v>0</v>
      </c>
      <c r="K233" s="48">
        <f t="shared" si="50"/>
        <v>0</v>
      </c>
      <c r="L233" s="48">
        <f t="shared" si="50"/>
        <v>0</v>
      </c>
      <c r="M233" s="48">
        <f t="shared" si="50"/>
        <v>0</v>
      </c>
      <c r="N233" s="48">
        <f t="shared" si="50"/>
        <v>0</v>
      </c>
      <c r="O233" s="48">
        <f t="shared" si="50"/>
        <v>427256</v>
      </c>
    </row>
    <row r="234" spans="1:15" ht="22.5" customHeight="1" x14ac:dyDescent="0.25">
      <c r="A234" s="37" t="s">
        <v>244</v>
      </c>
      <c r="B234" s="42" t="s">
        <v>245</v>
      </c>
      <c r="C234" s="3" t="s">
        <v>246</v>
      </c>
      <c r="D234" s="49">
        <f>'дод 3'!E58+'дод 3'!E258</f>
        <v>427256</v>
      </c>
      <c r="E234" s="49">
        <f>'дод 3'!F58+'дод 3'!F258</f>
        <v>427256</v>
      </c>
      <c r="F234" s="49">
        <f>'дод 3'!G58+'дод 3'!G258</f>
        <v>0</v>
      </c>
      <c r="G234" s="49">
        <f>'дод 3'!H58+'дод 3'!H258</f>
        <v>257942</v>
      </c>
      <c r="H234" s="49">
        <f>'дод 3'!I58+'дод 3'!I258</f>
        <v>0</v>
      </c>
      <c r="I234" s="49">
        <f>'дод 3'!J58+'дод 3'!J258</f>
        <v>0</v>
      </c>
      <c r="J234" s="49">
        <f>'дод 3'!K58+'дод 3'!K258</f>
        <v>0</v>
      </c>
      <c r="K234" s="49">
        <f>'дод 3'!L58+'дод 3'!L258</f>
        <v>0</v>
      </c>
      <c r="L234" s="49">
        <f>'дод 3'!M58+'дод 3'!M258</f>
        <v>0</v>
      </c>
      <c r="M234" s="49">
        <f>'дод 3'!N58+'дод 3'!N258</f>
        <v>0</v>
      </c>
      <c r="N234" s="49">
        <f>'дод 3'!O58+'дод 3'!O258</f>
        <v>0</v>
      </c>
      <c r="O234" s="49">
        <f>'дод 3'!P58+'дод 3'!P258</f>
        <v>427256</v>
      </c>
    </row>
    <row r="235" spans="1:15" s="52" customFormat="1" ht="22.5" customHeight="1" x14ac:dyDescent="0.25">
      <c r="A235" s="38" t="s">
        <v>6</v>
      </c>
      <c r="B235" s="39"/>
      <c r="C235" s="2" t="s">
        <v>8</v>
      </c>
      <c r="D235" s="48">
        <f t="shared" ref="D235:O235" si="51">D237+D236</f>
        <v>75000</v>
      </c>
      <c r="E235" s="48">
        <f t="shared" si="51"/>
        <v>75000</v>
      </c>
      <c r="F235" s="48">
        <f t="shared" si="51"/>
        <v>0</v>
      </c>
      <c r="G235" s="48">
        <f t="shared" si="51"/>
        <v>0</v>
      </c>
      <c r="H235" s="48">
        <f t="shared" si="51"/>
        <v>0</v>
      </c>
      <c r="I235" s="48">
        <f t="shared" si="51"/>
        <v>4326600</v>
      </c>
      <c r="J235" s="48">
        <f t="shared" si="51"/>
        <v>0</v>
      </c>
      <c r="K235" s="48">
        <f t="shared" si="51"/>
        <v>2976700</v>
      </c>
      <c r="L235" s="48">
        <f t="shared" si="51"/>
        <v>0</v>
      </c>
      <c r="M235" s="48">
        <f t="shared" si="51"/>
        <v>0</v>
      </c>
      <c r="N235" s="48">
        <f t="shared" si="51"/>
        <v>1349900</v>
      </c>
      <c r="O235" s="48">
        <f t="shared" si="51"/>
        <v>4401600</v>
      </c>
    </row>
    <row r="236" spans="1:15" s="52" customFormat="1" ht="33.75" customHeight="1" x14ac:dyDescent="0.25">
      <c r="A236" s="37">
        <v>8330</v>
      </c>
      <c r="B236" s="58" t="s">
        <v>92</v>
      </c>
      <c r="C236" s="3" t="s">
        <v>348</v>
      </c>
      <c r="D236" s="49">
        <f>'дод 3'!E311</f>
        <v>75000</v>
      </c>
      <c r="E236" s="49">
        <f>'дод 3'!F311</f>
        <v>75000</v>
      </c>
      <c r="F236" s="49">
        <f>'дод 3'!G311</f>
        <v>0</v>
      </c>
      <c r="G236" s="49">
        <f>'дод 3'!H311</f>
        <v>0</v>
      </c>
      <c r="H236" s="49">
        <f>'дод 3'!I311</f>
        <v>0</v>
      </c>
      <c r="I236" s="49">
        <f>'дод 3'!J311</f>
        <v>0</v>
      </c>
      <c r="J236" s="49">
        <f>'дод 3'!K311</f>
        <v>0</v>
      </c>
      <c r="K236" s="49">
        <f>'дод 3'!L311</f>
        <v>0</v>
      </c>
      <c r="L236" s="49">
        <f>'дод 3'!M311</f>
        <v>0</v>
      </c>
      <c r="M236" s="49">
        <f>'дод 3'!N311</f>
        <v>0</v>
      </c>
      <c r="N236" s="49">
        <f>'дод 3'!O311</f>
        <v>0</v>
      </c>
      <c r="O236" s="49">
        <f>'дод 3'!P311</f>
        <v>75000</v>
      </c>
    </row>
    <row r="237" spans="1:15" s="52" customFormat="1" ht="19.5" customHeight="1" x14ac:dyDescent="0.25">
      <c r="A237" s="37" t="s">
        <v>9</v>
      </c>
      <c r="B237" s="37" t="s">
        <v>92</v>
      </c>
      <c r="C237" s="3" t="s">
        <v>10</v>
      </c>
      <c r="D237" s="49">
        <f>'дод 3'!E59+'дод 3'!E121+'дод 3'!E259+'дод 3'!E312</f>
        <v>0</v>
      </c>
      <c r="E237" s="49">
        <f>'дод 3'!F59+'дод 3'!F121+'дод 3'!F259+'дод 3'!F312</f>
        <v>0</v>
      </c>
      <c r="F237" s="49">
        <f>'дод 3'!G59+'дод 3'!G121+'дод 3'!G259+'дод 3'!G312</f>
        <v>0</v>
      </c>
      <c r="G237" s="49">
        <f>'дод 3'!H59+'дод 3'!H121+'дод 3'!H259+'дод 3'!H312</f>
        <v>0</v>
      </c>
      <c r="H237" s="49">
        <f>'дод 3'!I59+'дод 3'!I121+'дод 3'!I259+'дод 3'!I312</f>
        <v>0</v>
      </c>
      <c r="I237" s="49">
        <f>'дод 3'!J59+'дод 3'!J121+'дод 3'!J259+'дод 3'!J312</f>
        <v>4326600</v>
      </c>
      <c r="J237" s="49">
        <f>'дод 3'!K59+'дод 3'!K121+'дод 3'!K259+'дод 3'!K312</f>
        <v>0</v>
      </c>
      <c r="K237" s="49">
        <f>'дод 3'!L59+'дод 3'!L121+'дод 3'!L259+'дод 3'!L312</f>
        <v>2976700</v>
      </c>
      <c r="L237" s="49">
        <f>'дод 3'!M59+'дод 3'!M121+'дод 3'!M259+'дод 3'!M312</f>
        <v>0</v>
      </c>
      <c r="M237" s="49">
        <f>'дод 3'!N59+'дод 3'!N121+'дод 3'!N259+'дод 3'!N312</f>
        <v>0</v>
      </c>
      <c r="N237" s="49">
        <f>'дод 3'!O59+'дод 3'!O121+'дод 3'!O259+'дод 3'!O312</f>
        <v>1349900</v>
      </c>
      <c r="O237" s="49">
        <f>'дод 3'!P59+'дод 3'!P121+'дод 3'!P259+'дод 3'!P312</f>
        <v>4326600</v>
      </c>
    </row>
    <row r="238" spans="1:15" s="52" customFormat="1" ht="20.25" customHeight="1" x14ac:dyDescent="0.25">
      <c r="A238" s="38" t="s">
        <v>133</v>
      </c>
      <c r="B238" s="39"/>
      <c r="C238" s="2" t="s">
        <v>76</v>
      </c>
      <c r="D238" s="48">
        <f t="shared" ref="D238:O238" si="52">D239</f>
        <v>30000</v>
      </c>
      <c r="E238" s="48">
        <f t="shared" si="52"/>
        <v>30000</v>
      </c>
      <c r="F238" s="48">
        <f t="shared" si="52"/>
        <v>0</v>
      </c>
      <c r="G238" s="48">
        <f t="shared" si="52"/>
        <v>0</v>
      </c>
      <c r="H238" s="48">
        <f t="shared" si="52"/>
        <v>0</v>
      </c>
      <c r="I238" s="48">
        <f t="shared" si="52"/>
        <v>0</v>
      </c>
      <c r="J238" s="48">
        <f t="shared" si="52"/>
        <v>0</v>
      </c>
      <c r="K238" s="48">
        <f t="shared" si="52"/>
        <v>0</v>
      </c>
      <c r="L238" s="48">
        <f t="shared" si="52"/>
        <v>0</v>
      </c>
      <c r="M238" s="48">
        <f t="shared" si="52"/>
        <v>0</v>
      </c>
      <c r="N238" s="48">
        <f t="shared" si="52"/>
        <v>0</v>
      </c>
      <c r="O238" s="48">
        <f t="shared" si="52"/>
        <v>30000</v>
      </c>
    </row>
    <row r="239" spans="1:15" s="52" customFormat="1" ht="21" customHeight="1" x14ac:dyDescent="0.25">
      <c r="A239" s="37" t="s">
        <v>255</v>
      </c>
      <c r="B239" s="42" t="s">
        <v>77</v>
      </c>
      <c r="C239" s="3" t="s">
        <v>256</v>
      </c>
      <c r="D239" s="49">
        <f>'дод 3'!E60</f>
        <v>30000</v>
      </c>
      <c r="E239" s="49">
        <f>'дод 3'!F60</f>
        <v>30000</v>
      </c>
      <c r="F239" s="49">
        <f>'дод 3'!G60</f>
        <v>0</v>
      </c>
      <c r="G239" s="49">
        <f>'дод 3'!H60</f>
        <v>0</v>
      </c>
      <c r="H239" s="49">
        <f>'дод 3'!I60</f>
        <v>0</v>
      </c>
      <c r="I239" s="49">
        <f>'дод 3'!J60</f>
        <v>0</v>
      </c>
      <c r="J239" s="49">
        <f>'дод 3'!K60</f>
        <v>0</v>
      </c>
      <c r="K239" s="49">
        <f>'дод 3'!L60</f>
        <v>0</v>
      </c>
      <c r="L239" s="49">
        <f>'дод 3'!M60</f>
        <v>0</v>
      </c>
      <c r="M239" s="49">
        <f>'дод 3'!N60</f>
        <v>0</v>
      </c>
      <c r="N239" s="49">
        <f>'дод 3'!O60</f>
        <v>0</v>
      </c>
      <c r="O239" s="49">
        <f>'дод 3'!P60</f>
        <v>30000</v>
      </c>
    </row>
    <row r="240" spans="1:15" s="52" customFormat="1" ht="21" customHeight="1" x14ac:dyDescent="0.25">
      <c r="A240" s="38" t="s">
        <v>95</v>
      </c>
      <c r="B240" s="38" t="s">
        <v>90</v>
      </c>
      <c r="C240" s="2" t="s">
        <v>11</v>
      </c>
      <c r="D240" s="48">
        <f>'дод 3'!E313</f>
        <v>1964239</v>
      </c>
      <c r="E240" s="48">
        <f>'дод 3'!F313</f>
        <v>1964239</v>
      </c>
      <c r="F240" s="48">
        <f>'дод 3'!G313</f>
        <v>0</v>
      </c>
      <c r="G240" s="48">
        <f>'дод 3'!H313</f>
        <v>0</v>
      </c>
      <c r="H240" s="48">
        <f>'дод 3'!I313</f>
        <v>0</v>
      </c>
      <c r="I240" s="48">
        <f>'дод 3'!J313</f>
        <v>0</v>
      </c>
      <c r="J240" s="48">
        <f>'дод 3'!K313</f>
        <v>0</v>
      </c>
      <c r="K240" s="48">
        <f>'дод 3'!L313</f>
        <v>0</v>
      </c>
      <c r="L240" s="48">
        <f>'дод 3'!M313</f>
        <v>0</v>
      </c>
      <c r="M240" s="48">
        <f>'дод 3'!N313</f>
        <v>0</v>
      </c>
      <c r="N240" s="48">
        <f>'дод 3'!O313</f>
        <v>0</v>
      </c>
      <c r="O240" s="48">
        <f>'дод 3'!P313</f>
        <v>1964239</v>
      </c>
    </row>
    <row r="241" spans="1:15" s="52" customFormat="1" ht="25.5" customHeight="1" x14ac:dyDescent="0.25">
      <c r="A241" s="38">
        <v>8710</v>
      </c>
      <c r="B241" s="38" t="s">
        <v>93</v>
      </c>
      <c r="C241" s="2" t="s">
        <v>518</v>
      </c>
      <c r="D241" s="48">
        <f>'дод 3'!E314</f>
        <v>5578646.4399999995</v>
      </c>
      <c r="E241" s="48">
        <f>'дод 3'!F314</f>
        <v>0</v>
      </c>
      <c r="F241" s="48">
        <f>'дод 3'!G314</f>
        <v>0</v>
      </c>
      <c r="G241" s="48">
        <f>'дод 3'!H314</f>
        <v>0</v>
      </c>
      <c r="H241" s="48">
        <f>'дод 3'!I314</f>
        <v>0</v>
      </c>
      <c r="I241" s="48">
        <f>'дод 3'!J314</f>
        <v>0</v>
      </c>
      <c r="J241" s="48">
        <f>'дод 3'!K314</f>
        <v>0</v>
      </c>
      <c r="K241" s="48">
        <f>'дод 3'!L314</f>
        <v>0</v>
      </c>
      <c r="L241" s="48">
        <f>'дод 3'!M314</f>
        <v>0</v>
      </c>
      <c r="M241" s="48">
        <f>'дод 3'!N314</f>
        <v>0</v>
      </c>
      <c r="N241" s="48">
        <f>'дод 3'!O314</f>
        <v>0</v>
      </c>
      <c r="O241" s="48">
        <f>'дод 3'!P314</f>
        <v>5578646.4399999995</v>
      </c>
    </row>
    <row r="242" spans="1:15" s="52" customFormat="1" ht="24" customHeight="1" x14ac:dyDescent="0.25">
      <c r="A242" s="38" t="s">
        <v>12</v>
      </c>
      <c r="B242" s="38"/>
      <c r="C242" s="2" t="s">
        <v>545</v>
      </c>
      <c r="D242" s="48">
        <f>D244+D246+D250+D254</f>
        <v>208507443</v>
      </c>
      <c r="E242" s="48">
        <f t="shared" ref="E242:O242" si="53">E244+E246+E250+E254</f>
        <v>208507443</v>
      </c>
      <c r="F242" s="48">
        <f t="shared" si="53"/>
        <v>0</v>
      </c>
      <c r="G242" s="48">
        <f t="shared" si="53"/>
        <v>0</v>
      </c>
      <c r="H242" s="48">
        <f t="shared" si="53"/>
        <v>0</v>
      </c>
      <c r="I242" s="48">
        <f t="shared" si="53"/>
        <v>22582619.600000001</v>
      </c>
      <c r="J242" s="48">
        <f t="shared" si="53"/>
        <v>22582619.600000001</v>
      </c>
      <c r="K242" s="48">
        <f t="shared" si="53"/>
        <v>0</v>
      </c>
      <c r="L242" s="48">
        <f t="shared" si="53"/>
        <v>0</v>
      </c>
      <c r="M242" s="48">
        <f t="shared" si="53"/>
        <v>0</v>
      </c>
      <c r="N242" s="48">
        <f t="shared" si="53"/>
        <v>22582619.600000001</v>
      </c>
      <c r="O242" s="48">
        <f t="shared" si="53"/>
        <v>231090062.59999999</v>
      </c>
    </row>
    <row r="243" spans="1:15" s="52" customFormat="1" ht="36.75" customHeight="1" x14ac:dyDescent="0.25">
      <c r="A243" s="38"/>
      <c r="B243" s="38"/>
      <c r="C243" s="77" t="s">
        <v>541</v>
      </c>
      <c r="D243" s="76">
        <f>D247</f>
        <v>693000</v>
      </c>
      <c r="E243" s="76">
        <f t="shared" ref="E243:O243" si="54">E247</f>
        <v>693000</v>
      </c>
      <c r="F243" s="76">
        <f t="shared" si="54"/>
        <v>0</v>
      </c>
      <c r="G243" s="76">
        <f t="shared" si="54"/>
        <v>0</v>
      </c>
      <c r="H243" s="76">
        <f t="shared" si="54"/>
        <v>0</v>
      </c>
      <c r="I243" s="76">
        <f t="shared" si="54"/>
        <v>3307000</v>
      </c>
      <c r="J243" s="76">
        <f t="shared" si="54"/>
        <v>3307000</v>
      </c>
      <c r="K243" s="76">
        <f t="shared" si="54"/>
        <v>0</v>
      </c>
      <c r="L243" s="76">
        <f t="shared" si="54"/>
        <v>0</v>
      </c>
      <c r="M243" s="76">
        <f t="shared" si="54"/>
        <v>0</v>
      </c>
      <c r="N243" s="76">
        <f t="shared" si="54"/>
        <v>3307000</v>
      </c>
      <c r="O243" s="76">
        <f t="shared" si="54"/>
        <v>4000000</v>
      </c>
    </row>
    <row r="244" spans="1:15" s="52" customFormat="1" ht="21.75" customHeight="1" x14ac:dyDescent="0.25">
      <c r="A244" s="38" t="s">
        <v>253</v>
      </c>
      <c r="B244" s="38"/>
      <c r="C244" s="2" t="s">
        <v>298</v>
      </c>
      <c r="D244" s="48">
        <f t="shared" ref="D244:O244" si="55">D245</f>
        <v>100870700</v>
      </c>
      <c r="E244" s="48">
        <f t="shared" si="55"/>
        <v>100870700</v>
      </c>
      <c r="F244" s="48">
        <f t="shared" si="55"/>
        <v>0</v>
      </c>
      <c r="G244" s="48">
        <f t="shared" si="55"/>
        <v>0</v>
      </c>
      <c r="H244" s="48">
        <f t="shared" si="55"/>
        <v>0</v>
      </c>
      <c r="I244" s="48">
        <f t="shared" si="55"/>
        <v>0</v>
      </c>
      <c r="J244" s="48">
        <f t="shared" si="55"/>
        <v>0</v>
      </c>
      <c r="K244" s="48">
        <f t="shared" si="55"/>
        <v>0</v>
      </c>
      <c r="L244" s="48">
        <f t="shared" si="55"/>
        <v>0</v>
      </c>
      <c r="M244" s="48">
        <f t="shared" si="55"/>
        <v>0</v>
      </c>
      <c r="N244" s="48">
        <f t="shared" si="55"/>
        <v>0</v>
      </c>
      <c r="O244" s="48">
        <f t="shared" si="55"/>
        <v>100870700</v>
      </c>
    </row>
    <row r="245" spans="1:15" s="52" customFormat="1" ht="21" customHeight="1" x14ac:dyDescent="0.25">
      <c r="A245" s="37" t="s">
        <v>91</v>
      </c>
      <c r="B245" s="42" t="s">
        <v>45</v>
      </c>
      <c r="C245" s="3" t="s">
        <v>110</v>
      </c>
      <c r="D245" s="49">
        <f>'дод 3'!E315</f>
        <v>100870700</v>
      </c>
      <c r="E245" s="49">
        <f>'дод 3'!F315</f>
        <v>100870700</v>
      </c>
      <c r="F245" s="49">
        <f>'дод 3'!G315</f>
        <v>0</v>
      </c>
      <c r="G245" s="49">
        <f>'дод 3'!H315</f>
        <v>0</v>
      </c>
      <c r="H245" s="49">
        <f>'дод 3'!I315</f>
        <v>0</v>
      </c>
      <c r="I245" s="49">
        <f>'дод 3'!J315</f>
        <v>0</v>
      </c>
      <c r="J245" s="49">
        <f>'дод 3'!K315</f>
        <v>0</v>
      </c>
      <c r="K245" s="49">
        <f>'дод 3'!L315</f>
        <v>0</v>
      </c>
      <c r="L245" s="49">
        <f>'дод 3'!M315</f>
        <v>0</v>
      </c>
      <c r="M245" s="49">
        <f>'дод 3'!N315</f>
        <v>0</v>
      </c>
      <c r="N245" s="49">
        <f>'дод 3'!O315</f>
        <v>0</v>
      </c>
      <c r="O245" s="49">
        <f>'дод 3'!P315</f>
        <v>100870700</v>
      </c>
    </row>
    <row r="246" spans="1:15" s="52" customFormat="1" ht="69" customHeight="1" x14ac:dyDescent="0.25">
      <c r="A246" s="38">
        <v>9300</v>
      </c>
      <c r="B246" s="106"/>
      <c r="C246" s="2" t="s">
        <v>538</v>
      </c>
      <c r="D246" s="48">
        <f>D248</f>
        <v>693000</v>
      </c>
      <c r="E246" s="48">
        <f t="shared" ref="E246:O246" si="56">E248</f>
        <v>693000</v>
      </c>
      <c r="F246" s="48">
        <f t="shared" si="56"/>
        <v>0</v>
      </c>
      <c r="G246" s="48">
        <f t="shared" si="56"/>
        <v>0</v>
      </c>
      <c r="H246" s="48">
        <f t="shared" si="56"/>
        <v>0</v>
      </c>
      <c r="I246" s="48">
        <f t="shared" si="56"/>
        <v>3307000</v>
      </c>
      <c r="J246" s="48">
        <f t="shared" si="56"/>
        <v>3307000</v>
      </c>
      <c r="K246" s="48">
        <f t="shared" si="56"/>
        <v>0</v>
      </c>
      <c r="L246" s="48">
        <f t="shared" si="56"/>
        <v>0</v>
      </c>
      <c r="M246" s="48">
        <f t="shared" si="56"/>
        <v>0</v>
      </c>
      <c r="N246" s="48">
        <f t="shared" si="56"/>
        <v>3307000</v>
      </c>
      <c r="O246" s="48">
        <f t="shared" si="56"/>
        <v>4000000</v>
      </c>
    </row>
    <row r="247" spans="1:15" s="52" customFormat="1" ht="36.75" customHeight="1" x14ac:dyDescent="0.25">
      <c r="A247" s="38"/>
      <c r="B247" s="103"/>
      <c r="C247" s="77" t="s">
        <v>541</v>
      </c>
      <c r="D247" s="76">
        <f>D249</f>
        <v>693000</v>
      </c>
      <c r="E247" s="76">
        <f t="shared" ref="E247:O247" si="57">E249</f>
        <v>693000</v>
      </c>
      <c r="F247" s="76">
        <f t="shared" si="57"/>
        <v>0</v>
      </c>
      <c r="G247" s="76">
        <f t="shared" si="57"/>
        <v>0</v>
      </c>
      <c r="H247" s="76">
        <f t="shared" si="57"/>
        <v>0</v>
      </c>
      <c r="I247" s="76">
        <f t="shared" si="57"/>
        <v>3307000</v>
      </c>
      <c r="J247" s="76">
        <f t="shared" si="57"/>
        <v>3307000</v>
      </c>
      <c r="K247" s="76">
        <f t="shared" si="57"/>
        <v>0</v>
      </c>
      <c r="L247" s="76">
        <f t="shared" si="57"/>
        <v>0</v>
      </c>
      <c r="M247" s="76">
        <f t="shared" si="57"/>
        <v>0</v>
      </c>
      <c r="N247" s="76">
        <f t="shared" si="57"/>
        <v>3307000</v>
      </c>
      <c r="O247" s="76">
        <f t="shared" si="57"/>
        <v>4000000</v>
      </c>
    </row>
    <row r="248" spans="1:15" s="52" customFormat="1" ht="53.25" customHeight="1" x14ac:dyDescent="0.25">
      <c r="A248" s="37">
        <v>9320</v>
      </c>
      <c r="B248" s="103" t="s">
        <v>45</v>
      </c>
      <c r="C248" s="6" t="s">
        <v>539</v>
      </c>
      <c r="D248" s="49">
        <f>'дод 3'!E122</f>
        <v>693000</v>
      </c>
      <c r="E248" s="49">
        <f>'дод 3'!F122</f>
        <v>693000</v>
      </c>
      <c r="F248" s="49">
        <f>'дод 3'!G122</f>
        <v>0</v>
      </c>
      <c r="G248" s="49">
        <f>'дод 3'!H122</f>
        <v>0</v>
      </c>
      <c r="H248" s="49">
        <f>'дод 3'!I122</f>
        <v>0</v>
      </c>
      <c r="I248" s="49">
        <f>'дод 3'!J122</f>
        <v>3307000</v>
      </c>
      <c r="J248" s="49">
        <f>'дод 3'!K122</f>
        <v>3307000</v>
      </c>
      <c r="K248" s="49">
        <f>'дод 3'!L122</f>
        <v>0</v>
      </c>
      <c r="L248" s="49">
        <f>'дод 3'!M122</f>
        <v>0</v>
      </c>
      <c r="M248" s="49">
        <f>'дод 3'!N122</f>
        <v>0</v>
      </c>
      <c r="N248" s="49">
        <f>'дод 3'!O122</f>
        <v>3307000</v>
      </c>
      <c r="O248" s="49">
        <f>'дод 3'!P122</f>
        <v>4000000</v>
      </c>
    </row>
    <row r="249" spans="1:15" s="53" customFormat="1" ht="36.75" customHeight="1" x14ac:dyDescent="0.25">
      <c r="A249" s="78"/>
      <c r="B249" s="105"/>
      <c r="C249" s="87" t="s">
        <v>541</v>
      </c>
      <c r="D249" s="80">
        <f>'дод 3'!E123</f>
        <v>693000</v>
      </c>
      <c r="E249" s="80">
        <f>'дод 3'!F123</f>
        <v>693000</v>
      </c>
      <c r="F249" s="80">
        <f>'дод 3'!G123</f>
        <v>0</v>
      </c>
      <c r="G249" s="80">
        <f>'дод 3'!H123</f>
        <v>0</v>
      </c>
      <c r="H249" s="80">
        <f>'дод 3'!I123</f>
        <v>0</v>
      </c>
      <c r="I249" s="80">
        <f>'дод 3'!J123</f>
        <v>3307000</v>
      </c>
      <c r="J249" s="80">
        <f>'дод 3'!K123</f>
        <v>3307000</v>
      </c>
      <c r="K249" s="80">
        <f>'дод 3'!L123</f>
        <v>0</v>
      </c>
      <c r="L249" s="80">
        <f>'дод 3'!M123</f>
        <v>0</v>
      </c>
      <c r="M249" s="80">
        <f>'дод 3'!N123</f>
        <v>0</v>
      </c>
      <c r="N249" s="80">
        <f>'дод 3'!O123</f>
        <v>3307000</v>
      </c>
      <c r="O249" s="80">
        <f>'дод 3'!P123</f>
        <v>4000000</v>
      </c>
    </row>
    <row r="250" spans="1:15" s="52" customFormat="1" ht="57.75" customHeight="1" x14ac:dyDescent="0.25">
      <c r="A250" s="38" t="s">
        <v>13</v>
      </c>
      <c r="B250" s="106"/>
      <c r="C250" s="2" t="s">
        <v>347</v>
      </c>
      <c r="D250" s="48">
        <f>D251+D252+D253</f>
        <v>104845344</v>
      </c>
      <c r="E250" s="48">
        <f t="shared" ref="E250:O250" si="58">E251+E252+E253</f>
        <v>104845344</v>
      </c>
      <c r="F250" s="48">
        <f t="shared" si="58"/>
        <v>0</v>
      </c>
      <c r="G250" s="48">
        <f t="shared" si="58"/>
        <v>0</v>
      </c>
      <c r="H250" s="48">
        <f t="shared" si="58"/>
        <v>0</v>
      </c>
      <c r="I250" s="48">
        <f t="shared" si="58"/>
        <v>17792619.600000001</v>
      </c>
      <c r="J250" s="48">
        <f t="shared" si="58"/>
        <v>17792619.600000001</v>
      </c>
      <c r="K250" s="48">
        <f t="shared" si="58"/>
        <v>0</v>
      </c>
      <c r="L250" s="48">
        <f t="shared" si="58"/>
        <v>0</v>
      </c>
      <c r="M250" s="48">
        <f t="shared" si="58"/>
        <v>0</v>
      </c>
      <c r="N250" s="48">
        <f t="shared" si="58"/>
        <v>17792619.600000001</v>
      </c>
      <c r="O250" s="48">
        <f t="shared" si="58"/>
        <v>122637963.59999999</v>
      </c>
    </row>
    <row r="251" spans="1:15" s="52" customFormat="1" ht="78.75" x14ac:dyDescent="0.25">
      <c r="A251" s="93">
        <v>9730</v>
      </c>
      <c r="B251" s="59" t="s">
        <v>45</v>
      </c>
      <c r="C251" s="60" t="s">
        <v>575</v>
      </c>
      <c r="D251" s="49">
        <f>'дод 3'!E260</f>
        <v>25000000</v>
      </c>
      <c r="E251" s="49">
        <f>'дод 3'!F260</f>
        <v>25000000</v>
      </c>
      <c r="F251" s="49">
        <f>'дод 3'!G260</f>
        <v>0</v>
      </c>
      <c r="G251" s="49">
        <f>'дод 3'!H260</f>
        <v>0</v>
      </c>
      <c r="H251" s="49">
        <f>'дод 3'!I260</f>
        <v>0</v>
      </c>
      <c r="I251" s="49">
        <f>'дод 3'!J260</f>
        <v>0</v>
      </c>
      <c r="J251" s="49">
        <f>'дод 3'!K260</f>
        <v>0</v>
      </c>
      <c r="K251" s="49">
        <f>'дод 3'!L260</f>
        <v>0</v>
      </c>
      <c r="L251" s="49">
        <f>'дод 3'!M260</f>
        <v>0</v>
      </c>
      <c r="M251" s="49">
        <f>'дод 3'!N260</f>
        <v>0</v>
      </c>
      <c r="N251" s="49">
        <f>'дод 3'!O260</f>
        <v>0</v>
      </c>
      <c r="O251" s="49">
        <f>'дод 3'!P260</f>
        <v>25000000</v>
      </c>
    </row>
    <row r="252" spans="1:15" ht="31.5" x14ac:dyDescent="0.25">
      <c r="A252" s="37">
        <v>9750</v>
      </c>
      <c r="B252" s="42" t="s">
        <v>45</v>
      </c>
      <c r="C252" s="60" t="s">
        <v>529</v>
      </c>
      <c r="D252" s="49">
        <f>'дод 3'!E284</f>
        <v>0</v>
      </c>
      <c r="E252" s="49">
        <f>'дод 3'!F284</f>
        <v>0</v>
      </c>
      <c r="F252" s="49">
        <f>'дод 3'!G284</f>
        <v>0</v>
      </c>
      <c r="G252" s="49">
        <f>'дод 3'!H284</f>
        <v>0</v>
      </c>
      <c r="H252" s="49">
        <f>'дод 3'!I284</f>
        <v>0</v>
      </c>
      <c r="I252" s="49">
        <f>'дод 3'!J284</f>
        <v>86000</v>
      </c>
      <c r="J252" s="49">
        <f>'дод 3'!K284</f>
        <v>86000</v>
      </c>
      <c r="K252" s="49">
        <f>'дод 3'!L284</f>
        <v>0</v>
      </c>
      <c r="L252" s="49">
        <f>'дод 3'!M284</f>
        <v>0</v>
      </c>
      <c r="M252" s="49">
        <f>'дод 3'!N284</f>
        <v>0</v>
      </c>
      <c r="N252" s="49">
        <f>'дод 3'!O284</f>
        <v>86000</v>
      </c>
      <c r="O252" s="49">
        <f>'дод 3'!P284</f>
        <v>86000</v>
      </c>
    </row>
    <row r="253" spans="1:15" s="52" customFormat="1" ht="22.5" customHeight="1" x14ac:dyDescent="0.25">
      <c r="A253" s="37" t="s">
        <v>14</v>
      </c>
      <c r="B253" s="42" t="s">
        <v>45</v>
      </c>
      <c r="C253" s="6" t="s">
        <v>356</v>
      </c>
      <c r="D253" s="49">
        <f>'дод 3'!E124+'дод 3'!E159+'дод 3'!E200+'дод 3'!E261</f>
        <v>79845344</v>
      </c>
      <c r="E253" s="49">
        <f>'дод 3'!F124+'дод 3'!F159+'дод 3'!F200+'дод 3'!F261</f>
        <v>79845344</v>
      </c>
      <c r="F253" s="49">
        <f>'дод 3'!G124+'дод 3'!G159+'дод 3'!G200+'дод 3'!G261</f>
        <v>0</v>
      </c>
      <c r="G253" s="49">
        <f>'дод 3'!H124+'дод 3'!H159+'дод 3'!H200+'дод 3'!H261</f>
        <v>0</v>
      </c>
      <c r="H253" s="49">
        <f>'дод 3'!I124+'дод 3'!I159+'дод 3'!I200+'дод 3'!I261</f>
        <v>0</v>
      </c>
      <c r="I253" s="49">
        <f>'дод 3'!J124+'дод 3'!J159+'дод 3'!J200+'дод 3'!J261</f>
        <v>17706619.600000001</v>
      </c>
      <c r="J253" s="49">
        <f>'дод 3'!K124+'дод 3'!K159+'дод 3'!K200+'дод 3'!K261</f>
        <v>17706619.600000001</v>
      </c>
      <c r="K253" s="49">
        <f>'дод 3'!L124+'дод 3'!L159+'дод 3'!L200+'дод 3'!L261</f>
        <v>0</v>
      </c>
      <c r="L253" s="49">
        <f>'дод 3'!M124+'дод 3'!M159+'дод 3'!M200+'дод 3'!M261</f>
        <v>0</v>
      </c>
      <c r="M253" s="49">
        <f>'дод 3'!N124+'дод 3'!N159+'дод 3'!N200+'дод 3'!N261</f>
        <v>0</v>
      </c>
      <c r="N253" s="49">
        <f>'дод 3'!O124+'дод 3'!O159+'дод 3'!O200+'дод 3'!O261</f>
        <v>17706619.600000001</v>
      </c>
      <c r="O253" s="49">
        <f>'дод 3'!P124+'дод 3'!P159+'дод 3'!P200+'дод 3'!P261</f>
        <v>97551963.599999994</v>
      </c>
    </row>
    <row r="254" spans="1:15" s="52" customFormat="1" ht="51" customHeight="1" x14ac:dyDescent="0.25">
      <c r="A254" s="38">
        <v>9800</v>
      </c>
      <c r="B254" s="39" t="s">
        <v>45</v>
      </c>
      <c r="C254" s="9" t="s">
        <v>367</v>
      </c>
      <c r="D254" s="48">
        <f>'дод 3'!E125+'дод 3'!E61</f>
        <v>2098399</v>
      </c>
      <c r="E254" s="48">
        <f>'дод 3'!F125+'дод 3'!F61</f>
        <v>2098399</v>
      </c>
      <c r="F254" s="48">
        <f>'дод 3'!G125+'дод 3'!G61</f>
        <v>0</v>
      </c>
      <c r="G254" s="48">
        <f>'дод 3'!H125+'дод 3'!H61</f>
        <v>0</v>
      </c>
      <c r="H254" s="48">
        <f>'дод 3'!I125+'дод 3'!I61</f>
        <v>0</v>
      </c>
      <c r="I254" s="48">
        <f>'дод 3'!J125+'дод 3'!J61</f>
        <v>1483000</v>
      </c>
      <c r="J254" s="48">
        <f>'дод 3'!K125+'дод 3'!K61</f>
        <v>1483000</v>
      </c>
      <c r="K254" s="48">
        <f>'дод 3'!L125+'дод 3'!L61</f>
        <v>0</v>
      </c>
      <c r="L254" s="48">
        <f>'дод 3'!M125+'дод 3'!M61</f>
        <v>0</v>
      </c>
      <c r="M254" s="48">
        <f>'дод 3'!N125+'дод 3'!N61</f>
        <v>0</v>
      </c>
      <c r="N254" s="48">
        <f>'дод 3'!O125+'дод 3'!O61</f>
        <v>1483000</v>
      </c>
      <c r="O254" s="48">
        <f>'дод 3'!P125+'дод 3'!P61</f>
        <v>3581399</v>
      </c>
    </row>
    <row r="255" spans="1:15" s="52" customFormat="1" ht="18.75" customHeight="1" x14ac:dyDescent="0.25">
      <c r="A255" s="7"/>
      <c r="B255" s="7"/>
      <c r="C255" s="2" t="s">
        <v>408</v>
      </c>
      <c r="D255" s="48">
        <f>D17+D24+D79+D100+D141+D146+D155+D167+D226+D242</f>
        <v>2296765017.0500002</v>
      </c>
      <c r="E255" s="48">
        <f t="shared" ref="E255:O255" si="59">E17+E24+E79+E100+E141+E146+E155+E167+E226+E242</f>
        <v>2194430216.1300001</v>
      </c>
      <c r="F255" s="48">
        <f t="shared" si="59"/>
        <v>1078837255</v>
      </c>
      <c r="G255" s="48">
        <f t="shared" si="59"/>
        <v>107607651</v>
      </c>
      <c r="H255" s="48">
        <f t="shared" si="59"/>
        <v>96756154.480000004</v>
      </c>
      <c r="I255" s="48">
        <f t="shared" si="59"/>
        <v>734993255.96000004</v>
      </c>
      <c r="J255" s="48">
        <f t="shared" si="59"/>
        <v>666405411.44000006</v>
      </c>
      <c r="K255" s="48">
        <f t="shared" si="59"/>
        <v>47787501.869999997</v>
      </c>
      <c r="L255" s="48">
        <f t="shared" si="59"/>
        <v>6033355</v>
      </c>
      <c r="M255" s="48">
        <f t="shared" si="59"/>
        <v>266522</v>
      </c>
      <c r="N255" s="48">
        <f t="shared" si="59"/>
        <v>687205754.08999991</v>
      </c>
      <c r="O255" s="48">
        <f t="shared" si="59"/>
        <v>3031758273.0100002</v>
      </c>
    </row>
    <row r="256" spans="1:15" s="53" customFormat="1" ht="18" customHeight="1" x14ac:dyDescent="0.25">
      <c r="A256" s="86"/>
      <c r="B256" s="86"/>
      <c r="C256" s="75" t="s">
        <v>401</v>
      </c>
      <c r="D256" s="76">
        <f>D25+D32+D196+D243+D175+D33</f>
        <v>485697135.60000002</v>
      </c>
      <c r="E256" s="76">
        <f t="shared" ref="E256:O256" si="60">E25+E32+E196+E243+E175+E33</f>
        <v>485697135.60000002</v>
      </c>
      <c r="F256" s="76">
        <f t="shared" si="60"/>
        <v>396066000</v>
      </c>
      <c r="G256" s="76">
        <f t="shared" si="60"/>
        <v>0</v>
      </c>
      <c r="H256" s="76">
        <f t="shared" si="60"/>
        <v>0</v>
      </c>
      <c r="I256" s="76">
        <f t="shared" si="60"/>
        <v>30538873.18</v>
      </c>
      <c r="J256" s="76">
        <f t="shared" si="60"/>
        <v>27045923.18</v>
      </c>
      <c r="K256" s="76">
        <f t="shared" si="60"/>
        <v>0</v>
      </c>
      <c r="L256" s="76">
        <f t="shared" si="60"/>
        <v>0</v>
      </c>
      <c r="M256" s="76">
        <f t="shared" si="60"/>
        <v>0</v>
      </c>
      <c r="N256" s="76">
        <f t="shared" si="60"/>
        <v>30538873.18</v>
      </c>
      <c r="O256" s="76">
        <f t="shared" si="60"/>
        <v>516236008.77999997</v>
      </c>
    </row>
    <row r="257" spans="1:513" s="53" customFormat="1" ht="31.5" x14ac:dyDescent="0.25">
      <c r="A257" s="86"/>
      <c r="B257" s="86"/>
      <c r="C257" s="75" t="s">
        <v>402</v>
      </c>
      <c r="D257" s="76">
        <f>D26+D27+D29+D103+D104+D105+D232+D31+D35+D82+D83+D147+D34+D170</f>
        <v>31056082.240000002</v>
      </c>
      <c r="E257" s="76">
        <f t="shared" ref="E257:O257" si="61">E26+E27+E29+E103+E104+E105+E232+E31+E35+E82+E83+E147+E34+E170</f>
        <v>31056082.240000002</v>
      </c>
      <c r="F257" s="76">
        <f t="shared" si="61"/>
        <v>4133559</v>
      </c>
      <c r="G257" s="76">
        <f t="shared" si="61"/>
        <v>0</v>
      </c>
      <c r="H257" s="76">
        <f t="shared" si="61"/>
        <v>0</v>
      </c>
      <c r="I257" s="76">
        <f t="shared" si="61"/>
        <v>10974978.050000001</v>
      </c>
      <c r="J257" s="76">
        <f t="shared" si="61"/>
        <v>10974978.050000001</v>
      </c>
      <c r="K257" s="76">
        <f t="shared" si="61"/>
        <v>0</v>
      </c>
      <c r="L257" s="76">
        <f t="shared" si="61"/>
        <v>0</v>
      </c>
      <c r="M257" s="76">
        <f t="shared" si="61"/>
        <v>0</v>
      </c>
      <c r="N257" s="76">
        <f t="shared" si="61"/>
        <v>10974978.050000001</v>
      </c>
      <c r="O257" s="76">
        <f t="shared" si="61"/>
        <v>42031060.289999999</v>
      </c>
    </row>
    <row r="258" spans="1:513" s="53" customFormat="1" ht="23.25" customHeight="1" x14ac:dyDescent="0.25">
      <c r="A258" s="71"/>
      <c r="B258" s="71"/>
      <c r="C258" s="83" t="s">
        <v>419</v>
      </c>
      <c r="D258" s="76">
        <f>D171</f>
        <v>0</v>
      </c>
      <c r="E258" s="76">
        <f t="shared" ref="E258:O258" si="62">E171</f>
        <v>0</v>
      </c>
      <c r="F258" s="76">
        <f t="shared" si="62"/>
        <v>0</v>
      </c>
      <c r="G258" s="76">
        <f t="shared" si="62"/>
        <v>0</v>
      </c>
      <c r="H258" s="76">
        <f t="shared" si="62"/>
        <v>0</v>
      </c>
      <c r="I258" s="76">
        <f t="shared" si="62"/>
        <v>127771665.12</v>
      </c>
      <c r="J258" s="76">
        <f t="shared" si="62"/>
        <v>127771665.12</v>
      </c>
      <c r="K258" s="76">
        <f t="shared" si="62"/>
        <v>0</v>
      </c>
      <c r="L258" s="76">
        <f t="shared" si="62"/>
        <v>0</v>
      </c>
      <c r="M258" s="76">
        <f t="shared" si="62"/>
        <v>0</v>
      </c>
      <c r="N258" s="76">
        <f t="shared" si="62"/>
        <v>127771665.12</v>
      </c>
      <c r="O258" s="76">
        <f t="shared" si="62"/>
        <v>127771665.12</v>
      </c>
    </row>
    <row r="259" spans="1:513" s="52" customFormat="1" ht="26.25" customHeight="1" x14ac:dyDescent="0.25">
      <c r="A259" s="63"/>
      <c r="B259" s="63"/>
      <c r="C259" s="64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</row>
    <row r="260" spans="1:513" s="52" customFormat="1" x14ac:dyDescent="0.25">
      <c r="A260" s="63"/>
      <c r="B260" s="63"/>
      <c r="C260" s="64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</row>
    <row r="261" spans="1:513" s="52" customFormat="1" ht="38.25" x14ac:dyDescent="0.55000000000000004">
      <c r="A261" s="63"/>
      <c r="B261" s="63"/>
      <c r="C261" s="64"/>
      <c r="D261" s="65"/>
      <c r="E261" s="65"/>
      <c r="F261" s="65"/>
      <c r="G261" s="65"/>
      <c r="H261" s="65"/>
      <c r="I261" s="65"/>
      <c r="J261" s="135"/>
      <c r="K261" s="65"/>
      <c r="L261" s="65"/>
      <c r="M261" s="65"/>
      <c r="N261" s="65"/>
      <c r="O261" s="65"/>
    </row>
    <row r="262" spans="1:513" s="52" customFormat="1" ht="38.25" x14ac:dyDescent="0.55000000000000004">
      <c r="A262" s="63"/>
      <c r="B262" s="63"/>
      <c r="C262" s="64"/>
      <c r="D262" s="65"/>
      <c r="E262" s="65"/>
      <c r="F262" s="65"/>
      <c r="G262" s="65"/>
      <c r="H262" s="65"/>
      <c r="I262" s="65"/>
      <c r="J262" s="135"/>
      <c r="K262" s="65"/>
      <c r="L262" s="65"/>
      <c r="M262" s="65"/>
      <c r="N262" s="65"/>
      <c r="O262" s="65"/>
    </row>
    <row r="263" spans="1:513" s="146" customFormat="1" ht="47.25" customHeight="1" x14ac:dyDescent="0.55000000000000004">
      <c r="A263" s="143" t="s">
        <v>621</v>
      </c>
      <c r="B263" s="144"/>
      <c r="C263" s="145"/>
      <c r="D263" s="135"/>
      <c r="E263" s="135"/>
      <c r="F263" s="135"/>
      <c r="G263" s="135"/>
      <c r="H263" s="135"/>
      <c r="I263" s="135"/>
      <c r="J263" s="47"/>
      <c r="K263" s="135"/>
      <c r="L263" s="135" t="s">
        <v>622</v>
      </c>
      <c r="M263" s="136"/>
      <c r="N263" s="136"/>
      <c r="O263" s="136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  <c r="BI263" s="147"/>
      <c r="BJ263" s="147"/>
      <c r="BK263" s="147"/>
      <c r="BL263" s="147"/>
      <c r="BM263" s="147"/>
      <c r="BN263" s="147"/>
      <c r="BO263" s="147"/>
      <c r="BP263" s="147"/>
      <c r="BQ263" s="147"/>
      <c r="BR263" s="147"/>
      <c r="BS263" s="147"/>
      <c r="BT263" s="147"/>
      <c r="BU263" s="147"/>
      <c r="BV263" s="147"/>
      <c r="BW263" s="147"/>
      <c r="BX263" s="147"/>
      <c r="BY263" s="147"/>
      <c r="BZ263" s="147"/>
      <c r="CA263" s="147"/>
      <c r="CB263" s="147"/>
      <c r="CC263" s="147"/>
      <c r="CD263" s="147"/>
      <c r="CE263" s="147"/>
      <c r="CF263" s="147"/>
      <c r="CG263" s="147"/>
      <c r="CH263" s="147"/>
      <c r="CI263" s="147"/>
      <c r="CJ263" s="147"/>
      <c r="CK263" s="147"/>
      <c r="CL263" s="147"/>
      <c r="CM263" s="147"/>
      <c r="CN263" s="147"/>
      <c r="CO263" s="147"/>
      <c r="CP263" s="147"/>
      <c r="CQ263" s="147"/>
      <c r="CR263" s="147"/>
      <c r="CS263" s="147"/>
      <c r="CT263" s="147"/>
      <c r="CU263" s="147"/>
      <c r="CV263" s="147"/>
      <c r="CW263" s="147"/>
      <c r="CX263" s="147"/>
      <c r="CY263" s="147"/>
      <c r="CZ263" s="147"/>
      <c r="DA263" s="147"/>
      <c r="DB263" s="147"/>
      <c r="DC263" s="147"/>
      <c r="DD263" s="147"/>
      <c r="DE263" s="147"/>
      <c r="DF263" s="147"/>
      <c r="DG263" s="147"/>
      <c r="DH263" s="147"/>
      <c r="DI263" s="147"/>
      <c r="DJ263" s="147"/>
      <c r="DK263" s="147"/>
      <c r="DL263" s="147"/>
      <c r="DM263" s="147"/>
      <c r="DN263" s="147"/>
      <c r="DO263" s="147"/>
      <c r="DP263" s="147"/>
      <c r="DQ263" s="147"/>
      <c r="DR263" s="147"/>
      <c r="DS263" s="147"/>
      <c r="DT263" s="147"/>
      <c r="DU263" s="147"/>
      <c r="DV263" s="147"/>
      <c r="DW263" s="147"/>
      <c r="DX263" s="147"/>
      <c r="DY263" s="147"/>
      <c r="DZ263" s="147"/>
      <c r="EA263" s="147"/>
      <c r="EB263" s="147"/>
      <c r="EC263" s="147"/>
      <c r="ED263" s="147"/>
      <c r="EE263" s="147"/>
      <c r="EF263" s="147"/>
      <c r="EG263" s="147"/>
      <c r="EH263" s="147"/>
      <c r="EI263" s="147"/>
      <c r="EJ263" s="147"/>
      <c r="EK263" s="147"/>
      <c r="EL263" s="147"/>
      <c r="EM263" s="147"/>
      <c r="EN263" s="147"/>
      <c r="EO263" s="147"/>
      <c r="EP263" s="147"/>
      <c r="EQ263" s="147"/>
      <c r="ER263" s="147"/>
      <c r="ES263" s="147"/>
      <c r="ET263" s="147"/>
      <c r="EU263" s="147"/>
      <c r="EV263" s="147"/>
      <c r="EW263" s="147"/>
      <c r="EX263" s="147"/>
      <c r="EY263" s="147"/>
      <c r="EZ263" s="147"/>
      <c r="FA263" s="147"/>
      <c r="FB263" s="147"/>
      <c r="FC263" s="147"/>
      <c r="FD263" s="147"/>
      <c r="FE263" s="147"/>
      <c r="FF263" s="147"/>
      <c r="FG263" s="147"/>
      <c r="FH263" s="147"/>
      <c r="FI263" s="147"/>
      <c r="FJ263" s="147"/>
      <c r="FK263" s="147"/>
      <c r="FL263" s="147"/>
      <c r="FM263" s="147"/>
      <c r="FN263" s="147"/>
      <c r="FO263" s="147"/>
      <c r="FP263" s="147"/>
      <c r="FQ263" s="147"/>
      <c r="FR263" s="147"/>
      <c r="FS263" s="147"/>
      <c r="FT263" s="147"/>
      <c r="FU263" s="147"/>
      <c r="FV263" s="147"/>
      <c r="FW263" s="147"/>
      <c r="FX263" s="147"/>
      <c r="FY263" s="147"/>
      <c r="FZ263" s="147"/>
      <c r="GA263" s="147"/>
      <c r="GB263" s="147"/>
      <c r="GC263" s="147"/>
      <c r="GD263" s="147"/>
      <c r="GE263" s="147"/>
      <c r="GF263" s="147"/>
      <c r="GG263" s="147"/>
      <c r="GH263" s="147"/>
      <c r="GI263" s="147"/>
      <c r="GJ263" s="147"/>
      <c r="GK263" s="147"/>
      <c r="GL263" s="147"/>
      <c r="GM263" s="147"/>
      <c r="GN263" s="147"/>
      <c r="GO263" s="147"/>
      <c r="GP263" s="147"/>
      <c r="GQ263" s="147"/>
      <c r="GR263" s="147"/>
      <c r="GS263" s="147"/>
      <c r="GT263" s="147"/>
      <c r="GU263" s="147"/>
      <c r="GV263" s="147"/>
      <c r="GW263" s="147"/>
      <c r="GX263" s="147"/>
      <c r="GY263" s="147"/>
      <c r="GZ263" s="147"/>
      <c r="HA263" s="147"/>
      <c r="HB263" s="147"/>
      <c r="HC263" s="147"/>
      <c r="HD263" s="147"/>
      <c r="HE263" s="147"/>
      <c r="HF263" s="147"/>
      <c r="HG263" s="147"/>
      <c r="HH263" s="147"/>
      <c r="HI263" s="147"/>
      <c r="HJ263" s="147"/>
      <c r="HK263" s="147"/>
      <c r="HL263" s="147"/>
      <c r="HM263" s="147"/>
      <c r="HN263" s="147"/>
      <c r="HO263" s="147"/>
      <c r="HP263" s="147"/>
      <c r="HQ263" s="147"/>
      <c r="HR263" s="147"/>
      <c r="HS263" s="147"/>
      <c r="HT263" s="147"/>
      <c r="HU263" s="147"/>
      <c r="HV263" s="147"/>
      <c r="HW263" s="147"/>
      <c r="HX263" s="147"/>
      <c r="HY263" s="147"/>
      <c r="HZ263" s="147"/>
      <c r="IA263" s="147"/>
      <c r="IB263" s="147"/>
      <c r="IC263" s="147"/>
      <c r="ID263" s="147"/>
      <c r="IE263" s="147"/>
      <c r="IF263" s="147"/>
      <c r="IG263" s="147"/>
      <c r="IH263" s="147"/>
      <c r="II263" s="147"/>
      <c r="IJ263" s="147"/>
      <c r="IK263" s="147"/>
      <c r="IL263" s="147"/>
      <c r="IM263" s="147"/>
      <c r="IN263" s="147"/>
      <c r="IO263" s="147"/>
      <c r="IP263" s="147"/>
      <c r="IQ263" s="147"/>
      <c r="IR263" s="147"/>
      <c r="IS263" s="147"/>
      <c r="IT263" s="147"/>
      <c r="IU263" s="147"/>
      <c r="IV263" s="147"/>
      <c r="IW263" s="147"/>
      <c r="IX263" s="147"/>
      <c r="IY263" s="147"/>
      <c r="IZ263" s="147"/>
      <c r="JA263" s="147"/>
      <c r="JB263" s="147"/>
      <c r="JC263" s="147"/>
      <c r="JD263" s="147"/>
      <c r="JE263" s="147"/>
      <c r="JF263" s="147"/>
      <c r="JG263" s="147"/>
      <c r="JH263" s="147"/>
      <c r="JI263" s="147"/>
      <c r="JJ263" s="147"/>
      <c r="JK263" s="147"/>
      <c r="JL263" s="147"/>
      <c r="JM263" s="147"/>
      <c r="JN263" s="147"/>
      <c r="JO263" s="147"/>
      <c r="JP263" s="147"/>
      <c r="JQ263" s="147"/>
      <c r="JR263" s="147"/>
      <c r="JS263" s="147"/>
      <c r="JT263" s="147"/>
      <c r="JU263" s="147"/>
      <c r="JV263" s="147"/>
      <c r="JW263" s="147"/>
      <c r="JX263" s="147"/>
      <c r="JY263" s="147"/>
      <c r="JZ263" s="147"/>
      <c r="KA263" s="147"/>
      <c r="KB263" s="147"/>
      <c r="KC263" s="147"/>
      <c r="KD263" s="147"/>
      <c r="KE263" s="147"/>
      <c r="KF263" s="147"/>
      <c r="KG263" s="147"/>
      <c r="KH263" s="147"/>
      <c r="KI263" s="147"/>
      <c r="KJ263" s="147"/>
      <c r="KK263" s="147"/>
      <c r="KL263" s="147"/>
      <c r="KM263" s="147"/>
      <c r="KN263" s="147"/>
      <c r="KO263" s="147"/>
      <c r="KP263" s="147"/>
      <c r="KQ263" s="147"/>
      <c r="KR263" s="147"/>
      <c r="KS263" s="147"/>
      <c r="KT263" s="147"/>
      <c r="KU263" s="147"/>
      <c r="KV263" s="147"/>
      <c r="KW263" s="147"/>
      <c r="KX263" s="147"/>
      <c r="KY263" s="147"/>
      <c r="KZ263" s="147"/>
      <c r="LA263" s="147"/>
      <c r="LB263" s="147"/>
      <c r="LC263" s="147"/>
      <c r="LD263" s="147"/>
      <c r="LE263" s="147"/>
      <c r="LF263" s="147"/>
      <c r="LG263" s="147"/>
      <c r="LH263" s="147"/>
      <c r="LI263" s="147"/>
      <c r="LJ263" s="147"/>
      <c r="LK263" s="147"/>
      <c r="LL263" s="147"/>
      <c r="LM263" s="147"/>
      <c r="LN263" s="147"/>
      <c r="LO263" s="147"/>
      <c r="LP263" s="147"/>
      <c r="LQ263" s="147"/>
      <c r="LR263" s="147"/>
      <c r="LS263" s="147"/>
      <c r="LT263" s="147"/>
      <c r="LU263" s="147"/>
      <c r="LV263" s="147"/>
      <c r="LW263" s="147"/>
      <c r="LX263" s="147"/>
      <c r="LY263" s="147"/>
      <c r="LZ263" s="147"/>
      <c r="MA263" s="147"/>
      <c r="MB263" s="147"/>
      <c r="MC263" s="147"/>
      <c r="MD263" s="147"/>
      <c r="ME263" s="147"/>
      <c r="MF263" s="147"/>
      <c r="MG263" s="147"/>
      <c r="MH263" s="147"/>
      <c r="MI263" s="147"/>
      <c r="MJ263" s="147"/>
      <c r="MK263" s="147"/>
      <c r="ML263" s="147"/>
      <c r="MM263" s="147"/>
      <c r="MN263" s="147"/>
      <c r="MO263" s="147"/>
      <c r="MP263" s="147"/>
      <c r="MQ263" s="147"/>
      <c r="MR263" s="147"/>
      <c r="MS263" s="147"/>
      <c r="MT263" s="147"/>
      <c r="MU263" s="147"/>
      <c r="MV263" s="147"/>
      <c r="MW263" s="147"/>
      <c r="MX263" s="147"/>
      <c r="MY263" s="147"/>
      <c r="MZ263" s="147"/>
      <c r="NA263" s="147"/>
      <c r="NB263" s="147"/>
      <c r="NC263" s="147"/>
      <c r="ND263" s="147"/>
      <c r="NE263" s="147"/>
      <c r="NF263" s="147"/>
      <c r="NG263" s="147"/>
      <c r="NH263" s="147"/>
      <c r="NI263" s="147"/>
      <c r="NJ263" s="147"/>
      <c r="NK263" s="147"/>
      <c r="NL263" s="147"/>
      <c r="NM263" s="147"/>
      <c r="NN263" s="147"/>
      <c r="NO263" s="147"/>
      <c r="NP263" s="147"/>
      <c r="NQ263" s="147"/>
      <c r="NR263" s="147"/>
      <c r="NS263" s="147"/>
      <c r="NT263" s="147"/>
      <c r="NU263" s="147"/>
      <c r="NV263" s="147"/>
      <c r="NW263" s="147"/>
      <c r="NX263" s="147"/>
      <c r="NY263" s="147"/>
      <c r="NZ263" s="147"/>
      <c r="OA263" s="147"/>
      <c r="OB263" s="147"/>
      <c r="OC263" s="147"/>
      <c r="OD263" s="147"/>
      <c r="OE263" s="147"/>
      <c r="OF263" s="147"/>
      <c r="OG263" s="147"/>
      <c r="OH263" s="147"/>
      <c r="OI263" s="147"/>
      <c r="OJ263" s="147"/>
      <c r="OK263" s="147"/>
      <c r="OL263" s="147"/>
      <c r="OM263" s="147"/>
      <c r="ON263" s="147"/>
      <c r="OO263" s="147"/>
      <c r="OP263" s="147"/>
      <c r="OQ263" s="147"/>
      <c r="OR263" s="147"/>
      <c r="OS263" s="147"/>
      <c r="OT263" s="147"/>
      <c r="OU263" s="147"/>
      <c r="OV263" s="147"/>
      <c r="OW263" s="147"/>
      <c r="OX263" s="147"/>
      <c r="OY263" s="147"/>
      <c r="OZ263" s="147"/>
      <c r="PA263" s="147"/>
      <c r="PB263" s="147"/>
      <c r="PC263" s="147"/>
      <c r="PD263" s="147"/>
      <c r="PE263" s="147"/>
      <c r="PF263" s="147"/>
      <c r="PG263" s="147"/>
      <c r="PH263" s="147"/>
      <c r="PI263" s="147"/>
      <c r="PJ263" s="147"/>
      <c r="PK263" s="147"/>
      <c r="PL263" s="147"/>
      <c r="PM263" s="147"/>
      <c r="PN263" s="147"/>
      <c r="PO263" s="147"/>
      <c r="PP263" s="147"/>
      <c r="PQ263" s="147"/>
      <c r="PR263" s="147"/>
      <c r="PS263" s="147"/>
      <c r="PT263" s="147"/>
      <c r="PU263" s="147"/>
      <c r="PV263" s="147"/>
      <c r="PW263" s="147"/>
      <c r="PX263" s="147"/>
      <c r="PY263" s="147"/>
      <c r="PZ263" s="147"/>
      <c r="QA263" s="147"/>
      <c r="QB263" s="147"/>
      <c r="QC263" s="147"/>
      <c r="QD263" s="147"/>
      <c r="QE263" s="147"/>
      <c r="QF263" s="147"/>
      <c r="QG263" s="147"/>
      <c r="QH263" s="147"/>
      <c r="QI263" s="147"/>
      <c r="QJ263" s="147"/>
      <c r="QK263" s="147"/>
      <c r="QL263" s="147"/>
      <c r="QM263" s="147"/>
      <c r="QN263" s="147"/>
      <c r="QO263" s="147"/>
      <c r="QP263" s="147"/>
      <c r="QQ263" s="147"/>
      <c r="QR263" s="147"/>
      <c r="QS263" s="147"/>
      <c r="QT263" s="147"/>
      <c r="QU263" s="147"/>
      <c r="QV263" s="147"/>
      <c r="QW263" s="147"/>
      <c r="QX263" s="147"/>
      <c r="QY263" s="147"/>
      <c r="QZ263" s="147"/>
      <c r="RA263" s="147"/>
      <c r="RB263" s="147"/>
      <c r="RC263" s="147"/>
      <c r="RD263" s="147"/>
      <c r="RE263" s="147"/>
      <c r="RF263" s="147"/>
      <c r="RG263" s="147"/>
      <c r="RH263" s="147"/>
      <c r="RI263" s="147"/>
      <c r="RJ263" s="147"/>
      <c r="RK263" s="147"/>
      <c r="RL263" s="147"/>
      <c r="RM263" s="147"/>
      <c r="RN263" s="147"/>
      <c r="RO263" s="147"/>
      <c r="RP263" s="147"/>
      <c r="RQ263" s="147"/>
      <c r="RR263" s="147"/>
      <c r="RS263" s="147"/>
      <c r="RT263" s="147"/>
      <c r="RU263" s="147"/>
      <c r="RV263" s="147"/>
      <c r="RW263" s="147"/>
      <c r="RX263" s="147"/>
      <c r="RY263" s="147"/>
      <c r="RZ263" s="147"/>
      <c r="SA263" s="147"/>
      <c r="SB263" s="147"/>
      <c r="SC263" s="147"/>
      <c r="SD263" s="147"/>
      <c r="SE263" s="147"/>
      <c r="SF263" s="147"/>
      <c r="SG263" s="147"/>
      <c r="SH263" s="147"/>
      <c r="SI263" s="147"/>
      <c r="SJ263" s="147"/>
      <c r="SK263" s="147"/>
      <c r="SL263" s="147"/>
      <c r="SM263" s="147"/>
      <c r="SN263" s="147"/>
      <c r="SO263" s="147"/>
      <c r="SP263" s="147"/>
      <c r="SQ263" s="147"/>
      <c r="SR263" s="147"/>
      <c r="SS263" s="147"/>
    </row>
    <row r="264" spans="1:513" s="28" customFormat="1" ht="30" customHeight="1" x14ac:dyDescent="0.45">
      <c r="A264" s="56"/>
      <c r="B264" s="61"/>
      <c r="C264" s="61"/>
      <c r="D264" s="35"/>
      <c r="E264" s="47"/>
      <c r="F264" s="47"/>
      <c r="G264" s="47"/>
      <c r="H264" s="47"/>
      <c r="I264" s="47"/>
      <c r="J264" s="138"/>
      <c r="K264" s="47"/>
      <c r="L264" s="47"/>
      <c r="M264" s="47"/>
      <c r="N264" s="47"/>
      <c r="O264" s="47"/>
    </row>
    <row r="265" spans="1:513" s="139" customFormat="1" ht="31.5" x14ac:dyDescent="0.45">
      <c r="A265" s="137" t="s">
        <v>620</v>
      </c>
      <c r="B265" s="137"/>
      <c r="C265" s="137"/>
      <c r="D265" s="137"/>
      <c r="E265" s="138"/>
      <c r="F265" s="138"/>
      <c r="G265" s="138"/>
      <c r="H265" s="138"/>
      <c r="I265" s="138"/>
      <c r="J265" s="125"/>
      <c r="K265" s="138"/>
      <c r="L265" s="138"/>
      <c r="M265" s="138"/>
      <c r="N265" s="138"/>
      <c r="O265" s="138"/>
    </row>
    <row r="266" spans="1:513" s="126" customFormat="1" ht="36" customHeight="1" x14ac:dyDescent="0.4">
      <c r="A266" s="157" t="s">
        <v>553</v>
      </c>
      <c r="B266" s="157"/>
      <c r="C266" s="128"/>
      <c r="D266" s="129"/>
      <c r="E266" s="125"/>
      <c r="F266" s="125"/>
      <c r="G266" s="125"/>
      <c r="H266" s="125"/>
      <c r="I266" s="125"/>
      <c r="J266" s="133"/>
      <c r="K266" s="125"/>
      <c r="L266" s="125"/>
      <c r="M266" s="125"/>
      <c r="N266" s="125"/>
      <c r="O266" s="125"/>
    </row>
    <row r="267" spans="1:513" s="133" customFormat="1" ht="26.25" x14ac:dyDescent="0.4">
      <c r="A267" s="130"/>
      <c r="B267" s="131"/>
      <c r="C267" s="132"/>
      <c r="J267" s="4"/>
    </row>
  </sheetData>
  <mergeCells count="25">
    <mergeCell ref="A266:B266"/>
    <mergeCell ref="O14:O16"/>
    <mergeCell ref="J4:O4"/>
    <mergeCell ref="J5:O5"/>
    <mergeCell ref="J6:O6"/>
    <mergeCell ref="J8:O8"/>
    <mergeCell ref="I14:N14"/>
    <mergeCell ref="A11:O11"/>
    <mergeCell ref="A12:O12"/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</mergeCells>
  <phoneticPr fontId="3" type="noConversion"/>
  <printOptions horizontalCentered="1"/>
  <pageMargins left="0" right="0" top="0.86614173228346458" bottom="0.47244094488188981" header="0" footer="0.31496062992125984"/>
  <pageSetup paperSize="9" scale="44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193" max="14" man="1"/>
    <brk id="2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8</vt:lpstr>
      <vt:lpstr>'дод 3'!Заголовки_для_печати</vt:lpstr>
      <vt:lpstr>'дод 8'!Заголовки_для_печати</vt:lpstr>
      <vt:lpstr>'дод 3'!Область_печати</vt:lpstr>
      <vt:lpstr>'дод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2021-09-30T12:03:11Z</cp:lastPrinted>
  <dcterms:created xsi:type="dcterms:W3CDTF">2014-01-17T10:52:16Z</dcterms:created>
  <dcterms:modified xsi:type="dcterms:W3CDTF">2021-10-01T05:40:01Z</dcterms:modified>
</cp:coreProperties>
</file>