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24" activeTab="36"/>
  </bookViews>
  <sheets>
    <sheet name="дод. зміни 2021 " sheetId="1" r:id="rId1"/>
    <sheet name="дод. зміни 2020 1" sheetId="2" state="hidden" r:id="rId2"/>
    <sheet name="дод. зміни 2020" sheetId="3" state="hidden" r:id="rId3"/>
    <sheet name="дод.9 зміни  2018" sheetId="4" state="hidden" r:id="rId4"/>
    <sheet name="дод 2" sheetId="5" r:id="rId5"/>
    <sheet name="дод 3  Трансп.інфрастр.   (2)" sheetId="6" r:id="rId6"/>
    <sheet name="дод 3  Трансп.інфрастр.  " sheetId="7" state="hidden" r:id="rId7"/>
    <sheet name="дод 4 Свет " sheetId="8" r:id="rId8"/>
    <sheet name="дод 5 озеленення " sheetId="9" state="hidden" r:id="rId9"/>
    <sheet name="дод 5 озеленення  (2)" sheetId="10" r:id="rId10"/>
    <sheet name="дод 6  Кладовща" sheetId="11" state="hidden" r:id="rId11"/>
    <sheet name="дод 6  Кладовища " sheetId="12" r:id="rId12"/>
    <sheet name="дод 7  сан очистка" sheetId="13" r:id="rId13"/>
    <sheet name="дод 8 Пот Благуострій" sheetId="14" r:id="rId14"/>
    <sheet name="дод 9  Тварини" sheetId="15" r:id="rId15"/>
    <sheet name="дод 10  Кап Благоустрою інші" sheetId="16" r:id="rId16"/>
    <sheet name="дод 11   кап ремонт житло " sheetId="17" state="hidden" r:id="rId17"/>
    <sheet name="дод 12 Святкові  " sheetId="18" state="hidden" r:id="rId18"/>
    <sheet name="202 дод 13   Вода " sheetId="19" state="hidden" r:id="rId19"/>
    <sheet name="дод 11   кап ремонт житло. " sheetId="20" r:id="rId20"/>
    <sheet name="дод 12 Святкові   " sheetId="21" r:id="rId21"/>
    <sheet name="дод 13 інша діяльність 6090" sheetId="22" r:id="rId22"/>
    <sheet name="дод 14   Вода  " sheetId="23" r:id="rId23"/>
    <sheet name="2020 дод 14  финпидтримка " sheetId="24" state="hidden" r:id="rId24"/>
    <sheet name="дод 15  финпидтримка  " sheetId="25" r:id="rId25"/>
    <sheet name="2020 дод 15  Енргозбер. заходи" sheetId="26" state="hidden" r:id="rId26"/>
    <sheet name="дод 16  цільовий фонд " sheetId="27" r:id="rId27"/>
    <sheet name="дод 17  Енргозбер. заходи" sheetId="28" r:id="rId28"/>
    <sheet name="2020 д16 стату зміцн.мат.тех.ба" sheetId="29" state="hidden" r:id="rId29"/>
    <sheet name="дод 18 статут зміцн.мат.тех." sheetId="30" r:id="rId30"/>
    <sheet name="2020 дод17  Субв. Сироватк " sheetId="31" state="hidden" r:id="rId31"/>
    <sheet name="дод 19  Субв. Сироватк (Крас " sheetId="32" r:id="rId32"/>
    <sheet name="2020 дод 18  паспорт дом " sheetId="33" state="hidden" r:id="rId33"/>
    <sheet name="дод 20  паспорт дом  " sheetId="34" r:id="rId34"/>
    <sheet name="2020дод 19 Буд,реставр. та реко" sheetId="35" state="hidden" r:id="rId35"/>
    <sheet name="дод.21 Буд.реставр. та реконстр" sheetId="36" r:id="rId36"/>
    <sheet name="дод 22 Поверн  бюдж позичок" sheetId="37" r:id="rId37"/>
    <sheet name="не вклю дод21 Надан бюдж позич " sheetId="38" state="hidden" r:id="rId38"/>
    <sheet name="дод.7 земля" sheetId="39" state="hidden" r:id="rId39"/>
    <sheet name="Лист3" sheetId="40" state="hidden" r:id="rId40"/>
    <sheet name="дод22  вузли комерц.обл.(ліч)" sheetId="41" state="hidden" r:id="rId41"/>
  </sheets>
  <definedNames>
    <definedName name="_xlnm.Print_Area" localSheetId="28">'2020 д16 стату зміцн.мат.тех.ба'!$A$1:$J$158</definedName>
    <definedName name="_xlnm.Print_Area" localSheetId="23">'2020 дод 14  финпидтримка '!$A$1:$K$40</definedName>
    <definedName name="_xlnm.Print_Area" localSheetId="17">'дод 12 Святкові  '!$A$1:$K$68</definedName>
    <definedName name="_xlnm.Print_Area" localSheetId="20">'дод 12 Святкові   '!$A$1:$K$61</definedName>
    <definedName name="_xlnm.Print_Area" localSheetId="21">'дод 13 інша діяльність 6090'!$A$1:$K$79</definedName>
    <definedName name="_xlnm.Print_Area" localSheetId="24">'дод 15  финпидтримка  '!$A$1:$K$47</definedName>
    <definedName name="_xlnm.Print_Area" localSheetId="26">'дод 16  цільовий фонд '!$A$1:$K$27</definedName>
    <definedName name="_xlnm.Print_Area" localSheetId="29">'дод 18 статут зміцн.мат.тех.'!$A$1:$J$142</definedName>
    <definedName name="_xlnm.Print_Area" localSheetId="6">'дод 3  Трансп.інфрастр.  '!$A$1:$H$46</definedName>
    <definedName name="_xlnm.Print_Area" localSheetId="5">'дод 3  Трансп.інфрастр.   (2)'!$A$1:$H$54</definedName>
    <definedName name="_xlnm.Print_Area" localSheetId="8">'дод 5 озеленення '!$A$1:$L$81</definedName>
    <definedName name="_xlnm.Print_Area" localSheetId="9">'дод 5 озеленення  (2)'!$A$1:$K$91</definedName>
    <definedName name="_xlnm.Print_Area" localSheetId="35">'дод.21 Буд.реставр. та реконстр'!$A$1:$S$67</definedName>
  </definedNames>
  <calcPr fullCalcOnLoad="1"/>
</workbook>
</file>

<file path=xl/sharedStrings.xml><?xml version="1.0" encoding="utf-8"?>
<sst xmlns="http://schemas.openxmlformats.org/spreadsheetml/2006/main" count="3382" uniqueCount="945">
  <si>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</si>
  <si>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</si>
  <si>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</si>
  <si>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</si>
  <si>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</si>
  <si>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</si>
  <si>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</si>
  <si>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</si>
  <si>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</si>
  <si>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</si>
  <si>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</si>
  <si>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</si>
  <si>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</si>
  <si>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</si>
  <si>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</si>
  <si>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</si>
  <si>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</si>
  <si>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</si>
  <si>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</si>
  <si>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</si>
  <si>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</si>
  <si>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</si>
  <si>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</si>
  <si>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</si>
  <si>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</si>
  <si>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</si>
  <si>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</si>
  <si>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</si>
  <si>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</si>
  <si>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</si>
  <si>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</si>
  <si>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</si>
  <si>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</si>
  <si>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</si>
  <si>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</si>
  <si>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</si>
  <si>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</si>
  <si>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</si>
  <si>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</si>
  <si>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</si>
  <si>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</si>
  <si>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</si>
  <si>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</si>
  <si>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</si>
  <si>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</si>
  <si>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</si>
  <si>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</si>
  <si>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</si>
  <si>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Департамент інфраструктури міста Сумської міської ради, КП "Міськводоканал" СМР та інші суб'єкти господарювання</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</si>
  <si>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</si>
  <si>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</si>
  <si>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</si>
  <si>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</si>
  <si>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</si>
  <si>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</si>
  <si>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</si>
  <si>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</si>
  <si>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</si>
  <si>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</si>
  <si>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</si>
  <si>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</si>
  <si>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</si>
  <si>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</si>
  <si>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</si>
  <si>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</si>
  <si>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</si>
  <si>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</si>
  <si>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</si>
  <si>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</si>
  <si>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Департамент інфраструктури міста Сумської міської ради, ОСББ та ЖБК</t>
  </si>
  <si>
    <t>Обласний бюджет</t>
  </si>
  <si>
    <t>Додаток 2</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</si>
  <si>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</si>
  <si>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</si>
  <si>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</si>
  <si>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</si>
  <si>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</si>
  <si>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</si>
  <si>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</si>
  <si>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</si>
  <si>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</si>
  <si>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</si>
  <si>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</si>
  <si>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</si>
  <si>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 п\п</t>
  </si>
  <si>
    <t>Догляд за деревами, в тому числі:</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</si>
  <si>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</si>
  <si>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</si>
  <si>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</si>
  <si>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</si>
  <si>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</si>
  <si>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</si>
  <si>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</si>
  <si>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</si>
  <si>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</si>
  <si>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</si>
  <si>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</si>
  <si>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</si>
  <si>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прибирання скошеної трави</t>
  </si>
  <si>
    <t>підсів трави на газонах</t>
  </si>
  <si>
    <t>весняне підживлення газонів</t>
  </si>
  <si>
    <t>просічування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</si>
  <si>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</si>
  <si>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</si>
  <si>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</si>
  <si>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</si>
  <si>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</si>
  <si>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</si>
  <si>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</si>
  <si>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</si>
  <si>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</si>
  <si>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</si>
  <si>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</si>
  <si>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</si>
  <si>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</si>
  <si>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</si>
  <si>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</si>
  <si>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</si>
  <si>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</si>
  <si>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</si>
  <si>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</si>
  <si>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</si>
  <si>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</si>
  <si>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</si>
  <si>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</si>
  <si>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</si>
  <si>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</si>
  <si>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</si>
  <si>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</si>
  <si>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</si>
  <si>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</si>
  <si>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</si>
  <si>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</si>
  <si>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Впровадження енергозберігаючих заходів</t>
  </si>
  <si>
    <t>Повернення бюджетних позичок на поворотній основі</t>
  </si>
  <si>
    <t xml:space="preserve">«Про затвердження  Комплексної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</si>
  <si>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</si>
  <si>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</si>
  <si>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</si>
  <si>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</si>
  <si>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</si>
  <si>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</si>
  <si>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</si>
  <si>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</si>
  <si>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</si>
  <si>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</si>
  <si>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</si>
  <si>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</si>
  <si>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</si>
  <si>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</si>
  <si>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</si>
  <si>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</si>
  <si>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</si>
  <si>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</si>
  <si>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</si>
  <si>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</si>
  <si>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</si>
  <si>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</si>
  <si>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</si>
  <si>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</si>
  <si>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</si>
  <si>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</si>
  <si>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</si>
  <si>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</si>
  <si>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</si>
  <si>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</si>
  <si>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</si>
  <si>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</si>
  <si>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</si>
  <si>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</si>
  <si>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</si>
  <si>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</si>
  <si>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</si>
  <si>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</si>
  <si>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</si>
  <si>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</si>
  <si>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</si>
  <si>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</si>
  <si>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</si>
  <si>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</si>
  <si>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</si>
  <si>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</si>
  <si>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</si>
  <si>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</si>
  <si>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</si>
  <si>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</si>
  <si>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</si>
  <si>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</si>
  <si>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</si>
  <si>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</si>
  <si>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</si>
  <si>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</si>
  <si>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</si>
  <si>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</si>
  <si>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</si>
  <si>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</si>
  <si>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</si>
  <si>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</si>
  <si>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</si>
  <si>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</si>
  <si>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</si>
  <si>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</si>
  <si>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</si>
  <si>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</si>
  <si>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</si>
  <si>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</si>
  <si>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</si>
  <si>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</si>
  <si>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</si>
  <si>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</si>
  <si>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</si>
  <si>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</si>
  <si>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</si>
  <si>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</si>
  <si>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</si>
  <si>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</si>
  <si>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</si>
  <si>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</si>
  <si>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</si>
  <si>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</si>
  <si>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</si>
  <si>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</si>
  <si>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</si>
  <si>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</si>
  <si>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</si>
  <si>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</si>
  <si>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Капітальний ремонт об'єктів благоустрою по зеленим насадженням</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</si>
  <si>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</si>
  <si>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</si>
  <si>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</si>
  <si>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</si>
  <si>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</si>
  <si>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</si>
  <si>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</si>
  <si>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</si>
  <si>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</si>
  <si>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</si>
  <si>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</si>
  <si>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</si>
  <si>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</si>
  <si>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</si>
  <si>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</si>
  <si>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</si>
  <si>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</si>
  <si>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</si>
  <si>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</si>
  <si>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</si>
  <si>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</si>
  <si>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</si>
  <si>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</si>
  <si>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</si>
  <si>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</si>
  <si>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</si>
  <si>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</si>
  <si>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</si>
  <si>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</si>
  <si>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</si>
  <si>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</si>
  <si>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</si>
  <si>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</si>
  <si>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</si>
  <si>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</si>
  <si>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</si>
  <si>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</si>
  <si>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</si>
  <si>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</si>
  <si>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</si>
  <si>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</si>
  <si>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</si>
  <si>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 xml:space="preserve">Будівництво зливної каналізації по вул.Косівщинській, вул.Кавалерідзе, вул.Нахімова, вул. Дарвіна, вул.Жуковського, вул.Макаренка </t>
  </si>
  <si>
    <t>Будівництво кабельної лінії електроживлення (резервний кабель) каналізаційно – насосної станції по вул. Привокзальна, 4/13</t>
  </si>
  <si>
    <t>Будівництво свердловини №15 на нижню крейду з розширеним контуром на Лепехівському водозаборі м.Суми</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</si>
  <si>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</si>
  <si>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</si>
  <si>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Реконструкція хлорного господарства на очисних спорудах м. Суми з переведенням на гіпохлорит натрію</t>
  </si>
  <si>
    <t>Залишок субвенції на реконструкцію багатофункціонального спортивного майданчика вул. Новомістенська, 4</t>
  </si>
  <si>
    <t xml:space="preserve">Реконструкція  аварійного  самотічного колектора Д-400 по вул. Білопільський шлях  від КНС -7 до району Тепличного </t>
  </si>
  <si>
    <t xml:space="preserve">Будівництво  пандусів до житлових будинків </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</si>
  <si>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</si>
  <si>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Реконструкція системи електрозабезпечення 48-квартирного будинку по вулиці Холодногірська, 30/1 м. Суми</t>
  </si>
  <si>
    <t>Будівництво міського пляжу в парку ім. І.М. Кожедуба</t>
  </si>
  <si>
    <t>Будівництво скейт-парку в парку ім. І.М. Кожедуба</t>
  </si>
  <si>
    <t>Міні-скейт парк на Роменсьеій</t>
  </si>
  <si>
    <t>Будівництво, реконструкція, та реставрація,  в т.ч:</t>
  </si>
  <si>
    <t>Будівництво напірного каналізаційного колектору від КНС-9 до пр.Михайла Лушпи в м.Суми з переврізкою в збудований напірний колектор</t>
  </si>
  <si>
    <t>Будівництво напірного каналізаційного колектору від КНС-6 до вул.Прокоф'єва в м.Суми з переврізкою в збудований напірний колектор</t>
  </si>
  <si>
    <t>Реконструкція каналізаційного самопливного колектору Д-1000 мм по вул.1-ша Набережна р.Стрілка</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</si>
  <si>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</si>
  <si>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</si>
  <si>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</si>
  <si>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Заходи з будівництва, реставрації та реконструкції</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</si>
  <si>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</si>
  <si>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</si>
  <si>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</si>
  <si>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</si>
  <si>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</si>
  <si>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</si>
  <si>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</si>
  <si>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</si>
  <si>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</si>
  <si>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</si>
  <si>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</si>
  <si>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</si>
  <si>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</si>
  <si>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</si>
  <si>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</si>
  <si>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Будівництво огорожі для Комунальної установи Сумська загальноосвітня школа I-III ступенів №22, імені Ігоря Гольченка, вул.Ковпака,57</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</si>
  <si>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</si>
  <si>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</si>
  <si>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</si>
  <si>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</si>
  <si>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</si>
  <si>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</si>
  <si>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</si>
  <si>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</si>
  <si>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</si>
  <si>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</si>
  <si>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</si>
  <si>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</si>
  <si>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</si>
  <si>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</si>
  <si>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</si>
  <si>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</si>
  <si>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</si>
  <si>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</si>
  <si>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</si>
  <si>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</si>
  <si>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</si>
  <si>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</si>
  <si>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</si>
  <si>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</si>
  <si>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</si>
  <si>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</si>
  <si>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</si>
  <si>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</si>
  <si>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</si>
  <si>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</si>
  <si>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</si>
  <si>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</si>
  <si>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</si>
  <si>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</si>
  <si>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</si>
  <si>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</si>
  <si>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</si>
  <si>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</si>
  <si>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</si>
  <si>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</si>
  <si>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</si>
  <si>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</si>
  <si>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</si>
  <si>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</si>
  <si>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</si>
  <si>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</si>
  <si>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</si>
  <si>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</si>
  <si>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</si>
  <si>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</si>
  <si>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</si>
  <si>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</si>
  <si>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</si>
  <si>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</si>
  <si>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</si>
  <si>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</si>
  <si>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</si>
  <si>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</si>
  <si>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</si>
  <si>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</si>
  <si>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</si>
  <si>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</si>
  <si>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</si>
  <si>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</si>
  <si>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</si>
  <si>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</si>
  <si>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</si>
  <si>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</si>
  <si>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</si>
  <si>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</si>
  <si>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</si>
  <si>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</si>
  <si>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</si>
  <si>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</si>
  <si>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</si>
  <si>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</si>
  <si>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</si>
  <si>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</si>
  <si>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</si>
  <si>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</si>
  <si>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</si>
  <si>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</si>
  <si>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</si>
  <si>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</si>
  <si>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</si>
  <si>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</si>
  <si>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</si>
  <si>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</si>
  <si>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</si>
  <si>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</si>
  <si>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 xml:space="preserve">Загальні витрати </t>
  </si>
  <si>
    <t>Джерела фінансуван-ня</t>
  </si>
  <si>
    <t>2018                (план)</t>
  </si>
  <si>
    <t>2019                 (план)</t>
  </si>
  <si>
    <t xml:space="preserve">Загальні витрати     </t>
  </si>
  <si>
    <t>2018                   (план)</t>
  </si>
  <si>
    <t>2019              (план)</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</si>
  <si>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</si>
  <si>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</si>
  <si>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</si>
  <si>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</si>
  <si>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</si>
  <si>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</si>
  <si>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</si>
  <si>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</si>
  <si>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</si>
  <si>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</si>
  <si>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</si>
  <si>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</si>
  <si>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</si>
  <si>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</si>
  <si>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</si>
  <si>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</si>
  <si>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</si>
  <si>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</si>
  <si>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</si>
  <si>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</si>
  <si>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</si>
  <si>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2020     (прогноз)</t>
  </si>
  <si>
    <t>(тис.грн.)</t>
  </si>
  <si>
    <t>2018   (план)</t>
  </si>
  <si>
    <t>2018              (план)</t>
  </si>
  <si>
    <t>2019    (план)</t>
  </si>
  <si>
    <t>2018                       (план)</t>
  </si>
  <si>
    <t>2019   (план)</t>
  </si>
  <si>
    <t>2018    (план)</t>
  </si>
  <si>
    <t>2020   (прогноз)</t>
  </si>
  <si>
    <t>(тис. грн.)</t>
  </si>
  <si>
    <t>Потреба коштів всього</t>
  </si>
  <si>
    <t>2019                       (план)</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</si>
  <si>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</si>
  <si>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</si>
  <si>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</si>
  <si>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</si>
  <si>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</si>
  <si>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</si>
  <si>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</si>
  <si>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</si>
  <si>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Надання бюджетних позичок на поворотній основі на 2018 - 2020 роки</t>
  </si>
  <si>
    <t>Додаток 3</t>
  </si>
  <si>
    <t>Додаток 4</t>
  </si>
  <si>
    <t>Додаток  6</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</si>
  <si>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</si>
  <si>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</si>
  <si>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</si>
  <si>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</si>
  <si>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</si>
  <si>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</si>
  <si>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</si>
  <si>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</si>
  <si>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</si>
  <si>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</si>
  <si>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</si>
  <si>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</si>
  <si>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</si>
  <si>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</si>
  <si>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</si>
  <si>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</si>
  <si>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</si>
  <si>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</si>
  <si>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</si>
  <si>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</si>
  <si>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6.1</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</si>
  <si>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</si>
  <si>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</si>
  <si>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</si>
  <si>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Реконструкція мереж газопостачання до житлових будинків військового містечка по вул. Герасима Кондратьєва, 165 в м.Суми</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</si>
  <si>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</si>
  <si>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КПКВК 1217640</t>
  </si>
  <si>
    <t>4.1</t>
  </si>
  <si>
    <t>КПКВК 1216090</t>
  </si>
  <si>
    <t>Будівництво спортивного майданчика «Атом-воркаут» по просп. Курський, 103» (на реалізацію громадського проекту № 55)</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</si>
  <si>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</si>
  <si>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</si>
  <si>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</si>
  <si>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Виконавець: Павленко В.І.</t>
  </si>
  <si>
    <t>Капітальний ремонт туалетів у сквері "Дружба"</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</si>
  <si>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</si>
  <si>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</si>
  <si>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</si>
  <si>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</si>
  <si>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</si>
  <si>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</si>
  <si>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</si>
  <si>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</si>
  <si>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Реконструкція каналізаційної насосної станції  за адресою м.Суми вул.Привокзальна 4/13</t>
  </si>
  <si>
    <t>Нове будівництво мереж зовнішнього освітлення на сонячних батареях на території Піщанського старостинського округу</t>
  </si>
  <si>
    <t xml:space="preserve">Нове будівництво підземних контейнерних майданчиків </t>
  </si>
  <si>
    <t>Нове будівництво напірного каналізаційного колектору від КНС-6 до вул. Прокоф'єва в м. Суми з переврізкою в збудований напірний колектор (друга нитка)</t>
  </si>
  <si>
    <t>Нове будівництво дитячих та спортивних майданчиків</t>
  </si>
  <si>
    <t>Реконструкція підпірної гідроспоруди під Шевченківським мостом</t>
  </si>
  <si>
    <t>Реконструкція парку ім.І.М.Кожедуба</t>
  </si>
  <si>
    <t>Нове будівництво тортуару вздовж дороги в селі Верхнє Піщане по вул. Парнянській (з обох сторін проїзної частини)</t>
  </si>
  <si>
    <t>КПКВК 1216020</t>
  </si>
  <si>
    <t>КПКВК 1216013</t>
  </si>
  <si>
    <t>5.2</t>
  </si>
  <si>
    <t>6.2</t>
  </si>
  <si>
    <t>6.3</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</si>
  <si>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</si>
  <si>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</si>
  <si>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Садіння квіткових рослин (цибулинних)(у тому числі і багаторічних) у квітках з усіма попередніми супровідними роботами, в тому числі догляд за трояндами</t>
  </si>
  <si>
    <t>збирання та вивезення сміття та опалого листя по загальних обєктах міста</t>
  </si>
  <si>
    <t>косіння (викошування) та прибирання скошеної трави на газонах у скверах, парках міста</t>
  </si>
  <si>
    <t>Видалення сухостійних (порослі) та аварійних дерев з навантаженням та вивезенням деревени</t>
  </si>
  <si>
    <t>Утримання майданчику для складування відходів по вул. Р.Лукаша</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</si>
  <si>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</si>
  <si>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</si>
  <si>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</si>
  <si>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</si>
  <si>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6.4</t>
  </si>
  <si>
    <t>6.5</t>
  </si>
  <si>
    <t>6.6</t>
  </si>
  <si>
    <t>6.7</t>
  </si>
  <si>
    <t>7.1</t>
  </si>
  <si>
    <t>8.1</t>
  </si>
  <si>
    <t>8.2</t>
  </si>
  <si>
    <t xml:space="preserve"> Сумський міський голова</t>
  </si>
  <si>
    <t>Проведення ремонту об'єктів транспортної інфраструктури  Сумської міської об'єднаної територіальної громади на 2018 - 2020 роки</t>
  </si>
  <si>
    <t>Забезпечення функціонування мереж зовнішнього освітлення Сумської міської об'єднаної територіальної громади на 2018 - 2020 роки</t>
  </si>
  <si>
    <t>Збереження та утримання на належному рівні зеленої зони Сумської міської об'єднаної територіальної громади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</si>
  <si>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Сумської міської об'єднаної територіальної громади, організація громадських робіт на 2018 - 2020 роки</t>
  </si>
  <si>
    <t>Капітальний ремонт обєктів житлового господарства Сумської міської об'єднаної територіальної громади на 2018 - 2020 роки</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</si>
  <si>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t>
  </si>
  <si>
    <t>Забезпечення функціонування водопровідно-каналізаційного господарства Сумської міської об'єднаної територіальної громади                                                                                           на 2018 - 2020 роки</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</si>
  <si>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об'єднаної територіальної громади на 2018 - 2020 роки</t>
    </r>
  </si>
  <si>
    <t>Забезпечення зміцнення матеріально-технічної бази підприємств комунальної форми власності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</si>
  <si>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</si>
  <si>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</si>
  <si>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Реконструкція дитячого парку "Казка" в м.Суми </t>
  </si>
  <si>
    <t>Нове будівництво дитячого майданчика на території дитячого парку "Казка"</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</si>
  <si>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</si>
  <si>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</si>
  <si>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</si>
  <si>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"Про внесення змін до рішення Сумської міської</t>
  </si>
  <si>
    <t>ради від 21 грудня 2017 року № 2913-МР</t>
  </si>
  <si>
    <t>на  2018- 2020  роки» ( зі змінами)</t>
  </si>
  <si>
    <t xml:space="preserve">від                                        № </t>
  </si>
  <si>
    <t>Відшкодування з міського бюджету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</si>
  <si>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Поточний ремонт та утримання в належному стані об'єктів благоустрою  на 2018 - 2020 роки</t>
  </si>
  <si>
    <t>Міський бюджет, обласний бюджет, бюджет ОТГ</t>
  </si>
  <si>
    <t>Міський бюджет, Бюджет ОТГ</t>
  </si>
  <si>
    <t>Забезпечення проведення капітального ремонту  проїздів, велосипедних доріжок, внутрішньоквартальних проїзних доріг та тротуарів, тротуарівв до шкіл та садочків</t>
  </si>
  <si>
    <t>Капітальний ремонт пішоходного переходу на перехресті вул. Харківська та Героїв Сумщини</t>
  </si>
  <si>
    <t>Будівництво зливової каналізації по вул.Криничній</t>
  </si>
  <si>
    <t>Фінансова підтримка, в тому числі:</t>
  </si>
  <si>
    <t>10.1</t>
  </si>
  <si>
    <t>10.2</t>
  </si>
  <si>
    <t>оплата електроенергії</t>
  </si>
  <si>
    <t>погашення заборгованості за судовим рішенням</t>
  </si>
  <si>
    <t xml:space="preserve">                                                                                                                                                                                                                                                                                                                                                                                                                                                                                        </t>
  </si>
  <si>
    <t>3</t>
  </si>
  <si>
    <t>Виконавець: Журба О.І.</t>
  </si>
  <si>
    <t xml:space="preserve">          Виконавець: Журба О.І.                      </t>
  </si>
  <si>
    <t>Виконавець:  Журба О.І.</t>
  </si>
  <si>
    <t>програми  реформування і розвитку житлово-</t>
  </si>
  <si>
    <t>комунального господарства Сумської об"єднаної</t>
  </si>
  <si>
    <t>територіальної громади на 2018-2020 роки,</t>
  </si>
  <si>
    <t>затвердженої рішенням Сумської міської ради</t>
  </si>
  <si>
    <t>від 21 грудня 2017 року № 2913-МР (зі змінами)</t>
  </si>
  <si>
    <t>"Про внесення змін до Комплексної цільової програми</t>
  </si>
  <si>
    <t xml:space="preserve"> реформування і розвитку житлово-комунального</t>
  </si>
  <si>
    <t>міської ради від 21 грудня 2017 року № 2913-МР (зі змінами)</t>
  </si>
  <si>
    <t>комунального господарства Сумської об'єднаної</t>
  </si>
  <si>
    <t>"Про внесення змін до Комплексної  цільової програми</t>
  </si>
  <si>
    <t xml:space="preserve">реформування і розвитку житлово-комунального </t>
  </si>
  <si>
    <t>на 2018-2020 роки, затвердженої рішенням Сумської міської ради</t>
  </si>
  <si>
    <t>господарства Сумської об'єднаної територіальної громади</t>
  </si>
  <si>
    <t xml:space="preserve"> Сумський міський голова </t>
  </si>
  <si>
    <t xml:space="preserve">програми  реформування і розвитку житлово- </t>
  </si>
  <si>
    <t xml:space="preserve">комунального господарства Сумської об'єднаної </t>
  </si>
  <si>
    <t>територіальтної громади на 2018-2020 роки</t>
  </si>
  <si>
    <t xml:space="preserve">затвердженої рішенням Сумської міської ради </t>
  </si>
  <si>
    <t xml:space="preserve">програми реформування і розвитку житлово- </t>
  </si>
  <si>
    <t>комунального господарства Сумької об'єднаної</t>
  </si>
  <si>
    <t xml:space="preserve">"Про внесення змін до Комплексної цільової </t>
  </si>
  <si>
    <t>Фінансова підтримка КП "Шляхрембуд" СМР в т.ч.</t>
  </si>
  <si>
    <t>Департамент інфраструктури міста Сумської міської ради, КП "Шляхрембуд" СМР</t>
  </si>
  <si>
    <t>Поточний ремонт приміщення комунальної власності по проспекту Курський,103</t>
  </si>
  <si>
    <t xml:space="preserve">реформування і розвитку житлово-комунального господарства </t>
  </si>
  <si>
    <t xml:space="preserve">Сумської об'єднаної територіальної  громади </t>
  </si>
  <si>
    <t xml:space="preserve">на  2018- 2020  роки, затвердженої рішенням Сумської </t>
  </si>
  <si>
    <t>Директор Департаменту</t>
  </si>
  <si>
    <t>О.І. Журба</t>
  </si>
  <si>
    <t>2.1.1</t>
  </si>
  <si>
    <t>Забезпечення проведення поточного ремонту вулично-дорожньої мережі та штучних споруд за рахунок субвенції з державного бюджету в т.ч.</t>
  </si>
  <si>
    <t>поточний ремонт вулично-дорожньої мережі та штучних споруд  м.Суми, вул.Харківська</t>
  </si>
  <si>
    <t xml:space="preserve">Забезпечення проведення утримання вулично-дорожньої мережі та штучних споруд, в т.ч. </t>
  </si>
  <si>
    <t>Департамент інфраструктури міста СМР,   КП "Шляхрембуд" СМР та інші суб'єкти господарювання</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</si>
  <si>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</si>
  <si>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</si>
  <si>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</si>
  <si>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</si>
  <si>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</si>
  <si>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</si>
  <si>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</si>
  <si>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</si>
  <si>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</si>
  <si>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об"єднаної територіальної громади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</si>
  <si>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Встановлення вузлів  комерційного обліку в житлових будинках м.Суми</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</si>
  <si>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</si>
  <si>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</si>
  <si>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 xml:space="preserve">Нове будівництво підземного контейнерного майданчику за адресою: м. Суми, проспект Михайла Лушпи, буд. 7 </t>
  </si>
  <si>
    <t>Нове будівництво зони відпочинку на річці Псел по пров. Дачний,9</t>
  </si>
  <si>
    <t>Нове будівництво дитячого та спортивного майданчика в районі будинків по вул. Г. Кондратьєва, буд. 160в, 158/1,158/2,158/3,158/4</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</si>
  <si>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</si>
  <si>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Нове будівництво ділянки водогону за адресою: м. Суми, с. Піщане, вул. Вишнева</t>
  </si>
  <si>
    <t>Нове будівництво ділянки водогону за адресою: м. Суми, с. Піщане, вул. Шкільна від будинку № 29</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</si>
  <si>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</si>
  <si>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 xml:space="preserve"> КПКВК 1216030                                                                                                                                                                                                                                                                                                                                                                                  </t>
  </si>
  <si>
    <t xml:space="preserve">додаток  3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</si>
  <si>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 КПКВК 1216090       </t>
  </si>
  <si>
    <t xml:space="preserve">додаток  6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</si>
  <si>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</si>
  <si>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</si>
  <si>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</si>
  <si>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</si>
  <si>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</si>
  <si>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</si>
  <si>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t>
  </si>
  <si>
    <t>Надання послуг з очищення свердловини в с.В.Піщане</t>
  </si>
  <si>
    <t>Забезпечення функціонування водопровідно-каналізаційного господарства Сумської міської об'єднаної територіальної громади  на 2018 - 2020 роки</t>
  </si>
  <si>
    <t>Фінансова підтримка, в тому числі: погашення заборгованості за судовим рішенням</t>
  </si>
  <si>
    <t>4.2</t>
  </si>
  <si>
    <t>4.3</t>
  </si>
  <si>
    <t>4.4</t>
  </si>
  <si>
    <t>5</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</si>
  <si>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</si>
  <si>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6</t>
  </si>
  <si>
    <t>6.8</t>
  </si>
  <si>
    <t>7</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</si>
  <si>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</si>
  <si>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КПКВК 1217310</t>
  </si>
  <si>
    <t>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</si>
  <si>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</si>
  <si>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3.5</t>
  </si>
  <si>
    <t>Здійснення просвітницької діяльності серед населення міста Суми у сфері житлово-комунального господарства (друк буклетів)</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</si>
  <si>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</si>
  <si>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</si>
  <si>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</si>
  <si>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</si>
  <si>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</si>
  <si>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КПКВК 1218110</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</si>
  <si>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</si>
  <si>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</si>
  <si>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 xml:space="preserve">від 22 липня 2020 року № 7118-МР </t>
  </si>
  <si>
    <t>від 22 липня 2020 року № 7118-МР</t>
  </si>
  <si>
    <t xml:space="preserve">від 22 липня 2020 року № 7118-МР   </t>
  </si>
  <si>
    <t>територіальної громади на 2021-2023 роки,</t>
  </si>
  <si>
    <t xml:space="preserve">від                           №  </t>
  </si>
  <si>
    <t>Повернення бюджетних позичок на поворотній основі на 2021 - 2023 роки</t>
  </si>
  <si>
    <t>Бюджет ТГ</t>
  </si>
  <si>
    <t>Бюджет ТГ (цільовий фонд)</t>
  </si>
  <si>
    <t>"Про Комплексну цільову</t>
  </si>
  <si>
    <t xml:space="preserve">комунального господарства Сумської міської </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</si>
  <si>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</si>
  <si>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</si>
  <si>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</si>
  <si>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</si>
  <si>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</si>
  <si>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</si>
  <si>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</si>
  <si>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</si>
  <si>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</si>
  <si>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</si>
  <si>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</si>
  <si>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</si>
  <si>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</si>
  <si>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</si>
  <si>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</si>
  <si>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</si>
  <si>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</si>
  <si>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</si>
  <si>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</si>
  <si>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</si>
  <si>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</si>
  <si>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</si>
  <si>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</si>
  <si>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</si>
  <si>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</si>
  <si>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</si>
  <si>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</si>
  <si>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</si>
  <si>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</si>
  <si>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</si>
  <si>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</si>
  <si>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</si>
  <si>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</si>
  <si>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 xml:space="preserve">Реконструкція інших об’єктів  * </t>
  </si>
  <si>
    <t>"Про затвердженої Комплексної цільової</t>
  </si>
  <si>
    <t>Капітальний ремонт інших обєктів</t>
  </si>
  <si>
    <t>Капітальний ремонт приміщення за адресою м.Суми вул.Горького, 21 (3 поверх)</t>
  </si>
  <si>
    <t>Забезпечення надійного та безперебійного функціонування житлово-експлуатаційного господарства                                                                                                                                                                                                                                              на 2021 - 2023 роки</t>
  </si>
  <si>
    <t>Додаток 18</t>
  </si>
  <si>
    <t>2023 (прогноз)</t>
  </si>
  <si>
    <t>Додаток 16</t>
  </si>
  <si>
    <t xml:space="preserve"> бюджет ТГ</t>
  </si>
  <si>
    <t>Поповнення статутного капіталу  КП «Сумижилкомсервіс» СМР (придбання Повнопривідного самоскида HOWO)</t>
  </si>
  <si>
    <t>Поповнення статутного капіталу  КП «Сумижилкомсервіс» СМР (придбання Компактору SINOWAY SWLC228  )</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</si>
  <si>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</si>
  <si>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</si>
  <si>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"Міськводоканал" СМР  (Придбання запірної арматури  до системи водопостачання (Д 50 мм - 20 шт, Д 100 мм- 50 шт, Д 150 мм - 20 шт, Д 200 мм - 10 шт, Д 300 мм - 10 шт, Д 400-500 мм - 10 шт)</t>
  </si>
  <si>
    <t>Поповнення статутного капіталу  КП "Міськводоканал" СМР (Придбання запірної арматури  до системи водовідведення (Д 100 мм- 15 шт, Д 150 мм - 5 шт, Д 200 мм - 10 шт, Д 400 мм - 59 шт, Д 600 мм - 5 шт.)</t>
  </si>
  <si>
    <t>Поповнення статутного капіталу  КП "Міськводоканал" СМР   (придбання ремонтно-відновлювальна машина (РВМ) АСАМ-22 на базі шасі 4371N2 Евро5)</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</si>
  <si>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</si>
  <si>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</si>
  <si>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Впровадження енергозберігаючих заходів  на 2021 - 2023 роки</t>
  </si>
  <si>
    <t>Забезпечення зміцнення матеріально-технічної бази підприємств комунальної форми власності Сумської міської територіальної громади на 2021 - 2023 роки</t>
  </si>
  <si>
    <t>Фінансова підтримка КП «Центр догляду за тваринами» СМР</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</si>
  <si>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2021 - 2023 роки</t>
    </r>
  </si>
  <si>
    <t>на облаштування розвантажувального майданчика на полігоні</t>
  </si>
  <si>
    <t>Фінансова підтримка  КП "Міськводоканал"  СМР в т.ч.</t>
  </si>
  <si>
    <t xml:space="preserve">Капітальний ремонт «Монтаж системи автоматичної пожежної сигналізації, оповіщення людей про пожежу та передавання тривожних сповіщень приміщень ВНС, КНС, станції очисних споруд" </t>
  </si>
  <si>
    <t>встановлення лічильників тепла в туалетах у сквері "Дружба"</t>
  </si>
  <si>
    <t>встановлення лічильників тепла в побутовому приміщенні на Міському кладовищі</t>
  </si>
  <si>
    <t xml:space="preserve"> заміна труби 18 м/п на насосній станції по вул.Круговій</t>
  </si>
  <si>
    <t>Фінансова підтримка  КП "Спецкомбінат"  в т.ч.</t>
  </si>
  <si>
    <t>програму  реформування і розвитку житлово-</t>
  </si>
  <si>
    <t>Забезпечення функціонування водопровідно-каналізаційного господарства Сумської міської територіальної громади                                                                                           на 2021 - 2023 роки</t>
  </si>
  <si>
    <t>Поточний ремонт зовнішніх мереж водовідведення</t>
  </si>
  <si>
    <t>Капітальний ремонт діючого каналізаційного колектора Д-500 мм по вул. Ремісничій в м. Суми</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</si>
  <si>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</si>
  <si>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</si>
  <si>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</si>
  <si>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</si>
  <si>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</si>
  <si>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Заміна електричного кабелю на території дитячого парку "Казка"</t>
  </si>
  <si>
    <t>Виготовлення святкових корзин "Прапорове багаття"</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</si>
  <si>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</si>
  <si>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</si>
  <si>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</si>
  <si>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</si>
  <si>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Виготовлення та встановлення покажчиків назв вулиць по місту</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</si>
  <si>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</si>
  <si>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</si>
  <si>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</si>
  <si>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</si>
  <si>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</si>
  <si>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Забезпечення функціонування мереж зовнішнього освітлення Сумської міської територіальної громади на 2021 - 2023 роки</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</si>
  <si>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</si>
  <si>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</si>
  <si>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</si>
  <si>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</si>
  <si>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</si>
  <si>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</si>
  <si>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</si>
  <si>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</si>
  <si>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</si>
  <si>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</si>
  <si>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</si>
  <si>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</si>
  <si>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</si>
  <si>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</si>
  <si>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</si>
  <si>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</si>
  <si>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</si>
  <si>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Надання послуг по обстеженню води</t>
  </si>
  <si>
    <t>Виготовлення документації по зняттю родючого слою</t>
  </si>
  <si>
    <t>Оплата послуг за використання надр</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</si>
  <si>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</si>
  <si>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</si>
  <si>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</si>
  <si>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</si>
  <si>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</si>
  <si>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Забезпечення санітарної очистки території Сумської міської територіальної громади на 2021 - 2023 роки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</si>
  <si>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</si>
  <si>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Догляд за об'єктами благоустрою загального користування: ліквідація несанкціонованих і неконтрольованих звалищ відходів </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</si>
  <si>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</si>
  <si>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</si>
  <si>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</si>
  <si>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</si>
  <si>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Управління капітального будівництва та дорожнього господарства СМР та ішні суб'єкти господарювання</t>
  </si>
  <si>
    <t>Поточний ремонт та утримання в належному стані об'єктів благоустрою  на 2021 - 2023 роки</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</si>
  <si>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</si>
  <si>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</si>
  <si>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Додаток 8</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</si>
  <si>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</si>
  <si>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</si>
  <si>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</si>
  <si>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</si>
  <si>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</si>
  <si>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«Сумижилкомсервіс» СМР</t>
  </si>
  <si>
    <t>Департамент інфраструктури міста СМР,  КП «Міськводоканал» СМР</t>
  </si>
  <si>
    <t xml:space="preserve">Департамент інфраструктури міста СМР,  КП «Спецкомбінат» </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</si>
  <si>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</si>
  <si>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</si>
  <si>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</si>
  <si>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</si>
  <si>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</si>
  <si>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</si>
  <si>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</si>
  <si>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</si>
  <si>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</si>
  <si>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</si>
  <si>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</si>
  <si>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</si>
  <si>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</si>
  <si>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</si>
  <si>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Виконавчий комітет СМР, КП "Міськводоканал" СМР</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</si>
  <si>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2021 - 2023 роки </t>
  </si>
  <si>
    <t>4.5</t>
  </si>
  <si>
    <t>4.6</t>
  </si>
  <si>
    <t>4.7</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</si>
  <si>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2021 - 2023 роки</t>
  </si>
  <si>
    <t>Збереження та утримання на належному рівні зеленої зони та поліпшення її екологічних умов, організація громадських робіт</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</si>
  <si>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</si>
  <si>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</si>
  <si>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</si>
  <si>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</si>
  <si>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</si>
  <si>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 xml:space="preserve">Департамент інфраструктури міста СМР,  КП "Сумижитло" СМР </t>
  </si>
  <si>
    <t>Забезпечення сприятливих умов для співіснування людей та тварин на 2021 - 2023 роки</t>
  </si>
  <si>
    <t>Проведення ремонту та утримання об'єктів транспортної інфраструктури  Сумської міської територіальної громади на 2021 - 2023 роки</t>
  </si>
  <si>
    <t>Капітальний ремонт  об'єктів та елементів благоустрою Сумської міської територіальної громади на 2021 - 2023 роки</t>
  </si>
  <si>
    <t>Капітальний ремонт обєктів житлового господарства Сумської міської територіальної громади на 2021 - 2023 роки</t>
  </si>
  <si>
    <t>Створення сприятливих умов проживання населення та забезпечення надання життєво необхідних послуг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</si>
  <si>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</si>
  <si>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</si>
  <si>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</si>
  <si>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</si>
  <si>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</si>
  <si>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</si>
  <si>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</si>
  <si>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</si>
  <si>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</si>
  <si>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</si>
  <si>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</si>
  <si>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</si>
  <si>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</si>
  <si>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</si>
  <si>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</si>
  <si>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</si>
  <si>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Оплата за спожиту електроенергію насосною станцією по вул.Тихорецька</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</si>
  <si>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</si>
  <si>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</si>
  <si>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</si>
  <si>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</si>
  <si>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</si>
  <si>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Відшкодування з бюджету Сумської міської ТГ частини відсотків за кредитами, залученими населенням (фізичними особами), на впровадження енергозберігаючих заходів</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</si>
  <si>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</si>
  <si>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Інша діяльність у сфері житлово-комунального господарства на 2021 - 2023 роки</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</si>
  <si>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</si>
  <si>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</si>
  <si>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</si>
  <si>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</si>
  <si>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</si>
  <si>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</si>
  <si>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</si>
  <si>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</si>
  <si>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</si>
  <si>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</si>
  <si>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</si>
  <si>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45</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</si>
  <si>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</si>
  <si>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</si>
  <si>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</si>
  <si>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</si>
  <si>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</si>
  <si>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</si>
  <si>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</si>
  <si>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</si>
  <si>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</si>
  <si>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</si>
  <si>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</si>
  <si>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</si>
  <si>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</si>
  <si>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 xml:space="preserve">Інша діяльність у сфері житлово-комунального господарства </t>
  </si>
  <si>
    <t>Поповнення статутного капіталу  КП "Спецкомбінат" СМР (придбання сміттєвоза)</t>
  </si>
  <si>
    <t>Поповнення статутного капіталу  КП "Спецкомбінат" СМР (придбання вантажного автомобіля)</t>
  </si>
  <si>
    <t>Піщанська сільська рада</t>
  </si>
  <si>
    <t>Битицька сільська рада</t>
  </si>
  <si>
    <t>Великочернеччинська сільська рада</t>
  </si>
  <si>
    <t>Стецьківська сільська рада</t>
  </si>
  <si>
    <t>Утримання кладовищ, в т.ч.</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</si>
  <si>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</si>
  <si>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</si>
  <si>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</si>
  <si>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</si>
  <si>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9</t>
  </si>
  <si>
    <t>Надання послуг воєнізованої охорони обєктів водопостачання з резервуарами питної води та обєкта підвищеної небезпеки- хлораторної очисних споруд м.Суми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</si>
  <si>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</si>
  <si>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</si>
  <si>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Поточний ремонт та очищення водонапірних башт та свердловин</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</si>
  <si>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</si>
  <si>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</si>
  <si>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</si>
  <si>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</si>
  <si>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Поточний ремонт (Встановлення) технічних засобів регулювання дорожнім рухом</t>
  </si>
  <si>
    <t>встановлення засобу заспокоєння руху</t>
  </si>
  <si>
    <t>Капітальний ремонт (Встановлення) технічних засобів регулювання дорожнім рухом</t>
  </si>
  <si>
    <t>Капітальний ремонт площі Незалежності в м. Суми</t>
  </si>
  <si>
    <t>Капітальний ремонт сходів та підпірної стінки від майдану Незалежності до вул. Вільний лужок м. Суми</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</si>
  <si>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</si>
  <si>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</si>
  <si>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</si>
  <si>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</si>
  <si>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</si>
  <si>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</si>
  <si>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</si>
  <si>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</si>
  <si>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</si>
  <si>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</si>
  <si>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</si>
  <si>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Виконання заходів за рахунок цільових фондів на 2021 - 2023 роки</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</si>
  <si>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</si>
  <si>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</si>
  <si>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</si>
  <si>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</si>
  <si>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</si>
  <si>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</si>
  <si>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Фінансова підтримка  КП «Міськводоканал» СМР , в т.ч.:</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</si>
  <si>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</si>
  <si>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</si>
  <si>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</si>
  <si>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від 24 грудня 2020 року № 84 - МР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</si>
  <si>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2021 - 2023 роки</t>
  </si>
  <si>
    <t>погашення заборгованості за судовим рішенням перед ПАТ "Сумиобленерго"</t>
  </si>
  <si>
    <t>погашення заборгованості за судовим рішенням  перед ДПЗД "Укрінтеренерго"</t>
  </si>
  <si>
    <t xml:space="preserve">на 2021- 2023  роки, затвердженої рішенням Сумської міської ради </t>
  </si>
  <si>
    <t xml:space="preserve">додаток 14  "Про внесення змін до Комплексної цільової  програми  реформування і розвитку житлово-комунального господарства міста Суми на 2021- 2023  роки", затвердженої рішенням Сумської міської ради від 24 грудня 2020 року №  84 -МР </t>
  </si>
  <si>
    <t xml:space="preserve">додаток 15  "Про внесення змін до Комплексної цільової  програми  реформування і розвитку житлово-комунального господарства міста Суми на 2021- 2023  роки", затвердженої рішенням Сумської міської ради від 24 грудня 2020 року №  84 -МР </t>
  </si>
  <si>
    <t xml:space="preserve">на 2021- 2023  роки, затвердженої рішенням </t>
  </si>
  <si>
    <t xml:space="preserve">Сумської міської ради </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</si>
  <si>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2021 - 2023 роки</t>
  </si>
  <si>
    <t>на сплату боргу за 2020 рік орендної плати 3-4 черги за користування земельною ділянкою, на якій розташовано полігон для захоронення ТПВ</t>
  </si>
  <si>
    <t xml:space="preserve">на 2021- 2023  роки, затвердженої рішенням  </t>
  </si>
  <si>
    <t>Сумської міської ради</t>
  </si>
  <si>
    <t>Директор  Департаменту</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</si>
  <si>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2021-2023</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24 грудня 2020 року № 84-МР. </t>
    </r>
  </si>
  <si>
    <t>Фінансова підтримка КП "Сумижилкомсервіс" СМР на сплату боргу за 2020 рік орендної плати 3-4 черги за користування земельною ділянкою, на якій розташовано полігон для захоронення ТПВ</t>
  </si>
  <si>
    <t>Забезпечення функціонування об'єктів житлово-комунального господарства Сумської міської територіальної громади на 2021 - 2023 роки, з них:</t>
  </si>
  <si>
    <t>Забезпечення функціонування водопровідно-каналізаційного господарства Сумської міської територіальної громади                                                                                           на 2021 - 2023 роки, з них:</t>
  </si>
  <si>
    <t>Фінансова підтримка  КП «Міськводоканал» СМР в т.ч. погашення заборгованості за судовим рішенням перед ПАТ "Сумиобленерго"</t>
  </si>
  <si>
    <t>Фінансова підтримка  КП «Міськводоканал» СМР в т.ч. погашення заборгованості за судовим рішенням  перед ДПЗД "Укрінтеренерго"</t>
  </si>
  <si>
    <t>від 27 січня 2021 року № 129 -МР</t>
  </si>
  <si>
    <t>від 27 січня 2021 року № 129 - МР</t>
  </si>
  <si>
    <t xml:space="preserve">від 27 січня 2021 року № 129 - МР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</si>
  <si>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2021- 2023  роки, затвердженої рішенням Сумської міської ради                                                                   від 24 грудня 2020 року  № 84 - МР                                                                                                        </t>
  </si>
  <si>
    <t>від 24 грудня 2020 року № 84 - МР</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</si>
</sst>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 numFmtId="193" formatCode="_(* #,##0.0000_);_(* \(#,##0.0000\);_(* &quot;-&quot;??_);_(@_)"/>
    <numFmt numFmtId="194" formatCode="_(* #,##0.0_);_(* \(#,##0.0\);_(* &quot;-&quot;??_);_(@_)"/>
    <numFmt numFmtId="195" formatCode="[$-422]d\ mmmm\ yyyy&quot; р.&quot;"/>
  </numFmts>
  <fonts count="84">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i/>
      <sz val="14"/>
      <name val="Times New Roman"/>
      <family val="1"/>
    </font>
    <font>
      <i/>
      <sz val="12"/>
      <name val="Times New Roman"/>
      <family val="1"/>
    </font>
    <font>
      <i/>
      <sz val="13"/>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i/>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
      <i/>
      <sz val="12"/>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indexed="13"/>
        <bgColor indexed="64"/>
      </patternFill>
    </fill>
    <fill>
      <patternFill patternType="solid">
        <fgColor rgb="FF7030A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0" fillId="0" borderId="0">
      <alignment/>
      <protection/>
    </xf>
    <xf numFmtId="0" fontId="71" fillId="0" borderId="0">
      <alignment/>
      <protection/>
    </xf>
    <xf numFmtId="0" fontId="5"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76" fillId="32" borderId="0" applyNumberFormat="0" applyBorder="0" applyAlignment="0" applyProtection="0"/>
  </cellStyleXfs>
  <cellXfs count="94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4"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4" fontId="1" fillId="33"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3"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5" borderId="10" xfId="53" applyFont="1" applyFill="1" applyBorder="1" applyAlignment="1">
      <alignment horizontal="left" vertical="center" wrapText="1"/>
      <protection/>
    </xf>
    <xf numFmtId="0" fontId="6" fillId="35" borderId="10" xfId="53" applyFont="1" applyFill="1" applyBorder="1" applyAlignment="1">
      <alignment horizontal="center" vertical="center" wrapText="1"/>
      <protection/>
    </xf>
    <xf numFmtId="182" fontId="6" fillId="35" borderId="12" xfId="53" applyNumberFormat="1" applyFont="1" applyFill="1" applyBorder="1" applyAlignment="1">
      <alignment horizontal="center" vertical="center" wrapText="1"/>
      <protection/>
    </xf>
    <xf numFmtId="178" fontId="6" fillId="33"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6" borderId="12" xfId="53" applyNumberFormat="1" applyFont="1" applyFill="1" applyBorder="1" applyAlignment="1">
      <alignment horizontal="center" vertical="center" wrapText="1"/>
      <protection/>
    </xf>
    <xf numFmtId="0" fontId="0" fillId="37" borderId="0" xfId="53" applyFont="1" applyFill="1">
      <alignment/>
      <protection/>
    </xf>
    <xf numFmtId="0" fontId="6" fillId="33" borderId="10" xfId="53" applyFont="1" applyFill="1" applyBorder="1" applyAlignment="1">
      <alignment horizontal="center" vertical="center" wrapText="1"/>
      <protection/>
    </xf>
    <xf numFmtId="179" fontId="1" fillId="33" borderId="10" xfId="53" applyNumberFormat="1" applyFont="1" applyFill="1" applyBorder="1" applyAlignment="1">
      <alignment horizontal="left" vertical="center" wrapText="1"/>
      <protection/>
    </xf>
    <xf numFmtId="4" fontId="6" fillId="33"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6" borderId="10"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0" fillId="36" borderId="0" xfId="53" applyFont="1" applyFill="1">
      <alignment/>
      <protection/>
    </xf>
    <xf numFmtId="0" fontId="1" fillId="36" borderId="10" xfId="53" applyFont="1" applyFill="1" applyBorder="1" applyAlignment="1">
      <alignment horizontal="left" vertical="center" wrapText="1"/>
      <protection/>
    </xf>
    <xf numFmtId="4" fontId="1" fillId="36" borderId="10" xfId="53" applyNumberFormat="1" applyFont="1" applyFill="1" applyBorder="1" applyAlignment="1">
      <alignment horizontal="center" vertical="center" wrapText="1"/>
      <protection/>
    </xf>
    <xf numFmtId="49" fontId="1" fillId="36" borderId="10" xfId="53" applyNumberFormat="1" applyFont="1" applyFill="1" applyBorder="1" applyAlignment="1">
      <alignment horizontal="left" vertical="center" wrapText="1"/>
      <protection/>
    </xf>
    <xf numFmtId="0" fontId="1" fillId="36" borderId="11" xfId="53" applyFont="1" applyFill="1" applyBorder="1" applyAlignment="1">
      <alignment horizontal="center" vertical="center" wrapText="1"/>
      <protection/>
    </xf>
    <xf numFmtId="181" fontId="1" fillId="36"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6" borderId="0" xfId="53" applyFont="1" applyFill="1" applyBorder="1" applyAlignment="1">
      <alignment horizontal="center" vertical="center" wrapText="1"/>
      <protection/>
    </xf>
    <xf numFmtId="178" fontId="3" fillId="36"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3"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3" xfId="53" applyFont="1" applyFill="1" applyBorder="1" applyAlignment="1">
      <alignment horizontal="left" vertical="center" wrapText="1"/>
      <protection/>
    </xf>
    <xf numFmtId="179" fontId="6" fillId="33"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3"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6" borderId="10" xfId="53" applyFont="1" applyFill="1" applyBorder="1" applyAlignment="1">
      <alignment horizontal="left" vertical="center" wrapText="1"/>
      <protection/>
    </xf>
    <xf numFmtId="4" fontId="2" fillId="36"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0" fontId="2" fillId="36"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6"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3"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4"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6" borderId="10" xfId="0" applyNumberFormat="1" applyFont="1" applyFill="1" applyBorder="1" applyAlignment="1">
      <alignment horizontal="center" vertical="center" wrapText="1"/>
    </xf>
    <xf numFmtId="177" fontId="3" fillId="36" borderId="0" xfId="64" applyFont="1" applyFill="1" applyBorder="1" applyAlignment="1">
      <alignment horizontal="center" vertical="center"/>
    </xf>
    <xf numFmtId="4" fontId="2" fillId="36" borderId="10" xfId="0" applyNumberFormat="1" applyFont="1" applyFill="1" applyBorder="1" applyAlignment="1">
      <alignment horizontal="right" vertical="center" wrapText="1"/>
    </xf>
    <xf numFmtId="4" fontId="2" fillId="36" borderId="10" xfId="0" applyNumberFormat="1" applyFont="1" applyFill="1" applyBorder="1" applyAlignment="1">
      <alignment horizontal="center" vertical="center"/>
    </xf>
    <xf numFmtId="4" fontId="1" fillId="36" borderId="10" xfId="53" applyNumberFormat="1" applyFont="1" applyFill="1" applyBorder="1" applyAlignment="1">
      <alignment horizontal="center" wrapText="1"/>
      <protection/>
    </xf>
    <xf numFmtId="4" fontId="1" fillId="36" borderId="10" xfId="53" applyNumberFormat="1" applyFont="1" applyFill="1" applyBorder="1" applyAlignment="1">
      <alignment horizontal="center"/>
      <protection/>
    </xf>
    <xf numFmtId="182" fontId="6" fillId="36" borderId="10" xfId="0" applyNumberFormat="1" applyFont="1" applyFill="1" applyBorder="1" applyAlignment="1">
      <alignment horizontal="center" vertical="center" wrapText="1"/>
    </xf>
    <xf numFmtId="4" fontId="2" fillId="36" borderId="10" xfId="0" applyNumberFormat="1" applyFont="1" applyFill="1" applyBorder="1" applyAlignment="1">
      <alignment horizontal="right" vertical="center"/>
    </xf>
    <xf numFmtId="177" fontId="6" fillId="36" borderId="10" xfId="62" applyFont="1" applyFill="1" applyBorder="1" applyAlignment="1">
      <alignment horizontal="center" vertical="center"/>
    </xf>
    <xf numFmtId="4" fontId="6" fillId="36" borderId="10" xfId="0" applyNumberFormat="1" applyFont="1" applyFill="1" applyBorder="1" applyAlignment="1">
      <alignment horizontal="center" vertical="center"/>
    </xf>
    <xf numFmtId="184" fontId="1" fillId="36" borderId="10" xfId="0" applyNumberFormat="1" applyFont="1" applyFill="1" applyBorder="1" applyAlignment="1">
      <alignment horizontal="center" vertical="center" wrapText="1"/>
    </xf>
    <xf numFmtId="0" fontId="77" fillId="36" borderId="10" xfId="0" applyFont="1" applyFill="1" applyBorder="1" applyAlignment="1">
      <alignment vertical="center" wrapText="1"/>
    </xf>
    <xf numFmtId="0" fontId="6" fillId="0" borderId="17" xfId="53" applyFont="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6" fillId="36" borderId="10" xfId="0" applyFont="1" applyFill="1" applyBorder="1" applyAlignment="1">
      <alignment horizontal="left" vertical="center" wrapText="1"/>
    </xf>
    <xf numFmtId="0" fontId="6" fillId="36"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4" fontId="1" fillId="36"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6" borderId="10" xfId="53" applyNumberFormat="1" applyFont="1" applyFill="1" applyBorder="1" applyAlignment="1">
      <alignment horizontal="center" vertical="center" wrapText="1"/>
      <protection/>
    </xf>
    <xf numFmtId="182" fontId="6" fillId="36" borderId="10" xfId="53" applyNumberFormat="1" applyFont="1" applyFill="1" applyBorder="1" applyAlignment="1">
      <alignment horizontal="center" vertical="center" wrapText="1"/>
      <protection/>
    </xf>
    <xf numFmtId="0" fontId="6" fillId="36" borderId="10" xfId="53" applyFont="1" applyFill="1" applyBorder="1" applyAlignment="1">
      <alignment vertical="center" wrapText="1"/>
      <protection/>
    </xf>
    <xf numFmtId="0" fontId="6" fillId="36" borderId="0" xfId="53" applyFont="1" applyFill="1" applyBorder="1" applyAlignment="1">
      <alignment horizontal="left" vertical="center" wrapText="1"/>
      <protection/>
    </xf>
    <xf numFmtId="182" fontId="1" fillId="36" borderId="10" xfId="0" applyNumberFormat="1" applyFont="1" applyFill="1" applyBorder="1" applyAlignment="1">
      <alignment horizontal="center" vertical="center" wrapText="1"/>
    </xf>
    <xf numFmtId="182" fontId="6" fillId="36" borderId="12"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6" fillId="36" borderId="15" xfId="0" applyFont="1" applyFill="1" applyBorder="1" applyAlignment="1">
      <alignment horizontal="center" vertical="center" wrapText="1"/>
    </xf>
    <xf numFmtId="182" fontId="1" fillId="36" borderId="10" xfId="0" applyNumberFormat="1" applyFont="1" applyFill="1" applyBorder="1" applyAlignment="1">
      <alignment horizontal="center" vertical="center"/>
    </xf>
    <xf numFmtId="182" fontId="6" fillId="36" borderId="10" xfId="0" applyNumberFormat="1" applyFont="1" applyFill="1" applyBorder="1" applyAlignment="1">
      <alignment horizontal="center" vertical="center"/>
    </xf>
    <xf numFmtId="179" fontId="6" fillId="36" borderId="10" xfId="0" applyNumberFormat="1" applyFont="1" applyFill="1" applyBorder="1" applyAlignment="1">
      <alignment horizontal="left" vertical="top" wrapText="1"/>
    </xf>
    <xf numFmtId="179" fontId="6" fillId="36"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6" borderId="10" xfId="0" applyFont="1" applyFill="1" applyBorder="1" applyAlignment="1">
      <alignment horizontal="left" vertical="center" wrapText="1"/>
    </xf>
    <xf numFmtId="4" fontId="2" fillId="36" borderId="10" xfId="0" applyNumberFormat="1" applyFont="1" applyFill="1" applyBorder="1" applyAlignment="1">
      <alignment horizontal="center" vertical="center"/>
    </xf>
    <xf numFmtId="4" fontId="6" fillId="36" borderId="10" xfId="0" applyNumberFormat="1" applyFont="1" applyFill="1" applyBorder="1" applyAlignment="1">
      <alignment horizontal="center" vertical="center"/>
    </xf>
    <xf numFmtId="49" fontId="6" fillId="36" borderId="10" xfId="0" applyNumberFormat="1" applyFont="1" applyFill="1" applyBorder="1" applyAlignment="1">
      <alignment horizontal="left" vertical="center" wrapText="1"/>
    </xf>
    <xf numFmtId="179" fontId="1" fillId="33" borderId="10" xfId="53" applyNumberFormat="1" applyFont="1" applyFill="1" applyBorder="1" applyAlignment="1">
      <alignment horizontal="center" vertical="center" wrapText="1"/>
      <protection/>
    </xf>
    <xf numFmtId="0" fontId="77" fillId="36" borderId="10" xfId="0" applyFont="1" applyFill="1" applyBorder="1" applyAlignment="1">
      <alignment horizontal="left" vertical="top" wrapText="1"/>
    </xf>
    <xf numFmtId="0" fontId="6" fillId="36" borderId="10" xfId="0" applyFont="1" applyFill="1" applyBorder="1" applyAlignment="1">
      <alignment wrapText="1"/>
    </xf>
    <xf numFmtId="0" fontId="6" fillId="36" borderId="17" xfId="0" applyFont="1" applyFill="1" applyBorder="1" applyAlignment="1">
      <alignment wrapText="1"/>
    </xf>
    <xf numFmtId="49" fontId="6" fillId="36" borderId="10" xfId="0" applyNumberFormat="1" applyFont="1" applyFill="1" applyBorder="1" applyAlignment="1">
      <alignment horizontal="left" vertical="center" wrapText="1"/>
    </xf>
    <xf numFmtId="0" fontId="77" fillId="36" borderId="10" xfId="0" applyFont="1" applyFill="1" applyBorder="1" applyAlignment="1">
      <alignment horizontal="left" wrapText="1"/>
    </xf>
    <xf numFmtId="49" fontId="77" fillId="36" borderId="10" xfId="0" applyNumberFormat="1" applyFont="1" applyFill="1" applyBorder="1" applyAlignment="1">
      <alignment wrapText="1"/>
    </xf>
    <xf numFmtId="0" fontId="77" fillId="36" borderId="10" xfId="0" applyFont="1" applyFill="1" applyBorder="1" applyAlignment="1">
      <alignment wrapText="1"/>
    </xf>
    <xf numFmtId="0" fontId="77" fillId="36" borderId="10" xfId="0" applyFont="1" applyFill="1" applyBorder="1" applyAlignment="1">
      <alignment horizontal="left" vertical="center" wrapText="1"/>
    </xf>
    <xf numFmtId="0" fontId="15" fillId="36" borderId="10" xfId="53" applyFont="1" applyFill="1" applyBorder="1" applyAlignment="1">
      <alignment horizontal="center" vertical="center" wrapText="1"/>
      <protection/>
    </xf>
    <xf numFmtId="4" fontId="15" fillId="36" borderId="10" xfId="53" applyNumberFormat="1" applyFont="1" applyFill="1" applyBorder="1" applyAlignment="1">
      <alignment horizontal="center" wrapText="1"/>
      <protection/>
    </xf>
    <xf numFmtId="0" fontId="0" fillId="36" borderId="0" xfId="0" applyFill="1" applyAlignment="1">
      <alignment/>
    </xf>
    <xf numFmtId="0" fontId="2" fillId="36" borderId="0" xfId="0" applyFont="1" applyFill="1" applyAlignment="1">
      <alignment/>
    </xf>
    <xf numFmtId="178" fontId="3" fillId="36" borderId="0" xfId="0" applyNumberFormat="1" applyFont="1" applyFill="1" applyBorder="1" applyAlignment="1">
      <alignment horizontal="center" vertical="center"/>
    </xf>
    <xf numFmtId="0" fontId="6" fillId="36" borderId="0" xfId="0" applyFont="1" applyFill="1" applyAlignment="1">
      <alignment horizontal="center" vertical="center" wrapText="1"/>
    </xf>
    <xf numFmtId="0" fontId="2" fillId="36" borderId="0" xfId="0" applyFont="1" applyFill="1" applyAlignment="1">
      <alignment horizontal="center" vertical="center" wrapText="1"/>
    </xf>
    <xf numFmtId="0" fontId="77" fillId="36" borderId="0" xfId="0" applyFont="1" applyFill="1" applyBorder="1" applyAlignment="1">
      <alignment vertical="center" wrapText="1"/>
    </xf>
    <xf numFmtId="4" fontId="1" fillId="36" borderId="10" xfId="53" applyNumberFormat="1" applyFont="1" applyFill="1" applyBorder="1" applyAlignment="1">
      <alignment horizontal="center" vertical="center"/>
      <protection/>
    </xf>
    <xf numFmtId="0" fontId="6" fillId="33"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6" borderId="10" xfId="0" applyNumberFormat="1" applyFont="1" applyFill="1" applyBorder="1" applyAlignment="1">
      <alignment horizontal="center" wrapText="1"/>
    </xf>
    <xf numFmtId="4" fontId="6" fillId="36"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8" fillId="0" borderId="14" xfId="53" applyFont="1" applyBorder="1" applyAlignment="1">
      <alignment horizontal="center" vertical="center" wrapText="1"/>
      <protection/>
    </xf>
    <xf numFmtId="0" fontId="1" fillId="36"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6"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49" fontId="6" fillId="36" borderId="10" xfId="53" applyNumberFormat="1" applyFont="1" applyFill="1" applyBorder="1" applyAlignment="1">
      <alignment horizontal="center" vertical="center" wrapText="1"/>
      <protection/>
    </xf>
    <xf numFmtId="0" fontId="6" fillId="36" borderId="17"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6"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177" fontId="6" fillId="0" borderId="10" xfId="64" applyFont="1" applyBorder="1" applyAlignment="1">
      <alignment horizontal="center" vertical="center" wrapText="1"/>
    </xf>
    <xf numFmtId="177" fontId="6" fillId="36" borderId="12" xfId="64" applyFont="1" applyFill="1" applyBorder="1" applyAlignment="1">
      <alignment horizontal="center" vertical="center" wrapText="1"/>
    </xf>
    <xf numFmtId="177" fontId="6" fillId="0" borderId="12" xfId="64" applyFont="1" applyFill="1" applyBorder="1" applyAlignment="1">
      <alignment horizontal="center" vertical="center" wrapText="1"/>
    </xf>
    <xf numFmtId="177" fontId="6" fillId="0" borderId="12" xfId="64" applyFont="1" applyBorder="1" applyAlignment="1">
      <alignment horizontal="center" vertical="center" wrapText="1"/>
    </xf>
    <xf numFmtId="177" fontId="78" fillId="0" borderId="12" xfId="64" applyFont="1" applyBorder="1" applyAlignment="1">
      <alignment horizontal="center" vertical="center" wrapText="1"/>
    </xf>
    <xf numFmtId="177" fontId="6" fillId="0" borderId="10" xfId="64" applyFont="1" applyFill="1" applyBorder="1" applyAlignment="1">
      <alignment horizontal="center" vertical="center" wrapText="1"/>
    </xf>
    <xf numFmtId="177" fontId="78" fillId="0" borderId="12" xfId="64" applyFont="1" applyFill="1" applyBorder="1" applyAlignment="1">
      <alignment horizontal="center" vertical="center" wrapText="1"/>
    </xf>
    <xf numFmtId="0" fontId="77" fillId="36" borderId="17" xfId="0" applyFont="1" applyFill="1" applyBorder="1" applyAlignment="1">
      <alignment horizontal="left" vertical="center" wrapText="1"/>
    </xf>
    <xf numFmtId="0" fontId="77" fillId="36" borderId="12" xfId="0" applyFont="1" applyFill="1" applyBorder="1" applyAlignment="1">
      <alignment horizontal="left" vertical="center" wrapText="1"/>
    </xf>
    <xf numFmtId="183" fontId="6" fillId="0" borderId="12" xfId="64" applyNumberFormat="1" applyFont="1" applyFill="1" applyBorder="1" applyAlignment="1">
      <alignment horizontal="center" vertical="center" wrapText="1"/>
    </xf>
    <xf numFmtId="177" fontId="1" fillId="0" borderId="10" xfId="64" applyFont="1" applyBorder="1" applyAlignment="1">
      <alignment horizontal="center" vertical="center" wrapText="1"/>
    </xf>
    <xf numFmtId="177" fontId="1" fillId="36" borderId="12" xfId="64" applyFont="1" applyFill="1" applyBorder="1" applyAlignment="1">
      <alignment horizontal="center" vertical="center" wrapText="1"/>
    </xf>
    <xf numFmtId="183" fontId="1" fillId="0" borderId="10" xfId="64" applyNumberFormat="1" applyFont="1" applyBorder="1" applyAlignment="1">
      <alignment horizontal="center" vertical="center" wrapText="1"/>
    </xf>
    <xf numFmtId="183" fontId="1" fillId="36" borderId="12" xfId="64" applyNumberFormat="1" applyFont="1" applyFill="1" applyBorder="1" applyAlignment="1">
      <alignment horizontal="center" vertical="center" wrapText="1"/>
    </xf>
    <xf numFmtId="0" fontId="6" fillId="36" borderId="17" xfId="53" applyFont="1" applyFill="1" applyBorder="1" applyAlignment="1">
      <alignment horizontal="center" vertical="center" wrapText="1"/>
      <protection/>
    </xf>
    <xf numFmtId="177" fontId="6" fillId="36" borderId="14" xfId="64" applyFont="1" applyFill="1" applyBorder="1" applyAlignment="1">
      <alignment horizontal="center" vertical="center" wrapText="1"/>
    </xf>
    <xf numFmtId="177" fontId="6" fillId="0" borderId="14" xfId="64" applyFont="1" applyFill="1" applyBorder="1" applyAlignment="1">
      <alignment horizontal="center" vertical="center" wrapText="1"/>
    </xf>
    <xf numFmtId="177" fontId="78" fillId="0" borderId="14" xfId="64" applyFont="1" applyBorder="1" applyAlignment="1">
      <alignment horizontal="center" vertical="center" wrapText="1"/>
    </xf>
    <xf numFmtId="0" fontId="6" fillId="0" borderId="12" xfId="53" applyFont="1" applyFill="1" applyBorder="1" applyAlignment="1">
      <alignment horizontal="center" vertical="center" wrapText="1"/>
      <protection/>
    </xf>
    <xf numFmtId="0" fontId="6" fillId="36" borderId="19"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6" borderId="0" xfId="53" applyFont="1" applyFill="1">
      <alignment/>
      <protection/>
    </xf>
    <xf numFmtId="2" fontId="3" fillId="36" borderId="0" xfId="53" applyNumberFormat="1" applyFont="1" applyFill="1" applyBorder="1" applyAlignment="1">
      <alignment horizontal="center" vertical="center" wrapText="1"/>
      <protection/>
    </xf>
    <xf numFmtId="2" fontId="13" fillId="36" borderId="0" xfId="53" applyNumberFormat="1" applyFont="1" applyFill="1" applyBorder="1" applyAlignment="1">
      <alignment horizontal="center" vertical="center" wrapText="1"/>
      <protection/>
    </xf>
    <xf numFmtId="178" fontId="13" fillId="36" borderId="0" xfId="53" applyNumberFormat="1" applyFont="1" applyFill="1" applyBorder="1" applyAlignment="1">
      <alignment horizontal="center" vertical="center" wrapText="1"/>
      <protection/>
    </xf>
    <xf numFmtId="181" fontId="14" fillId="36" borderId="0" xfId="53" applyNumberFormat="1" applyFont="1" applyFill="1">
      <alignment/>
      <protection/>
    </xf>
    <xf numFmtId="0" fontId="16" fillId="0" borderId="0" xfId="53" applyFont="1" applyBorder="1" applyAlignment="1">
      <alignment horizontal="left" vertical="center" wrapText="1"/>
      <protection/>
    </xf>
    <xf numFmtId="0" fontId="16" fillId="0" borderId="0" xfId="53" applyFont="1" applyAlignment="1">
      <alignment horizontal="center" vertical="center" wrapText="1"/>
      <protection/>
    </xf>
    <xf numFmtId="0" fontId="17" fillId="0" borderId="0" xfId="53" applyFont="1">
      <alignment/>
      <protection/>
    </xf>
    <xf numFmtId="178" fontId="3" fillId="36" borderId="0" xfId="53" applyNumberFormat="1" applyFont="1" applyFill="1" applyBorder="1" applyAlignment="1">
      <alignment horizontal="center" vertical="center"/>
      <protection/>
    </xf>
    <xf numFmtId="0" fontId="2" fillId="36" borderId="0" xfId="53" applyFont="1" applyFill="1" applyBorder="1" applyAlignment="1">
      <alignment vertical="center" wrapText="1"/>
      <protection/>
    </xf>
    <xf numFmtId="0" fontId="2" fillId="36" borderId="0" xfId="53" applyFont="1" applyFill="1" applyAlignment="1">
      <alignment horizontal="center" vertical="center" wrapText="1"/>
      <protection/>
    </xf>
    <xf numFmtId="0" fontId="2" fillId="36" borderId="0" xfId="53" applyFont="1" applyFill="1" applyAlignment="1">
      <alignment/>
      <protection/>
    </xf>
    <xf numFmtId="0" fontId="14" fillId="36" borderId="0" xfId="53" applyFont="1" applyFill="1">
      <alignment/>
      <protection/>
    </xf>
    <xf numFmtId="0" fontId="2" fillId="36" borderId="0" xfId="53" applyFont="1" applyFill="1" applyAlignment="1">
      <alignment horizontal="left"/>
      <protection/>
    </xf>
    <xf numFmtId="4" fontId="2" fillId="36" borderId="10" xfId="53" applyNumberFormat="1" applyFont="1" applyFill="1" applyBorder="1" applyAlignment="1">
      <alignment horizontal="center" vertical="center" wrapText="1"/>
      <protection/>
    </xf>
    <xf numFmtId="0" fontId="14" fillId="0" borderId="0" xfId="53" applyFont="1">
      <alignment/>
      <protection/>
    </xf>
    <xf numFmtId="2" fontId="14" fillId="36" borderId="0" xfId="53" applyNumberFormat="1" applyFont="1" applyFill="1">
      <alignment/>
      <protection/>
    </xf>
    <xf numFmtId="0" fontId="3" fillId="36" borderId="0" xfId="53" applyFont="1" applyFill="1" applyBorder="1" applyAlignment="1">
      <alignment horizontal="left" vertical="center" wrapText="1"/>
      <protection/>
    </xf>
    <xf numFmtId="2" fontId="2" fillId="36" borderId="0" xfId="53" applyNumberFormat="1" applyFont="1" applyFill="1" applyAlignment="1">
      <alignment horizontal="left" vertical="center" wrapText="1"/>
      <protection/>
    </xf>
    <xf numFmtId="0" fontId="3" fillId="36" borderId="0" xfId="53" applyFont="1" applyFill="1" applyAlignment="1">
      <alignment horizontal="center"/>
      <protection/>
    </xf>
    <xf numFmtId="4" fontId="14" fillId="36" borderId="0" xfId="53" applyNumberFormat="1" applyFont="1" applyFill="1">
      <alignment/>
      <protection/>
    </xf>
    <xf numFmtId="0" fontId="14" fillId="36" borderId="0" xfId="53" applyFont="1" applyFill="1" applyAlignment="1">
      <alignment horizontal="left"/>
      <protection/>
    </xf>
    <xf numFmtId="14" fontId="2" fillId="36" borderId="0" xfId="53" applyNumberFormat="1" applyFont="1" applyFill="1" applyAlignment="1">
      <alignment horizontal="left"/>
      <protection/>
    </xf>
    <xf numFmtId="178" fontId="14" fillId="36"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6" fillId="0" borderId="0" xfId="53" applyFont="1" applyAlignment="1">
      <alignment vertical="center" wrapText="1"/>
      <protection/>
    </xf>
    <xf numFmtId="0" fontId="2" fillId="36" borderId="0" xfId="53" applyFont="1" applyFill="1" applyBorder="1" applyAlignment="1">
      <alignment horizontal="left" vertical="center" wrapText="1"/>
      <protection/>
    </xf>
    <xf numFmtId="0" fontId="1" fillId="36" borderId="10" xfId="53" applyFont="1" applyFill="1" applyBorder="1" applyAlignment="1">
      <alignment horizontal="center" vertical="center" wrapText="1"/>
      <protection/>
    </xf>
    <xf numFmtId="183" fontId="1" fillId="0" borderId="10" xfId="62" applyNumberFormat="1" applyFont="1" applyBorder="1" applyAlignment="1">
      <alignment horizontal="center" vertical="center" wrapText="1"/>
    </xf>
    <xf numFmtId="0" fontId="6" fillId="0" borderId="0" xfId="0" applyFont="1" applyAlignment="1">
      <alignment horizontal="left" wrapText="1"/>
    </xf>
    <xf numFmtId="49" fontId="6" fillId="36" borderId="10" xfId="53" applyNumberFormat="1" applyFont="1" applyFill="1" applyBorder="1" applyAlignment="1">
      <alignment vertical="center" wrapText="1"/>
      <protection/>
    </xf>
    <xf numFmtId="0" fontId="0" fillId="36" borderId="0" xfId="53" applyFill="1">
      <alignment/>
      <protection/>
    </xf>
    <xf numFmtId="0" fontId="2" fillId="36" borderId="0" xfId="53" applyFont="1" applyFill="1" applyAlignment="1">
      <alignment horizontal="center" vertical="center"/>
      <protection/>
    </xf>
    <xf numFmtId="0" fontId="6" fillId="36" borderId="0" xfId="53" applyFont="1" applyFill="1" applyAlignment="1">
      <alignment/>
      <protection/>
    </xf>
    <xf numFmtId="0" fontId="6" fillId="36" borderId="0" xfId="53" applyFont="1" applyFill="1">
      <alignment/>
      <protection/>
    </xf>
    <xf numFmtId="0" fontId="1" fillId="36" borderId="20" xfId="53" applyFont="1" applyFill="1" applyBorder="1" applyAlignment="1">
      <alignment horizontal="center" vertical="center" wrapText="1"/>
      <protection/>
    </xf>
    <xf numFmtId="0" fontId="6" fillId="36" borderId="10" xfId="53" applyFont="1" applyFill="1" applyBorder="1">
      <alignment/>
      <protection/>
    </xf>
    <xf numFmtId="0" fontId="6" fillId="0" borderId="0" xfId="53" applyFont="1" applyBorder="1" applyAlignment="1">
      <alignment horizontal="left" vertical="center" wrapText="1"/>
      <protection/>
    </xf>
    <xf numFmtId="0" fontId="1" fillId="36" borderId="0" xfId="53" applyFont="1" applyFill="1" applyBorder="1" applyAlignment="1">
      <alignment horizontal="left" vertical="center" wrapText="1"/>
      <protection/>
    </xf>
    <xf numFmtId="0" fontId="1" fillId="36" borderId="0" xfId="53" applyFont="1" applyFill="1" applyBorder="1" applyAlignment="1">
      <alignment horizontal="center" vertical="center" wrapText="1"/>
      <protection/>
    </xf>
    <xf numFmtId="0" fontId="6" fillId="36" borderId="0" xfId="53" applyFont="1" applyFill="1" applyAlignment="1">
      <alignment horizontal="left" vertical="center" wrapText="1"/>
      <protection/>
    </xf>
    <xf numFmtId="0" fontId="19"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6" borderId="10" xfId="53" applyNumberFormat="1" applyFont="1" applyFill="1" applyBorder="1" applyAlignment="1">
      <alignment horizontal="center" vertical="center" wrapText="1"/>
      <protection/>
    </xf>
    <xf numFmtId="0" fontId="19" fillId="0" borderId="10" xfId="0" applyFont="1" applyBorder="1" applyAlignment="1">
      <alignment horizontal="justify" vertical="center" wrapText="1"/>
    </xf>
    <xf numFmtId="0" fontId="19"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6" borderId="0" xfId="53" applyFont="1" applyFill="1" applyBorder="1" applyAlignment="1">
      <alignment horizontal="left" vertical="center" wrapText="1"/>
      <protection/>
    </xf>
    <xf numFmtId="0" fontId="1" fillId="36" borderId="10" xfId="53" applyFont="1" applyFill="1" applyBorder="1" applyAlignment="1">
      <alignment horizontal="center" vertical="center" wrapText="1"/>
      <protection/>
    </xf>
    <xf numFmtId="0" fontId="79" fillId="36"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80" fillId="36"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6"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6" borderId="10" xfId="64"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20" fillId="36" borderId="10" xfId="53" applyFont="1" applyFill="1" applyBorder="1" applyAlignment="1">
      <alignment horizontal="center" vertical="center" wrapText="1"/>
      <protection/>
    </xf>
    <xf numFmtId="0" fontId="20" fillId="36" borderId="17" xfId="53" applyFont="1" applyFill="1" applyBorder="1" applyAlignment="1">
      <alignment horizontal="center" vertical="center" wrapText="1"/>
      <protection/>
    </xf>
    <xf numFmtId="0" fontId="20" fillId="0" borderId="10" xfId="53" applyFont="1" applyBorder="1" applyAlignment="1">
      <alignment horizontal="center"/>
      <protection/>
    </xf>
    <xf numFmtId="0" fontId="20" fillId="0" borderId="0" xfId="53" applyFont="1" applyBorder="1" applyAlignment="1">
      <alignment horizontal="center"/>
      <protection/>
    </xf>
    <xf numFmtId="2" fontId="21"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2" fillId="0" borderId="10" xfId="53" applyNumberFormat="1" applyFont="1" applyBorder="1" applyAlignment="1">
      <alignment horizontal="center" vertical="center" wrapText="1"/>
      <protection/>
    </xf>
    <xf numFmtId="4" fontId="23" fillId="0" borderId="12" xfId="53" applyNumberFormat="1" applyFont="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6" borderId="12"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1" fillId="36" borderId="21" xfId="53" applyFont="1" applyFill="1" applyBorder="1" applyAlignment="1">
      <alignment vertical="center" wrapText="1"/>
      <protection/>
    </xf>
    <xf numFmtId="0" fontId="1" fillId="36" borderId="15" xfId="53" applyFont="1" applyFill="1" applyBorder="1" applyAlignment="1">
      <alignment vertical="center" wrapText="1"/>
      <protection/>
    </xf>
    <xf numFmtId="0" fontId="1" fillId="36" borderId="10" xfId="53" applyFont="1" applyFill="1" applyBorder="1" applyAlignment="1">
      <alignment horizontal="center" vertical="center" wrapText="1"/>
      <protection/>
    </xf>
    <xf numFmtId="0" fontId="1" fillId="36" borderId="17" xfId="53" applyFont="1" applyFill="1" applyBorder="1" applyAlignment="1">
      <alignment horizontal="center" vertical="center" wrapText="1"/>
      <protection/>
    </xf>
    <xf numFmtId="0" fontId="1" fillId="36" borderId="14" xfId="53" applyFont="1" applyFill="1" applyBorder="1" applyAlignment="1">
      <alignment horizontal="center" vertical="center" wrapText="1"/>
      <protection/>
    </xf>
    <xf numFmtId="0" fontId="2" fillId="36" borderId="0" xfId="53" applyFont="1" applyFill="1" applyAlignment="1">
      <alignment horizontal="center"/>
      <protection/>
    </xf>
    <xf numFmtId="0" fontId="2" fillId="36" borderId="0" xfId="53" applyFont="1" applyFill="1" applyAlignment="1">
      <alignment horizontal="left" vertical="center" wrapText="1"/>
      <protection/>
    </xf>
    <xf numFmtId="0" fontId="1" fillId="36" borderId="19" xfId="53" applyFont="1" applyFill="1" applyBorder="1" applyAlignment="1">
      <alignment horizontal="center" vertical="center" wrapText="1"/>
      <protection/>
    </xf>
    <xf numFmtId="0" fontId="24" fillId="36" borderId="0" xfId="53" applyFont="1" applyFill="1" applyAlignment="1">
      <alignment horizontal="center"/>
      <protection/>
    </xf>
    <xf numFmtId="0" fontId="1" fillId="36" borderId="16" xfId="53" applyFont="1" applyFill="1" applyBorder="1" applyAlignment="1">
      <alignment horizontal="center" vertical="center" wrapText="1"/>
      <protection/>
    </xf>
    <xf numFmtId="0" fontId="1" fillId="36" borderId="10" xfId="53" applyFont="1" applyFill="1" applyBorder="1" applyAlignment="1">
      <alignment vertical="center" wrapText="1"/>
      <protection/>
    </xf>
    <xf numFmtId="0" fontId="8" fillId="36" borderId="10" xfId="53" applyFont="1" applyFill="1" applyBorder="1">
      <alignment/>
      <protection/>
    </xf>
    <xf numFmtId="177" fontId="6" fillId="36" borderId="10" xfId="64" applyFont="1" applyFill="1" applyBorder="1" applyAlignment="1">
      <alignment horizontal="center" vertical="center"/>
    </xf>
    <xf numFmtId="181" fontId="8" fillId="36" borderId="10" xfId="53" applyNumberFormat="1" applyFont="1" applyFill="1" applyBorder="1">
      <alignment/>
      <protection/>
    </xf>
    <xf numFmtId="0" fontId="6" fillId="0" borderId="0" xfId="53" applyFont="1" applyAlignment="1">
      <alignment horizontal="right" wrapText="1"/>
      <protection/>
    </xf>
    <xf numFmtId="2" fontId="6" fillId="33"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6"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4" fillId="33" borderId="10" xfId="53" applyFont="1" applyFill="1" applyBorder="1" applyAlignment="1">
      <alignment horizontal="left" vertical="center" wrapText="1"/>
      <protection/>
    </xf>
    <xf numFmtId="0" fontId="24"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6" fillId="0" borderId="0" xfId="0" applyFont="1" applyAlignment="1">
      <alignment wrapText="1"/>
    </xf>
    <xf numFmtId="4" fontId="78" fillId="36" borderId="10" xfId="53" applyNumberFormat="1" applyFont="1" applyFill="1" applyBorder="1" applyAlignment="1">
      <alignment horizontal="center" vertical="center" wrapText="1"/>
      <protection/>
    </xf>
    <xf numFmtId="0" fontId="25" fillId="36" borderId="10" xfId="53" applyFont="1" applyFill="1" applyBorder="1" applyAlignment="1">
      <alignment horizontal="left" vertical="center" wrapText="1"/>
      <protection/>
    </xf>
    <xf numFmtId="0" fontId="81" fillId="0" borderId="10" xfId="0" applyFont="1" applyBorder="1" applyAlignment="1">
      <alignment wrapText="1"/>
    </xf>
    <xf numFmtId="0" fontId="82" fillId="36" borderId="10" xfId="53" applyFont="1" applyFill="1" applyBorder="1" applyAlignment="1">
      <alignment horizontal="center" vertical="center" wrapText="1"/>
      <protection/>
    </xf>
    <xf numFmtId="0" fontId="2" fillId="36" borderId="0" xfId="53" applyFont="1" applyFill="1" applyAlignment="1">
      <alignment horizontal="left"/>
      <protection/>
    </xf>
    <xf numFmtId="0" fontId="23" fillId="36" borderId="10" xfId="53" applyFont="1" applyFill="1" applyBorder="1" applyAlignment="1">
      <alignment horizontal="left" vertical="top" wrapText="1"/>
      <protection/>
    </xf>
    <xf numFmtId="0" fontId="6" fillId="36" borderId="12"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2" fillId="36" borderId="12" xfId="53" applyFont="1" applyFill="1" applyBorder="1" applyAlignment="1">
      <alignment horizontal="left" vertical="center" wrapText="1"/>
      <protection/>
    </xf>
    <xf numFmtId="0" fontId="2" fillId="36" borderId="13" xfId="53" applyFont="1" applyFill="1" applyBorder="1" applyAlignment="1">
      <alignment horizontal="center" vertical="center" wrapText="1"/>
      <protection/>
    </xf>
    <xf numFmtId="49" fontId="2" fillId="36" borderId="12" xfId="53" applyNumberFormat="1" applyFont="1" applyFill="1" applyBorder="1" applyAlignment="1">
      <alignment horizontal="center" vertical="center" wrapText="1"/>
      <protection/>
    </xf>
    <xf numFmtId="182" fontId="78" fillId="0" borderId="10" xfId="0" applyNumberFormat="1" applyFont="1" applyFill="1" applyBorder="1" applyAlignment="1">
      <alignment horizontal="center" vertical="center"/>
    </xf>
    <xf numFmtId="49" fontId="2" fillId="36" borderId="12" xfId="53" applyNumberFormat="1" applyFont="1" applyFill="1" applyBorder="1" applyAlignment="1">
      <alignment horizontal="left" vertical="center" wrapText="1"/>
      <protection/>
    </xf>
    <xf numFmtId="0" fontId="6" fillId="36" borderId="12" xfId="53" applyFont="1" applyFill="1" applyBorder="1" applyAlignment="1">
      <alignment horizontal="center" vertical="center" wrapText="1"/>
      <protection/>
    </xf>
    <xf numFmtId="0" fontId="6" fillId="0" borderId="10" xfId="0" applyFont="1" applyBorder="1" applyAlignment="1">
      <alignment wrapText="1"/>
    </xf>
    <xf numFmtId="177" fontId="78" fillId="0" borderId="10" xfId="64" applyFont="1" applyBorder="1" applyAlignment="1">
      <alignment horizontal="center" vertical="center" wrapText="1"/>
    </xf>
    <xf numFmtId="0" fontId="6" fillId="36" borderId="12" xfId="53" applyFont="1" applyFill="1" applyBorder="1" applyAlignment="1">
      <alignment horizontal="center" vertical="center" wrapText="1"/>
      <protection/>
    </xf>
    <xf numFmtId="0" fontId="6" fillId="36" borderId="17" xfId="53" applyFont="1" applyFill="1" applyBorder="1" applyAlignment="1">
      <alignment horizontal="center" vertical="center" wrapText="1"/>
      <protection/>
    </xf>
    <xf numFmtId="0" fontId="77" fillId="36" borderId="17" xfId="0" applyFont="1" applyFill="1" applyBorder="1" applyAlignment="1">
      <alignment horizontal="left" vertical="center" wrapText="1"/>
    </xf>
    <xf numFmtId="0" fontId="2" fillId="0" borderId="12" xfId="53" applyFont="1" applyBorder="1" applyAlignment="1">
      <alignment horizontal="center" vertical="center" wrapText="1"/>
      <protection/>
    </xf>
    <xf numFmtId="0" fontId="6" fillId="0" borderId="11" xfId="0" applyFont="1" applyBorder="1" applyAlignment="1">
      <alignment horizontal="center" vertical="center" wrapText="1"/>
    </xf>
    <xf numFmtId="177" fontId="1" fillId="0" borderId="12" xfId="64" applyFont="1" applyBorder="1" applyAlignment="1">
      <alignment horizontal="center" vertical="center" wrapText="1"/>
    </xf>
    <xf numFmtId="0" fontId="23" fillId="0" borderId="10" xfId="0" applyFont="1" applyBorder="1" applyAlignment="1">
      <alignment wrapText="1"/>
    </xf>
    <xf numFmtId="4" fontId="1" fillId="0" borderId="12" xfId="53" applyNumberFormat="1" applyFont="1" applyBorder="1" applyAlignment="1">
      <alignment horizontal="center" vertical="center"/>
      <protection/>
    </xf>
    <xf numFmtId="0" fontId="2" fillId="0" borderId="10" xfId="53" applyFont="1" applyBorder="1" applyAlignment="1">
      <alignment vertical="center" wrapText="1"/>
      <protection/>
    </xf>
    <xf numFmtId="0" fontId="6" fillId="36" borderId="12"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8"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 fillId="36" borderId="17" xfId="53" applyFont="1" applyFill="1" applyBorder="1" applyAlignment="1">
      <alignment horizontal="center" vertical="center" wrapText="1"/>
      <protection/>
    </xf>
    <xf numFmtId="0" fontId="1" fillId="36" borderId="12"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4" xfId="53" applyFont="1" applyBorder="1" applyAlignment="1">
      <alignment horizontal="left" vertical="center" wrapText="1"/>
      <protection/>
    </xf>
    <xf numFmtId="49" fontId="24" fillId="0" borderId="10" xfId="53" applyNumberFormat="1" applyFont="1" applyBorder="1" applyAlignment="1">
      <alignment horizontal="center" vertical="center" wrapText="1"/>
      <protection/>
    </xf>
    <xf numFmtId="49" fontId="2" fillId="36" borderId="22" xfId="53" applyNumberFormat="1" applyFont="1" applyFill="1" applyBorder="1" applyAlignment="1">
      <alignment vertical="center" wrapText="1"/>
      <protection/>
    </xf>
    <xf numFmtId="4" fontId="78" fillId="0" borderId="10" xfId="53" applyNumberFormat="1" applyFont="1" applyBorder="1" applyAlignment="1">
      <alignment horizontal="center" vertical="center" wrapText="1"/>
      <protection/>
    </xf>
    <xf numFmtId="4" fontId="78" fillId="0" borderId="10" xfId="53" applyNumberFormat="1"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0" borderId="0" xfId="53" applyFont="1" applyAlignment="1">
      <alignment horizontal="left" vertical="center"/>
      <protection/>
    </xf>
    <xf numFmtId="49" fontId="24" fillId="36" borderId="17" xfId="53" applyNumberFormat="1" applyFont="1" applyFill="1" applyBorder="1" applyAlignment="1">
      <alignment horizontal="center" vertical="center" wrapText="1"/>
      <protection/>
    </xf>
    <xf numFmtId="0" fontId="24" fillId="0" borderId="17" xfId="53" applyFont="1" applyBorder="1" applyAlignment="1">
      <alignment horizontal="left" vertical="center" wrapText="1"/>
      <protection/>
    </xf>
    <xf numFmtId="4" fontId="24" fillId="0" borderId="10" xfId="53" applyNumberFormat="1" applyFont="1" applyBorder="1" applyAlignment="1">
      <alignment horizontal="center" vertical="center" wrapText="1"/>
      <protection/>
    </xf>
    <xf numFmtId="4" fontId="24" fillId="33" borderId="10" xfId="53" applyNumberFormat="1" applyFont="1" applyFill="1" applyBorder="1" applyAlignment="1">
      <alignment horizontal="center" vertical="center" wrapText="1"/>
      <protection/>
    </xf>
    <xf numFmtId="49" fontId="6" fillId="36" borderId="12" xfId="53" applyNumberFormat="1" applyFont="1" applyFill="1" applyBorder="1" applyAlignment="1">
      <alignment horizontal="center" vertical="center" wrapText="1"/>
      <protection/>
    </xf>
    <xf numFmtId="49" fontId="26" fillId="36" borderId="10" xfId="53" applyNumberFormat="1" applyFont="1" applyFill="1" applyBorder="1" applyAlignment="1">
      <alignment horizontal="center" vertical="center" wrapText="1"/>
      <protection/>
    </xf>
    <xf numFmtId="0" fontId="27" fillId="36" borderId="10" xfId="53" applyFont="1" applyFill="1" applyBorder="1" applyAlignment="1">
      <alignment horizontal="left" vertical="center" wrapText="1"/>
      <protection/>
    </xf>
    <xf numFmtId="0" fontId="83" fillId="36" borderId="10" xfId="53" applyFont="1" applyFill="1" applyBorder="1" applyAlignment="1">
      <alignment horizontal="center" vertical="center" wrapText="1"/>
      <protection/>
    </xf>
    <xf numFmtId="4" fontId="27" fillId="36" borderId="10" xfId="53" applyNumberFormat="1" applyFont="1" applyFill="1" applyBorder="1" applyAlignment="1">
      <alignment horizontal="center" vertical="center" wrapText="1"/>
      <protection/>
    </xf>
    <xf numFmtId="0" fontId="2" fillId="36" borderId="0" xfId="53" applyFont="1" applyFill="1" applyBorder="1" applyAlignment="1">
      <alignment horizontal="left" vertical="center" wrapText="1"/>
      <protection/>
    </xf>
    <xf numFmtId="0" fontId="1" fillId="36" borderId="19"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179" fontId="6" fillId="36" borderId="12" xfId="53" applyNumberFormat="1" applyFont="1" applyFill="1" applyBorder="1" applyAlignment="1">
      <alignment horizontal="left" vertical="center" wrapText="1"/>
      <protection/>
    </xf>
    <xf numFmtId="0" fontId="2" fillId="36" borderId="10" xfId="53" applyFont="1" applyFill="1" applyBorder="1" applyAlignment="1">
      <alignment horizontal="center" vertical="center" wrapText="1"/>
      <protection/>
    </xf>
    <xf numFmtId="49" fontId="2" fillId="36" borderId="23" xfId="53" applyNumberFormat="1" applyFont="1" applyFill="1" applyBorder="1" applyAlignment="1">
      <alignment horizontal="center" vertical="center" wrapText="1"/>
      <protection/>
    </xf>
    <xf numFmtId="0" fontId="6" fillId="36" borderId="10" xfId="53" applyFont="1" applyFill="1" applyBorder="1" applyAlignment="1">
      <alignment horizontal="center"/>
      <protection/>
    </xf>
    <xf numFmtId="0" fontId="2" fillId="36" borderId="12" xfId="53" applyFont="1" applyFill="1" applyBorder="1" applyAlignment="1">
      <alignment horizontal="center" vertical="center" wrapText="1"/>
      <protection/>
    </xf>
    <xf numFmtId="0" fontId="2" fillId="36" borderId="14"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49" fontId="2" fillId="36" borderId="17" xfId="53" applyNumberFormat="1" applyFont="1" applyFill="1" applyBorder="1" applyAlignment="1">
      <alignment horizontal="center" vertical="center" wrapText="1"/>
      <protection/>
    </xf>
    <xf numFmtId="49" fontId="2" fillId="36" borderId="14" xfId="53" applyNumberFormat="1" applyFont="1" applyFill="1" applyBorder="1" applyAlignment="1">
      <alignment horizontal="center" vertical="center" wrapText="1"/>
      <protection/>
    </xf>
    <xf numFmtId="49" fontId="2" fillId="36" borderId="12" xfId="53" applyNumberFormat="1" applyFont="1" applyFill="1" applyBorder="1" applyAlignment="1">
      <alignment horizontal="center" vertical="center" wrapText="1"/>
      <protection/>
    </xf>
    <xf numFmtId="0" fontId="23" fillId="36" borderId="12" xfId="53" applyFont="1" applyFill="1" applyBorder="1" applyAlignment="1">
      <alignment horizontal="center" vertical="top" wrapText="1"/>
      <protection/>
    </xf>
    <xf numFmtId="0" fontId="28" fillId="0" borderId="10" xfId="0" applyFont="1" applyBorder="1" applyAlignment="1">
      <alignment wrapText="1"/>
    </xf>
    <xf numFmtId="49" fontId="2" fillId="36" borderId="22" xfId="53" applyNumberFormat="1" applyFont="1" applyFill="1" applyBorder="1" applyAlignment="1">
      <alignment horizontal="center" vertical="center" wrapText="1"/>
      <protection/>
    </xf>
    <xf numFmtId="49" fontId="2" fillId="36" borderId="18" xfId="53" applyNumberFormat="1" applyFont="1" applyFill="1" applyBorder="1" applyAlignment="1">
      <alignment horizontal="center" vertical="center" wrapText="1"/>
      <protection/>
    </xf>
    <xf numFmtId="4" fontId="2" fillId="36" borderId="16" xfId="53" applyNumberFormat="1" applyFont="1" applyFill="1" applyBorder="1" applyAlignment="1">
      <alignment horizontal="center" vertical="center" wrapText="1"/>
      <protection/>
    </xf>
    <xf numFmtId="4" fontId="27" fillId="36" borderId="16" xfId="53" applyNumberFormat="1"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0" borderId="17" xfId="53" applyFont="1" applyBorder="1" applyAlignment="1">
      <alignment horizontal="left" vertical="center" wrapText="1"/>
      <protection/>
    </xf>
    <xf numFmtId="0" fontId="29" fillId="0" borderId="0" xfId="0" applyFont="1" applyAlignment="1">
      <alignment/>
    </xf>
    <xf numFmtId="0" fontId="6" fillId="36" borderId="12" xfId="53" applyFont="1" applyFill="1" applyBorder="1" applyAlignment="1">
      <alignment horizontal="center" vertical="center" wrapText="1"/>
      <protection/>
    </xf>
    <xf numFmtId="0" fontId="23" fillId="36" borderId="12" xfId="53" applyFont="1" applyFill="1" applyBorder="1" applyAlignment="1">
      <alignment horizontal="center" vertical="top" wrapText="1"/>
      <protection/>
    </xf>
    <xf numFmtId="0" fontId="6" fillId="34" borderId="0" xfId="0" applyFont="1" applyFill="1" applyAlignment="1">
      <alignment horizontal="left"/>
    </xf>
    <xf numFmtId="0" fontId="0" fillId="39" borderId="0" xfId="0" applyFill="1" applyAlignment="1">
      <alignment/>
    </xf>
    <xf numFmtId="0" fontId="30" fillId="0" borderId="0" xfId="0" applyFont="1" applyAlignment="1">
      <alignment/>
    </xf>
    <xf numFmtId="49" fontId="6" fillId="39" borderId="10" xfId="53" applyNumberFormat="1" applyFont="1" applyFill="1" applyBorder="1" applyAlignment="1">
      <alignment horizontal="center" vertical="center" wrapText="1"/>
      <protection/>
    </xf>
    <xf numFmtId="2" fontId="6" fillId="39" borderId="10" xfId="53" applyNumberFormat="1" applyFont="1" applyFill="1" applyBorder="1" applyAlignment="1">
      <alignment horizontal="center" vertical="center" wrapText="1"/>
      <protection/>
    </xf>
    <xf numFmtId="0" fontId="0" fillId="39" borderId="0" xfId="53" applyFill="1">
      <alignment/>
      <protection/>
    </xf>
    <xf numFmtId="2" fontId="6" fillId="36" borderId="10" xfId="53" applyNumberFormat="1" applyFont="1" applyFill="1" applyBorder="1" applyAlignment="1">
      <alignment horizontal="center" vertical="center" wrapText="1"/>
      <protection/>
    </xf>
    <xf numFmtId="2" fontId="1" fillId="33" borderId="10" xfId="53" applyNumberFormat="1" applyFont="1" applyFill="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31" fillId="0" borderId="0" xfId="53" applyFont="1">
      <alignment/>
      <protection/>
    </xf>
    <xf numFmtId="0" fontId="1" fillId="36" borderId="17" xfId="53" applyFont="1" applyFill="1" applyBorder="1" applyAlignment="1">
      <alignment horizontal="center" vertical="center" wrapText="1"/>
      <protection/>
    </xf>
    <xf numFmtId="0" fontId="6" fillId="36" borderId="17"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49" fontId="6" fillId="36" borderId="17" xfId="53" applyNumberFormat="1" applyFont="1" applyFill="1" applyBorder="1" applyAlignment="1">
      <alignment horizontal="center" vertical="center" wrapText="1"/>
      <protection/>
    </xf>
    <xf numFmtId="49" fontId="6" fillId="36" borderId="12"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0" fontId="14" fillId="0" borderId="0" xfId="0" applyFont="1" applyAlignment="1">
      <alignment/>
    </xf>
    <xf numFmtId="4" fontId="6" fillId="36" borderId="12" xfId="53" applyNumberFormat="1" applyFont="1" applyFill="1" applyBorder="1" applyAlignment="1">
      <alignment horizontal="center" vertical="center" wrapText="1"/>
      <protection/>
    </xf>
    <xf numFmtId="4" fontId="6" fillId="40" borderId="12" xfId="53" applyNumberFormat="1" applyFont="1" applyFill="1" applyBorder="1" applyAlignment="1">
      <alignment horizontal="center" vertical="center" wrapText="1"/>
      <protection/>
    </xf>
    <xf numFmtId="0" fontId="6" fillId="40" borderId="11" xfId="53" applyFont="1" applyFill="1" applyBorder="1" applyAlignment="1">
      <alignment horizontal="center" vertical="center" wrapText="1"/>
      <protection/>
    </xf>
    <xf numFmtId="0" fontId="31" fillId="0" borderId="0" xfId="0" applyFont="1" applyAlignment="1">
      <alignment/>
    </xf>
    <xf numFmtId="0" fontId="2" fillId="40" borderId="0" xfId="53" applyFont="1" applyFill="1">
      <alignment/>
      <protection/>
    </xf>
    <xf numFmtId="0" fontId="0" fillId="40" borderId="0" xfId="53" applyFill="1">
      <alignment/>
      <protection/>
    </xf>
    <xf numFmtId="0" fontId="19" fillId="0" borderId="10" xfId="0" applyFont="1" applyBorder="1" applyAlignment="1">
      <alignment horizontal="left" vertical="center" wrapText="1"/>
    </xf>
    <xf numFmtId="0" fontId="81" fillId="0" borderId="10" xfId="0" applyFont="1" applyBorder="1" applyAlignment="1">
      <alignment horizontal="left" wrapText="1"/>
    </xf>
    <xf numFmtId="0" fontId="6" fillId="40" borderId="17"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8" fillId="40" borderId="17" xfId="53" applyFont="1" applyFill="1" applyBorder="1" applyAlignment="1">
      <alignment horizontal="center" vertical="center" wrapText="1"/>
      <protection/>
    </xf>
    <xf numFmtId="0" fontId="6" fillId="40" borderId="17" xfId="53" applyFont="1" applyFill="1" applyBorder="1" applyAlignment="1">
      <alignment horizontal="left" vertical="center" wrapText="1"/>
      <protection/>
    </xf>
    <xf numFmtId="4" fontId="1" fillId="40" borderId="12" xfId="53" applyNumberFormat="1" applyFont="1" applyFill="1" applyBorder="1" applyAlignment="1">
      <alignment horizontal="center" vertical="center" wrapText="1"/>
      <protection/>
    </xf>
    <xf numFmtId="0" fontId="8" fillId="40" borderId="12" xfId="53" applyFont="1" applyFill="1" applyBorder="1" applyAlignment="1">
      <alignment horizontal="center" vertical="center" wrapText="1"/>
      <protection/>
    </xf>
    <xf numFmtId="0" fontId="6" fillId="40"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6" borderId="17" xfId="0" applyFont="1" applyFill="1" applyBorder="1" applyAlignment="1">
      <alignment horizontal="left" vertical="center" wrapText="1"/>
    </xf>
    <xf numFmtId="0" fontId="32" fillId="0" borderId="14" xfId="53" applyFont="1" applyBorder="1" applyAlignment="1">
      <alignment horizontal="center" vertical="center" wrapText="1"/>
      <protection/>
    </xf>
    <xf numFmtId="0" fontId="3" fillId="0" borderId="0" xfId="53" applyFont="1">
      <alignment/>
      <protection/>
    </xf>
    <xf numFmtId="0" fontId="1" fillId="36" borderId="17" xfId="53" applyFont="1" applyFill="1" applyBorder="1" applyAlignment="1">
      <alignment horizontal="left" vertical="center" wrapText="1"/>
      <protection/>
    </xf>
    <xf numFmtId="0" fontId="3" fillId="36" borderId="0" xfId="53" applyFont="1" applyFill="1">
      <alignment/>
      <protection/>
    </xf>
    <xf numFmtId="0" fontId="31" fillId="36" borderId="0" xfId="53" applyFont="1" applyFill="1">
      <alignment/>
      <protection/>
    </xf>
    <xf numFmtId="4" fontId="6" fillId="36" borderId="12" xfId="53" applyNumberFormat="1" applyFont="1" applyFill="1" applyBorder="1" applyAlignment="1">
      <alignment horizontal="center" vertical="center" wrapText="1"/>
      <protection/>
    </xf>
    <xf numFmtId="0" fontId="6" fillId="0" borderId="17" xfId="0" applyFont="1" applyBorder="1" applyAlignment="1">
      <alignment horizontal="left" vertical="center" wrapText="1"/>
    </xf>
    <xf numFmtId="178" fontId="1" fillId="0" borderId="10" xfId="53" applyNumberFormat="1" applyFont="1" applyBorder="1" applyAlignment="1">
      <alignment horizontal="center" vertical="center"/>
      <protection/>
    </xf>
    <xf numFmtId="0" fontId="6" fillId="0" borderId="14" xfId="0" applyFont="1" applyFill="1" applyBorder="1" applyAlignment="1">
      <alignment horizontal="left" vertical="center" wrapText="1"/>
    </xf>
    <xf numFmtId="4" fontId="6" fillId="36" borderId="12" xfId="53" applyNumberFormat="1" applyFont="1" applyFill="1" applyBorder="1" applyAlignment="1">
      <alignment horizontal="center" vertical="center" wrapText="1"/>
      <protection/>
    </xf>
    <xf numFmtId="0" fontId="1" fillId="36" borderId="12" xfId="53" applyFont="1" applyFill="1" applyBorder="1" applyAlignment="1">
      <alignment horizontal="center" vertical="center" wrapText="1"/>
      <protection/>
    </xf>
    <xf numFmtId="0" fontId="6" fillId="36" borderId="17"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0" fontId="6" fillId="36" borderId="12" xfId="53" applyFont="1" applyFill="1" applyBorder="1" applyAlignment="1">
      <alignment horizontal="left" vertical="center" wrapText="1"/>
      <protection/>
    </xf>
    <xf numFmtId="182" fontId="78" fillId="36" borderId="10" xfId="0" applyNumberFormat="1" applyFont="1" applyFill="1" applyBorder="1" applyAlignment="1">
      <alignment horizontal="center" vertical="center"/>
    </xf>
    <xf numFmtId="181" fontId="6" fillId="36" borderId="10" xfId="53" applyNumberFormat="1"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2" fillId="36" borderId="17" xfId="53" applyFont="1" applyFill="1" applyBorder="1" applyAlignment="1">
      <alignment horizontal="left" vertical="center" wrapText="1"/>
      <protection/>
    </xf>
    <xf numFmtId="0" fontId="6" fillId="36" borderId="14" xfId="53" applyFont="1" applyFill="1" applyBorder="1" applyAlignment="1">
      <alignment horizontal="left" vertical="center" wrapText="1"/>
      <protection/>
    </xf>
    <xf numFmtId="0" fontId="6" fillId="0" borderId="10" xfId="53" applyFont="1" applyBorder="1">
      <alignment/>
      <protection/>
    </xf>
    <xf numFmtId="180" fontId="1" fillId="0" borderId="10" xfId="0" applyNumberFormat="1" applyFont="1" applyBorder="1" applyAlignment="1">
      <alignment horizontal="center" vertical="center" wrapText="1"/>
    </xf>
    <xf numFmtId="180" fontId="6" fillId="0" borderId="12"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Border="1" applyAlignment="1">
      <alignment horizontal="center" vertical="center" wrapText="1"/>
    </xf>
    <xf numFmtId="0" fontId="33" fillId="0" borderId="0" xfId="0" applyFont="1" applyAlignment="1">
      <alignment horizontal="center" vertical="center"/>
    </xf>
    <xf numFmtId="0" fontId="6" fillId="0" borderId="10" xfId="0" applyFont="1" applyBorder="1" applyAlignment="1">
      <alignment horizontal="center" vertical="center"/>
    </xf>
    <xf numFmtId="0" fontId="33" fillId="0" borderId="10" xfId="0" applyFont="1" applyBorder="1" applyAlignment="1">
      <alignment horizontal="center" vertical="center"/>
    </xf>
    <xf numFmtId="0" fontId="33" fillId="0" borderId="0" xfId="0" applyFont="1" applyAlignment="1">
      <alignment/>
    </xf>
    <xf numFmtId="0" fontId="6" fillId="39" borderId="10" xfId="53" applyFont="1" applyFill="1" applyBorder="1" applyAlignment="1">
      <alignment horizontal="left" vertical="center" wrapText="1"/>
      <protection/>
    </xf>
    <xf numFmtId="0" fontId="8" fillId="0" borderId="0" xfId="53" applyFont="1" applyBorder="1" applyAlignment="1">
      <alignment/>
      <protection/>
    </xf>
    <xf numFmtId="0" fontId="6" fillId="36" borderId="10" xfId="0" applyFont="1" applyFill="1" applyBorder="1" applyAlignment="1">
      <alignment horizontal="left" wrapText="1"/>
    </xf>
    <xf numFmtId="0" fontId="6" fillId="36" borderId="17" xfId="0" applyFont="1" applyFill="1" applyBorder="1" applyAlignment="1">
      <alignment horizontal="left" wrapText="1"/>
    </xf>
    <xf numFmtId="49" fontId="77" fillId="36" borderId="10" xfId="0" applyNumberFormat="1" applyFont="1" applyFill="1" applyBorder="1" applyAlignment="1">
      <alignment horizontal="left" wrapText="1"/>
    </xf>
    <xf numFmtId="0" fontId="6" fillId="39" borderId="10" xfId="53" applyFont="1" applyFill="1" applyBorder="1" applyAlignment="1">
      <alignment horizontal="center" vertical="center" wrapText="1"/>
      <protection/>
    </xf>
    <xf numFmtId="0" fontId="6" fillId="39" borderId="12" xfId="53" applyFont="1" applyFill="1" applyBorder="1" applyAlignment="1">
      <alignment horizontal="center" vertical="center" wrapText="1"/>
      <protection/>
    </xf>
    <xf numFmtId="0" fontId="6" fillId="36" borderId="0" xfId="0" applyFont="1" applyFill="1" applyAlignment="1">
      <alignment horizontal="left" vertical="center" wrapText="1"/>
    </xf>
    <xf numFmtId="0" fontId="6" fillId="39" borderId="11" xfId="53" applyFont="1" applyFill="1" applyBorder="1" applyAlignment="1">
      <alignment horizontal="center" vertical="center" wrapText="1"/>
      <protection/>
    </xf>
    <xf numFmtId="0" fontId="1" fillId="39" borderId="15" xfId="53" applyFont="1" applyFill="1" applyBorder="1" applyAlignment="1">
      <alignment horizontal="center" vertical="center" wrapText="1"/>
      <protection/>
    </xf>
    <xf numFmtId="0" fontId="6" fillId="36" borderId="11" xfId="0" applyFont="1" applyFill="1" applyBorder="1" applyAlignment="1">
      <alignment horizontal="left" vertical="center" wrapText="1"/>
    </xf>
    <xf numFmtId="0" fontId="77" fillId="36" borderId="11" xfId="0" applyFont="1" applyFill="1" applyBorder="1" applyAlignment="1">
      <alignment horizontal="left" vertical="center" wrapText="1"/>
    </xf>
    <xf numFmtId="0" fontId="6" fillId="36" borderId="11" xfId="54" applyFont="1" applyFill="1" applyBorder="1" applyAlignment="1">
      <alignment horizontal="left" vertical="center" wrapText="1"/>
      <protection/>
    </xf>
    <xf numFmtId="0" fontId="77" fillId="36" borderId="15" xfId="0" applyFont="1" applyFill="1" applyBorder="1" applyAlignment="1">
      <alignment horizontal="left" vertical="center" wrapText="1"/>
    </xf>
    <xf numFmtId="0" fontId="1" fillId="39" borderId="11" xfId="0" applyFont="1" applyFill="1" applyBorder="1" applyAlignment="1">
      <alignment wrapText="1"/>
    </xf>
    <xf numFmtId="0" fontId="81"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6" borderId="11" xfId="0" applyFont="1" applyFill="1" applyBorder="1" applyAlignment="1">
      <alignment horizontal="justify" vertical="center" wrapText="1"/>
    </xf>
    <xf numFmtId="0" fontId="6" fillId="39"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9" borderId="10" xfId="0" applyNumberFormat="1" applyFont="1" applyFill="1" applyBorder="1" applyAlignment="1">
      <alignment horizontal="center" vertical="center"/>
    </xf>
    <xf numFmtId="49" fontId="6" fillId="36" borderId="10" xfId="0" applyNumberFormat="1" applyFont="1" applyFill="1" applyBorder="1" applyAlignment="1">
      <alignment horizontal="center" vertical="center"/>
    </xf>
    <xf numFmtId="49" fontId="1" fillId="39" borderId="10" xfId="0" applyNumberFormat="1" applyFont="1" applyFill="1" applyBorder="1" applyAlignment="1">
      <alignment horizontal="center" vertical="center"/>
    </xf>
    <xf numFmtId="4" fontId="15" fillId="36" borderId="10" xfId="53" applyNumberFormat="1" applyFont="1" applyFill="1" applyBorder="1" applyAlignment="1">
      <alignment horizontal="center" vertical="center" wrapText="1"/>
      <protection/>
    </xf>
    <xf numFmtId="0" fontId="34" fillId="0" borderId="0" xfId="53" applyFont="1" applyBorder="1" applyAlignment="1">
      <alignment horizontal="left" vertical="center" wrapText="1"/>
      <protection/>
    </xf>
    <xf numFmtId="0" fontId="15" fillId="0" borderId="0" xfId="53" applyFont="1" applyBorder="1" applyAlignment="1">
      <alignment horizontal="left" vertical="center" wrapText="1"/>
      <protection/>
    </xf>
    <xf numFmtId="0" fontId="34" fillId="0" borderId="0" xfId="53" applyFont="1" applyAlignment="1">
      <alignment horizontal="center" vertical="center" wrapText="1"/>
      <protection/>
    </xf>
    <xf numFmtId="178" fontId="34" fillId="0" borderId="0" xfId="53" applyNumberFormat="1" applyFont="1" applyAlignment="1">
      <alignment horizontal="center" vertical="center" wrapText="1"/>
      <protection/>
    </xf>
    <xf numFmtId="0" fontId="35" fillId="0" borderId="0" xfId="53" applyFont="1">
      <alignment/>
      <protection/>
    </xf>
    <xf numFmtId="0" fontId="15" fillId="0" borderId="0" xfId="53" applyFont="1" applyAlignment="1">
      <alignment horizontal="center"/>
      <protection/>
    </xf>
    <xf numFmtId="0" fontId="34" fillId="36" borderId="0" xfId="53" applyFont="1" applyFill="1" applyAlignment="1">
      <alignment horizontal="center" vertical="center" wrapText="1"/>
      <protection/>
    </xf>
    <xf numFmtId="178" fontId="34" fillId="36" borderId="0" xfId="53" applyNumberFormat="1" applyFont="1" applyFill="1" applyBorder="1" applyAlignment="1">
      <alignment horizontal="center" vertical="center" wrapText="1"/>
      <protection/>
    </xf>
    <xf numFmtId="0" fontId="35" fillId="36" borderId="0" xfId="53" applyFont="1" applyFill="1">
      <alignment/>
      <protection/>
    </xf>
    <xf numFmtId="2" fontId="35" fillId="36" borderId="0" xfId="53" applyNumberFormat="1" applyFont="1" applyFill="1">
      <alignment/>
      <protection/>
    </xf>
    <xf numFmtId="183" fontId="15" fillId="36" borderId="0" xfId="64" applyNumberFormat="1" applyFont="1" applyFill="1" applyBorder="1" applyAlignment="1">
      <alignment horizontal="center" vertical="center"/>
    </xf>
    <xf numFmtId="178" fontId="15" fillId="36" borderId="0" xfId="53" applyNumberFormat="1" applyFont="1" applyFill="1" applyBorder="1" applyAlignment="1">
      <alignment horizontal="center" vertical="center"/>
      <protection/>
    </xf>
    <xf numFmtId="0" fontId="35" fillId="0" borderId="0" xfId="0" applyFont="1" applyAlignment="1">
      <alignment/>
    </xf>
    <xf numFmtId="0" fontId="34" fillId="0" borderId="0" xfId="53" applyFont="1">
      <alignment/>
      <protection/>
    </xf>
    <xf numFmtId="0" fontId="34" fillId="0" borderId="0" xfId="53" applyFont="1" applyAlignment="1">
      <alignment horizontal="center"/>
      <protection/>
    </xf>
    <xf numFmtId="0" fontId="34" fillId="0" borderId="0" xfId="53" applyFont="1" applyAlignment="1">
      <alignment vertical="center" wrapText="1"/>
      <protection/>
    </xf>
    <xf numFmtId="0" fontId="15" fillId="0" borderId="0" xfId="53" applyFont="1" applyAlignment="1">
      <alignment vertical="center" wrapText="1"/>
      <protection/>
    </xf>
    <xf numFmtId="0" fontId="34" fillId="0" borderId="0" xfId="0" applyFont="1" applyAlignment="1">
      <alignment/>
    </xf>
    <xf numFmtId="178" fontId="34" fillId="36" borderId="0" xfId="0" applyNumberFormat="1" applyFont="1" applyFill="1" applyBorder="1" applyAlignment="1">
      <alignment horizontal="center" vertical="center"/>
    </xf>
    <xf numFmtId="178" fontId="34" fillId="0" borderId="0" xfId="0" applyNumberFormat="1" applyFont="1" applyBorder="1" applyAlignment="1">
      <alignment horizontal="center" vertical="center"/>
    </xf>
    <xf numFmtId="2" fontId="34" fillId="0" borderId="0" xfId="0" applyNumberFormat="1" applyFont="1" applyBorder="1" applyAlignment="1">
      <alignment horizontal="center" vertical="center" wrapText="1"/>
    </xf>
    <xf numFmtId="0" fontId="6" fillId="36" borderId="17"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0" fontId="8" fillId="36" borderId="17" xfId="53"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192" fontId="0" fillId="39" borderId="0" xfId="0" applyNumberFormat="1" applyFill="1" applyAlignment="1">
      <alignment/>
    </xf>
    <xf numFmtId="0" fontId="6" fillId="36" borderId="17" xfId="53" applyFont="1" applyFill="1" applyBorder="1" applyAlignment="1">
      <alignment horizontal="center" vertical="center" wrapText="1"/>
      <protection/>
    </xf>
    <xf numFmtId="0" fontId="1" fillId="36" borderId="17"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0" fontId="6" fillId="36" borderId="17"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0" fontId="6" fillId="36" borderId="17"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17"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77" fillId="36"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6" borderId="10" xfId="53" applyFont="1" applyFill="1" applyBorder="1" applyAlignment="1">
      <alignment horizontal="center" vertical="center" wrapText="1"/>
      <protection/>
    </xf>
    <xf numFmtId="2" fontId="1" fillId="39" borderId="10" xfId="64" applyNumberFormat="1" applyFont="1" applyFill="1" applyBorder="1" applyAlignment="1">
      <alignment horizontal="center" vertical="center" wrapText="1"/>
    </xf>
    <xf numFmtId="2" fontId="1" fillId="39"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6"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78" fillId="0" borderId="12" xfId="64" applyNumberFormat="1" applyFont="1" applyBorder="1" applyAlignment="1">
      <alignment horizontal="center" vertical="center" wrapText="1"/>
    </xf>
    <xf numFmtId="2" fontId="6" fillId="36"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4" fontId="2" fillId="0" borderId="12" xfId="53" applyNumberFormat="1" applyFont="1" applyFill="1" applyBorder="1" applyAlignment="1">
      <alignment horizontal="center" vertical="center" wrapText="1"/>
      <protection/>
    </xf>
    <xf numFmtId="178" fontId="1" fillId="36" borderId="10" xfId="53" applyNumberFormat="1" applyFont="1" applyFill="1" applyBorder="1" applyAlignment="1">
      <alignment horizontal="center" vertical="center"/>
      <protection/>
    </xf>
    <xf numFmtId="0" fontId="31" fillId="39" borderId="0" xfId="0" applyFont="1" applyFill="1" applyAlignment="1">
      <alignment/>
    </xf>
    <xf numFmtId="0" fontId="31" fillId="41" borderId="0" xfId="0" applyFont="1" applyFill="1" applyAlignment="1">
      <alignment/>
    </xf>
    <xf numFmtId="178" fontId="0" fillId="41" borderId="0" xfId="0" applyNumberFormat="1" applyFill="1" applyAlignment="1">
      <alignment/>
    </xf>
    <xf numFmtId="0" fontId="0" fillId="41" borderId="0" xfId="0" applyFill="1" applyAlignment="1">
      <alignment/>
    </xf>
    <xf numFmtId="178" fontId="1" fillId="36" borderId="10" xfId="0" applyNumberFormat="1" applyFont="1" applyFill="1" applyBorder="1" applyAlignment="1">
      <alignment horizontal="center" vertical="center"/>
    </xf>
    <xf numFmtId="0" fontId="78" fillId="36" borderId="10" xfId="0" applyFont="1" applyFill="1" applyBorder="1" applyAlignment="1">
      <alignment horizontal="left" vertical="center" wrapText="1"/>
    </xf>
    <xf numFmtId="178" fontId="6" fillId="36" borderId="10" xfId="0" applyNumberFormat="1" applyFont="1" applyFill="1" applyBorder="1" applyAlignment="1">
      <alignment horizontal="center" vertical="center"/>
    </xf>
    <xf numFmtId="0" fontId="78" fillId="36" borderId="10" xfId="0" applyFont="1" applyFill="1" applyBorder="1" applyAlignment="1">
      <alignment horizontal="left" wrapText="1"/>
    </xf>
    <xf numFmtId="0" fontId="6" fillId="36" borderId="10" xfId="0" applyFont="1" applyFill="1" applyBorder="1" applyAlignment="1">
      <alignment horizontal="center" vertical="center"/>
    </xf>
    <xf numFmtId="178" fontId="6" fillId="36" borderId="14" xfId="0" applyNumberFormat="1" applyFont="1" applyFill="1" applyBorder="1" applyAlignment="1">
      <alignment horizontal="center" vertical="center"/>
    </xf>
    <xf numFmtId="178" fontId="6" fillId="36" borderId="10" xfId="0" applyNumberFormat="1" applyFont="1" applyFill="1" applyBorder="1" applyAlignment="1">
      <alignment/>
    </xf>
    <xf numFmtId="0" fontId="1" fillId="36" borderId="10" xfId="0" applyFont="1" applyFill="1" applyBorder="1" applyAlignment="1">
      <alignment horizontal="left" vertical="center" wrapText="1"/>
    </xf>
    <xf numFmtId="178" fontId="6" fillId="36" borderId="10" xfId="53" applyNumberFormat="1" applyFont="1" applyFill="1" applyBorder="1" applyAlignment="1">
      <alignment horizontal="center" vertical="center"/>
      <protection/>
    </xf>
    <xf numFmtId="4" fontId="6" fillId="36" borderId="10" xfId="53" applyNumberFormat="1" applyFont="1" applyFill="1" applyBorder="1" applyAlignment="1">
      <alignment horizontal="center" vertical="center"/>
      <protection/>
    </xf>
    <xf numFmtId="0" fontId="23" fillId="36" borderId="10" xfId="0" applyFont="1" applyFill="1" applyBorder="1" applyAlignment="1">
      <alignment horizontal="left" vertical="center" wrapText="1"/>
    </xf>
    <xf numFmtId="179" fontId="23" fillId="36" borderId="10" xfId="0" applyNumberFormat="1" applyFont="1" applyFill="1" applyBorder="1" applyAlignment="1">
      <alignment horizontal="left" vertical="top" wrapText="1"/>
    </xf>
    <xf numFmtId="182" fontId="23" fillId="36" borderId="10" xfId="0" applyNumberFormat="1" applyFont="1" applyFill="1" applyBorder="1" applyAlignment="1">
      <alignment horizontal="center" vertical="center"/>
    </xf>
    <xf numFmtId="49" fontId="0" fillId="0" borderId="0" xfId="53" applyNumberFormat="1">
      <alignment/>
      <protection/>
    </xf>
    <xf numFmtId="49" fontId="6" fillId="34" borderId="10" xfId="53" applyNumberFormat="1" applyFont="1" applyFill="1" applyBorder="1" applyAlignment="1">
      <alignment horizontal="center" vertical="center" wrapText="1"/>
      <protection/>
    </xf>
    <xf numFmtId="0" fontId="2" fillId="34" borderId="0" xfId="53" applyFont="1" applyFill="1">
      <alignment/>
      <protection/>
    </xf>
    <xf numFmtId="0" fontId="1" fillId="34" borderId="0" xfId="53" applyFont="1" applyFill="1" applyAlignment="1">
      <alignment horizontal="center" wrapText="1"/>
      <protection/>
    </xf>
    <xf numFmtId="0" fontId="1" fillId="34" borderId="17" xfId="53" applyFont="1" applyFill="1" applyBorder="1" applyAlignment="1">
      <alignment horizontal="center" vertical="center" wrapText="1"/>
      <protection/>
    </xf>
    <xf numFmtId="0" fontId="6" fillId="34" borderId="0" xfId="53" applyFont="1" applyFill="1" applyAlignment="1">
      <alignment horizontal="center" vertical="center" wrapText="1"/>
      <protection/>
    </xf>
    <xf numFmtId="0" fontId="2" fillId="34" borderId="0" xfId="53" applyFont="1" applyFill="1" applyAlignment="1">
      <alignment horizontal="center" vertical="center" wrapText="1"/>
      <protection/>
    </xf>
    <xf numFmtId="49" fontId="1" fillId="34" borderId="12" xfId="53" applyNumberFormat="1"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0" fillId="34" borderId="0" xfId="53" applyFont="1" applyFill="1">
      <alignment/>
      <protection/>
    </xf>
    <xf numFmtId="0" fontId="6" fillId="36" borderId="10" xfId="53" applyFont="1" applyFill="1" applyBorder="1" applyAlignment="1">
      <alignment horizontal="center" vertical="center" wrapText="1"/>
      <protection/>
    </xf>
    <xf numFmtId="4" fontId="6" fillId="36" borderId="10" xfId="53" applyNumberFormat="1" applyFont="1" applyFill="1" applyBorder="1" applyAlignment="1">
      <alignment horizontal="center"/>
      <protection/>
    </xf>
    <xf numFmtId="4" fontId="6" fillId="36" borderId="10" xfId="53" applyNumberFormat="1" applyFont="1" applyFill="1" applyBorder="1" applyAlignment="1">
      <alignment vertical="center"/>
      <protection/>
    </xf>
    <xf numFmtId="49" fontId="2" fillId="36" borderId="17"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0" fontId="6" fillId="36" borderId="12"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53" applyFont="1" applyFill="1" applyBorder="1" applyAlignment="1">
      <alignment horizontal="left" vertical="center" wrapText="1"/>
      <protection/>
    </xf>
    <xf numFmtId="4" fontId="6"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49" fontId="0" fillId="36" borderId="0" xfId="53" applyNumberFormat="1" applyFill="1">
      <alignment/>
      <protection/>
    </xf>
    <xf numFmtId="49" fontId="2" fillId="36" borderId="10" xfId="53" applyNumberFormat="1" applyFont="1" applyFill="1" applyBorder="1" applyAlignment="1">
      <alignment horizontal="center" vertical="center" wrapText="1"/>
      <protection/>
    </xf>
    <xf numFmtId="49" fontId="2" fillId="0" borderId="17" xfId="53" applyNumberFormat="1" applyFont="1" applyBorder="1" applyAlignment="1">
      <alignment horizontal="center" vertical="center" wrapText="1"/>
      <protection/>
    </xf>
    <xf numFmtId="49" fontId="23" fillId="36" borderId="10" xfId="0" applyNumberFormat="1" applyFont="1" applyFill="1" applyBorder="1" applyAlignment="1">
      <alignment horizontal="center" vertical="center" wrapText="1"/>
    </xf>
    <xf numFmtId="0" fontId="23" fillId="36" borderId="17"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6" borderId="12" xfId="0" applyFont="1" applyFill="1" applyBorder="1" applyAlignment="1">
      <alignment horizontal="center" vertical="center" wrapText="1"/>
    </xf>
    <xf numFmtId="182" fontId="2" fillId="36" borderId="12" xfId="0" applyNumberFormat="1" applyFont="1" applyFill="1" applyBorder="1" applyAlignment="1">
      <alignment horizontal="center" vertical="center" wrapText="1"/>
    </xf>
    <xf numFmtId="4" fontId="2" fillId="0" borderId="10" xfId="53" applyNumberFormat="1" applyFont="1" applyBorder="1" applyAlignment="1">
      <alignment horizontal="center" vertical="center" wrapText="1"/>
      <protection/>
    </xf>
    <xf numFmtId="0" fontId="6" fillId="36" borderId="10" xfId="0" applyFont="1" applyFill="1" applyBorder="1" applyAlignment="1">
      <alignment horizontal="left" vertical="center" wrapText="1"/>
    </xf>
    <xf numFmtId="0" fontId="6" fillId="36" borderId="17" xfId="53" applyFont="1" applyFill="1" applyBorder="1" applyAlignment="1">
      <alignment horizontal="center" vertical="center" wrapText="1"/>
      <protection/>
    </xf>
    <xf numFmtId="0" fontId="2" fillId="36" borderId="0" xfId="53" applyFont="1" applyFill="1" applyAlignment="1">
      <alignment horizontal="left" vertical="center" wrapText="1"/>
      <protection/>
    </xf>
    <xf numFmtId="0" fontId="6" fillId="36" borderId="17"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182" fontId="6" fillId="0" borderId="17" xfId="53" applyNumberFormat="1" applyFont="1" applyBorder="1" applyAlignment="1">
      <alignment horizontal="center" vertical="center" wrapText="1"/>
      <protection/>
    </xf>
    <xf numFmtId="182" fontId="6" fillId="0" borderId="10" xfId="53" applyNumberFormat="1" applyFont="1" applyBorder="1" applyAlignment="1">
      <alignment horizontal="center" vertical="center" wrapText="1"/>
      <protection/>
    </xf>
    <xf numFmtId="182" fontId="6" fillId="0" borderId="10" xfId="53" applyNumberFormat="1" applyFont="1" applyFill="1" applyBorder="1" applyAlignment="1">
      <alignment horizontal="center" vertical="center" wrapText="1"/>
      <protection/>
    </xf>
    <xf numFmtId="182" fontId="2" fillId="0" borderId="17" xfId="53" applyNumberFormat="1" applyFont="1" applyBorder="1" applyAlignment="1">
      <alignment horizontal="center" vertical="center" wrapText="1"/>
      <protection/>
    </xf>
    <xf numFmtId="182" fontId="2" fillId="0" borderId="10" xfId="53" applyNumberFormat="1" applyFont="1" applyBorder="1" applyAlignment="1">
      <alignment horizontal="center" vertical="center" wrapText="1"/>
      <protection/>
    </xf>
    <xf numFmtId="182"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6" borderId="0" xfId="53" applyFont="1" applyFill="1" applyAlignment="1">
      <alignment vertical="center" wrapText="1"/>
      <protection/>
    </xf>
    <xf numFmtId="4" fontId="6" fillId="36" borderId="17" xfId="53" applyNumberFormat="1" applyFont="1" applyFill="1" applyBorder="1" applyAlignment="1">
      <alignment vertical="center" wrapText="1"/>
      <protection/>
    </xf>
    <xf numFmtId="4" fontId="6" fillId="36" borderId="14" xfId="53" applyNumberFormat="1" applyFont="1" applyFill="1" applyBorder="1" applyAlignment="1">
      <alignment horizontal="center" vertical="center" wrapText="1"/>
      <protection/>
    </xf>
    <xf numFmtId="4" fontId="6" fillId="36" borderId="10" xfId="53" applyNumberFormat="1" applyFont="1" applyFill="1" applyBorder="1" applyAlignment="1">
      <alignment vertical="center" wrapText="1"/>
      <protection/>
    </xf>
    <xf numFmtId="49" fontId="6" fillId="36" borderId="10" xfId="53" applyNumberFormat="1" applyFont="1" applyFill="1" applyBorder="1" applyAlignment="1">
      <alignment horizontal="right" vertical="center" wrapText="1"/>
      <protection/>
    </xf>
    <xf numFmtId="0" fontId="6" fillId="36" borderId="17"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0" fontId="6" fillId="36" borderId="10" xfId="0" applyFont="1" applyFill="1" applyBorder="1" applyAlignment="1">
      <alignment horizontal="center" vertical="center" wrapText="1"/>
    </xf>
    <xf numFmtId="0" fontId="6" fillId="36" borderId="10" xfId="0" applyFont="1" applyFill="1" applyBorder="1" applyAlignment="1">
      <alignment horizontal="center" vertical="center"/>
    </xf>
    <xf numFmtId="4" fontId="6" fillId="36" borderId="12"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0" fillId="0" borderId="0" xfId="53" applyAlignment="1">
      <alignment wrapText="1"/>
      <protection/>
    </xf>
    <xf numFmtId="0" fontId="2" fillId="36" borderId="12" xfId="53" applyFont="1" applyFill="1" applyBorder="1" applyAlignment="1">
      <alignment horizontal="center" vertical="center" wrapText="1"/>
      <protection/>
    </xf>
    <xf numFmtId="0" fontId="2" fillId="36" borderId="0" xfId="53" applyFont="1" applyFill="1" applyAlignment="1">
      <alignment horizontal="left" vertical="center" wrapText="1"/>
      <protection/>
    </xf>
    <xf numFmtId="0" fontId="2" fillId="0" borderId="0" xfId="0" applyFont="1" applyAlignment="1">
      <alignment horizontal="left" wrapText="1"/>
    </xf>
    <xf numFmtId="0" fontId="6" fillId="36" borderId="10"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25" fillId="36" borderId="10" xfId="53" applyFont="1" applyFill="1" applyBorder="1" applyAlignment="1">
      <alignment vertical="center" wrapText="1"/>
      <protection/>
    </xf>
    <xf numFmtId="0" fontId="25" fillId="36" borderId="12" xfId="53" applyFont="1" applyFill="1" applyBorder="1" applyAlignment="1">
      <alignment horizontal="left" vertical="center" wrapText="1"/>
      <protection/>
    </xf>
    <xf numFmtId="0" fontId="2" fillId="36" borderId="0" xfId="53" applyFont="1" applyFill="1" applyBorder="1" applyAlignment="1">
      <alignment horizontal="left" vertical="center" wrapText="1"/>
      <protection/>
    </xf>
    <xf numFmtId="0" fontId="1" fillId="36" borderId="17" xfId="53" applyFont="1" applyFill="1" applyBorder="1" applyAlignment="1">
      <alignment horizontal="center" vertical="center" wrapText="1"/>
      <protection/>
    </xf>
    <xf numFmtId="0" fontId="1" fillId="36" borderId="14" xfId="53" applyFont="1" applyFill="1" applyBorder="1" applyAlignment="1">
      <alignment horizontal="center" vertical="center" wrapText="1"/>
      <protection/>
    </xf>
    <xf numFmtId="0" fontId="1" fillId="36" borderId="12" xfId="53" applyFont="1" applyFill="1" applyBorder="1" applyAlignment="1">
      <alignment horizontal="center" vertical="center" wrapText="1"/>
      <protection/>
    </xf>
    <xf numFmtId="0" fontId="1" fillId="36" borderId="22" xfId="53" applyFont="1" applyFill="1" applyBorder="1" applyAlignment="1">
      <alignment horizontal="center" vertical="center" wrapText="1"/>
      <protection/>
    </xf>
    <xf numFmtId="0" fontId="1" fillId="36" borderId="19" xfId="53" applyFont="1" applyFill="1" applyBorder="1" applyAlignment="1">
      <alignment horizontal="center" vertical="center" wrapText="1"/>
      <protection/>
    </xf>
    <xf numFmtId="0" fontId="1" fillId="36" borderId="23" xfId="53" applyFont="1" applyFill="1" applyBorder="1" applyAlignment="1">
      <alignment horizontal="center" vertical="center" wrapText="1"/>
      <protection/>
    </xf>
    <xf numFmtId="0" fontId="1" fillId="36" borderId="21" xfId="53" applyFont="1" applyFill="1" applyBorder="1" applyAlignment="1">
      <alignment horizontal="center" vertical="center" wrapText="1"/>
      <protection/>
    </xf>
    <xf numFmtId="0" fontId="1" fillId="36" borderId="18" xfId="53" applyFont="1" applyFill="1" applyBorder="1" applyAlignment="1">
      <alignment horizontal="center" vertical="center" wrapText="1"/>
      <protection/>
    </xf>
    <xf numFmtId="0" fontId="1" fillId="36" borderId="15" xfId="53" applyFont="1" applyFill="1" applyBorder="1" applyAlignment="1">
      <alignment horizontal="center" vertical="center" wrapText="1"/>
      <protection/>
    </xf>
    <xf numFmtId="0" fontId="1" fillId="36" borderId="24" xfId="53" applyFont="1" applyFill="1" applyBorder="1" applyAlignment="1">
      <alignment horizontal="center" vertical="center" wrapText="1"/>
      <protection/>
    </xf>
    <xf numFmtId="0" fontId="1" fillId="36" borderId="13"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6" borderId="16" xfId="53" applyFont="1" applyFill="1" applyBorder="1" applyAlignment="1">
      <alignment horizontal="center" vertical="center" wrapText="1"/>
      <protection/>
    </xf>
    <xf numFmtId="0" fontId="1" fillId="36" borderId="11" xfId="53" applyFont="1" applyFill="1" applyBorder="1" applyAlignment="1">
      <alignment horizontal="center" vertical="center" wrapText="1"/>
      <protection/>
    </xf>
    <xf numFmtId="0" fontId="2" fillId="36" borderId="14" xfId="53" applyFont="1" applyFill="1" applyBorder="1" applyAlignment="1">
      <alignment horizontal="center" vertical="center" wrapText="1"/>
      <protection/>
    </xf>
    <xf numFmtId="0" fontId="2" fillId="36" borderId="17"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49" fontId="2" fillId="36" borderId="17" xfId="53" applyNumberFormat="1" applyFont="1" applyFill="1" applyBorder="1" applyAlignment="1">
      <alignment horizontal="center" vertical="center" wrapText="1"/>
      <protection/>
    </xf>
    <xf numFmtId="49" fontId="2" fillId="36" borderId="14" xfId="53" applyNumberFormat="1" applyFont="1" applyFill="1" applyBorder="1" applyAlignment="1">
      <alignment horizontal="center" vertical="center" wrapText="1"/>
      <protection/>
    </xf>
    <xf numFmtId="49" fontId="2" fillId="36"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0" fontId="2" fillId="36" borderId="0" xfId="53" applyFont="1" applyFill="1" applyAlignment="1">
      <alignment horizontal="left" vertical="center" wrapText="1"/>
      <protection/>
    </xf>
    <xf numFmtId="0" fontId="1" fillId="36" borderId="20" xfId="53" applyFont="1" applyFill="1" applyBorder="1" applyAlignment="1">
      <alignment horizontal="center" vertical="center" wrapText="1"/>
      <protection/>
    </xf>
    <xf numFmtId="0" fontId="34" fillId="36" borderId="0" xfId="53" applyFont="1" applyFill="1" applyAlignment="1">
      <alignment horizontal="center"/>
      <protection/>
    </xf>
    <xf numFmtId="0" fontId="34" fillId="0" borderId="0" xfId="53" applyFont="1" applyBorder="1" applyAlignment="1">
      <alignment horizontal="left" vertical="center" wrapText="1"/>
      <protection/>
    </xf>
    <xf numFmtId="0" fontId="1" fillId="36" borderId="0" xfId="53" applyFont="1" applyFill="1" applyAlignment="1">
      <alignment horizontal="center" vertical="center" wrapText="1"/>
      <protection/>
    </xf>
    <xf numFmtId="0" fontId="2" fillId="36" borderId="13" xfId="53" applyFont="1" applyFill="1" applyBorder="1" applyAlignment="1">
      <alignment horizontal="right"/>
      <protection/>
    </xf>
    <xf numFmtId="0" fontId="15" fillId="36" borderId="16" xfId="53" applyFont="1" applyFill="1" applyBorder="1" applyAlignment="1">
      <alignment horizontal="center" vertical="center" wrapText="1"/>
      <protection/>
    </xf>
    <xf numFmtId="0" fontId="15" fillId="36" borderId="11" xfId="53" applyFont="1" applyFill="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0" borderId="17"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6" fillId="0" borderId="0" xfId="53" applyFont="1" applyAlignment="1">
      <alignment horizontal="left"/>
      <protection/>
    </xf>
    <xf numFmtId="0" fontId="6" fillId="36" borderId="17"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0" fontId="6" fillId="36" borderId="12" xfId="53" applyFont="1" applyFill="1" applyBorder="1" applyAlignment="1">
      <alignment horizontal="left" vertical="center" wrapText="1"/>
      <protection/>
    </xf>
    <xf numFmtId="0" fontId="3" fillId="0" borderId="17"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6" fillId="0" borderId="10" xfId="53" applyFont="1" applyBorder="1" applyAlignment="1">
      <alignment horizontal="center" vertical="center" wrapText="1"/>
      <protection/>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1" fillId="36" borderId="17" xfId="0" applyFont="1" applyFill="1" applyBorder="1" applyAlignment="1">
      <alignment horizontal="center" vertical="center" wrapText="1"/>
    </xf>
    <xf numFmtId="0" fontId="1" fillId="36" borderId="12"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 fillId="36" borderId="22" xfId="0" applyFont="1" applyFill="1" applyBorder="1" applyAlignment="1">
      <alignment horizontal="center" vertical="center" wrapText="1"/>
    </xf>
    <xf numFmtId="0" fontId="1" fillId="36" borderId="18"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4" xfId="0" applyFont="1" applyBorder="1" applyAlignment="1">
      <alignment horizontal="center" vertical="center"/>
    </xf>
    <xf numFmtId="0" fontId="1" fillId="36"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36" borderId="17"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23" fillId="36" borderId="17" xfId="0" applyFont="1" applyFill="1" applyBorder="1" applyAlignment="1">
      <alignment horizontal="center" vertical="center" wrapText="1"/>
    </xf>
    <xf numFmtId="0" fontId="23" fillId="36" borderId="14" xfId="0" applyFont="1" applyFill="1" applyBorder="1" applyAlignment="1">
      <alignment horizontal="center" vertical="center" wrapText="1"/>
    </xf>
    <xf numFmtId="0" fontId="23" fillId="36" borderId="12" xfId="0" applyFont="1" applyFill="1" applyBorder="1" applyAlignment="1">
      <alignment horizontal="center" vertical="center" wrapText="1"/>
    </xf>
    <xf numFmtId="0" fontId="15" fillId="0" borderId="0" xfId="0" applyFont="1" applyAlignment="1">
      <alignment horizontal="center" wrapText="1"/>
    </xf>
    <xf numFmtId="0" fontId="6" fillId="36" borderId="10" xfId="0" applyFont="1" applyFill="1" applyBorder="1" applyAlignment="1">
      <alignment horizontal="center" vertical="center"/>
    </xf>
    <xf numFmtId="0" fontId="6" fillId="36" borderId="10" xfId="0" applyFont="1" applyFill="1" applyBorder="1" applyAlignment="1">
      <alignment horizontal="left" vertical="center" wrapText="1"/>
    </xf>
    <xf numFmtId="0" fontId="34" fillId="0" borderId="0" xfId="0" applyFont="1" applyBorder="1" applyAlignment="1">
      <alignment horizontal="left" vertical="center" wrapText="1"/>
    </xf>
    <xf numFmtId="0" fontId="1" fillId="36" borderId="10"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36" borderId="17" xfId="0" applyFont="1" applyFill="1" applyBorder="1" applyAlignment="1">
      <alignment horizontal="left" vertical="center" wrapText="1"/>
    </xf>
    <xf numFmtId="0" fontId="6" fillId="36" borderId="14" xfId="0" applyFont="1" applyFill="1" applyBorder="1" applyAlignment="1">
      <alignment horizontal="left" vertical="center" wrapText="1"/>
    </xf>
    <xf numFmtId="0" fontId="1" fillId="0" borderId="19"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6" fillId="0" borderId="0" xfId="53" applyFont="1" applyBorder="1" applyAlignment="1">
      <alignment wrapText="1"/>
      <protection/>
    </xf>
    <xf numFmtId="0" fontId="1" fillId="33" borderId="0" xfId="53" applyFont="1" applyFill="1" applyAlignment="1">
      <alignment horizontal="center" wrapText="1"/>
      <protection/>
    </xf>
    <xf numFmtId="0" fontId="2" fillId="0" borderId="0" xfId="0" applyFont="1" applyBorder="1" applyAlignment="1">
      <alignment horizontal="left"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9" fillId="0" borderId="0" xfId="0" applyFont="1" applyAlignment="1">
      <alignment horizontal="center"/>
    </xf>
    <xf numFmtId="49" fontId="6" fillId="36" borderId="17" xfId="53" applyNumberFormat="1" applyFont="1" applyFill="1" applyBorder="1" applyAlignment="1">
      <alignment horizontal="center" vertical="center" wrapText="1"/>
      <protection/>
    </xf>
    <xf numFmtId="49" fontId="6" fillId="36" borderId="12" xfId="53" applyNumberFormat="1" applyFont="1" applyFill="1" applyBorder="1" applyAlignment="1">
      <alignment horizontal="center" vertical="center" wrapText="1"/>
      <protection/>
    </xf>
    <xf numFmtId="179" fontId="6" fillId="36" borderId="17" xfId="53" applyNumberFormat="1" applyFont="1" applyFill="1" applyBorder="1" applyAlignment="1">
      <alignment horizontal="center" vertical="center" wrapText="1"/>
      <protection/>
    </xf>
    <xf numFmtId="179" fontId="6" fillId="36" borderId="12" xfId="53" applyNumberFormat="1"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7"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0" fontId="8" fillId="0" borderId="17"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8" fillId="36" borderId="17" xfId="53" applyFont="1" applyFill="1" applyBorder="1" applyAlignment="1">
      <alignment horizontal="center" vertical="center" wrapText="1"/>
      <protection/>
    </xf>
    <xf numFmtId="0" fontId="8" fillId="33" borderId="12" xfId="53" applyFont="1" applyFill="1" applyBorder="1" applyAlignment="1">
      <alignment horizontal="center" vertical="center" wrapText="1"/>
      <protection/>
    </xf>
    <xf numFmtId="0" fontId="6" fillId="0" borderId="0" xfId="53" applyFont="1" applyFill="1" applyAlignment="1">
      <alignment horizontal="left"/>
      <protection/>
    </xf>
    <xf numFmtId="0" fontId="23" fillId="36" borderId="17" xfId="53" applyFont="1" applyFill="1" applyBorder="1" applyAlignment="1">
      <alignment horizontal="center" vertical="top" wrapText="1"/>
      <protection/>
    </xf>
    <xf numFmtId="0" fontId="23" fillId="36" borderId="12" xfId="53" applyFont="1" applyFill="1" applyBorder="1" applyAlignment="1">
      <alignment horizontal="center" vertical="top" wrapText="1"/>
      <protection/>
    </xf>
    <xf numFmtId="0" fontId="2" fillId="0" borderId="0" xfId="0" applyFont="1" applyFill="1" applyAlignment="1">
      <alignment horizontal="left"/>
    </xf>
    <xf numFmtId="0" fontId="2" fillId="0" borderId="0" xfId="0" applyFont="1" applyAlignment="1">
      <alignment horizontal="left"/>
    </xf>
    <xf numFmtId="0" fontId="6" fillId="36" borderId="10" xfId="53" applyFont="1" applyFill="1" applyBorder="1" applyAlignment="1">
      <alignment horizontal="center" vertical="center" wrapText="1"/>
      <protection/>
    </xf>
    <xf numFmtId="4" fontId="6" fillId="36" borderId="17"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4" fontId="1" fillId="36" borderId="17"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2" fontId="1" fillId="33" borderId="17" xfId="53" applyNumberFormat="1" applyFont="1" applyFill="1" applyBorder="1" applyAlignment="1">
      <alignment horizontal="center" vertical="center" wrapText="1"/>
      <protection/>
    </xf>
    <xf numFmtId="2" fontId="1" fillId="33" borderId="12" xfId="53" applyNumberFormat="1" applyFont="1" applyFill="1" applyBorder="1" applyAlignment="1">
      <alignment horizontal="center" vertical="center" wrapText="1"/>
      <protection/>
    </xf>
    <xf numFmtId="2" fontId="1" fillId="0" borderId="17"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 fillId="36" borderId="17" xfId="53" applyFont="1" applyFill="1" applyBorder="1" applyAlignment="1">
      <alignment horizontal="left" vertical="center" wrapText="1"/>
      <protection/>
    </xf>
    <xf numFmtId="0" fontId="1" fillId="36" borderId="12" xfId="53" applyFont="1" applyFill="1" applyBorder="1" applyAlignment="1">
      <alignment horizontal="left" vertical="center" wrapText="1"/>
      <protection/>
    </xf>
    <xf numFmtId="0" fontId="3" fillId="0" borderId="10"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5" fillId="0" borderId="0" xfId="0" applyFont="1" applyAlignment="1">
      <alignment horizontal="center" vertical="center" wrapText="1"/>
    </xf>
    <xf numFmtId="0" fontId="6" fillId="0" borderId="17" xfId="53" applyFont="1" applyBorder="1" applyAlignment="1">
      <alignment horizontal="left" vertical="center" wrapText="1"/>
      <protection/>
    </xf>
    <xf numFmtId="0" fontId="6" fillId="0" borderId="12" xfId="53" applyFont="1" applyBorder="1" applyAlignment="1">
      <alignment horizontal="left" vertical="center" wrapText="1"/>
      <protection/>
    </xf>
    <xf numFmtId="4" fontId="1" fillId="0" borderId="17" xfId="53" applyNumberFormat="1" applyFont="1" applyBorder="1" applyAlignment="1">
      <alignment horizontal="center" vertical="center" wrapText="1"/>
      <protection/>
    </xf>
    <xf numFmtId="4" fontId="1" fillId="0" borderId="12" xfId="53" applyNumberFormat="1" applyFont="1" applyBorder="1" applyAlignment="1">
      <alignment horizontal="center" vertical="center" wrapText="1"/>
      <protection/>
    </xf>
    <xf numFmtId="4" fontId="6" fillId="0" borderId="17" xfId="53" applyNumberFormat="1" applyFont="1" applyFill="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4" fontId="6" fillId="0" borderId="17"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179" fontId="1" fillId="33" borderId="17" xfId="53" applyNumberFormat="1" applyFont="1" applyFill="1" applyBorder="1" applyAlignment="1">
      <alignment horizontal="center" vertical="center" wrapText="1"/>
      <protection/>
    </xf>
    <xf numFmtId="179" fontId="1" fillId="33" borderId="12" xfId="53" applyNumberFormat="1" applyFont="1" applyFill="1" applyBorder="1" applyAlignment="1">
      <alignment horizontal="center" vertical="center" wrapText="1"/>
      <protection/>
    </xf>
    <xf numFmtId="49" fontId="6" fillId="36" borderId="17" xfId="0" applyNumberFormat="1" applyFont="1" applyFill="1" applyBorder="1" applyAlignment="1">
      <alignment horizontal="center" vertical="center" wrapText="1"/>
    </xf>
    <xf numFmtId="49" fontId="6" fillId="36" borderId="12" xfId="0" applyNumberFormat="1" applyFont="1" applyFill="1" applyBorder="1" applyAlignment="1">
      <alignment horizontal="center" vertical="center" wrapText="1"/>
    </xf>
    <xf numFmtId="179" fontId="6" fillId="36" borderId="17" xfId="0" applyNumberFormat="1" applyFont="1" applyFill="1" applyBorder="1" applyAlignment="1">
      <alignment horizontal="center" vertical="center" wrapText="1"/>
    </xf>
    <xf numFmtId="179" fontId="6" fillId="36" borderId="12" xfId="0" applyNumberFormat="1" applyFont="1" applyFill="1" applyBorder="1" applyAlignment="1">
      <alignment horizontal="center" vertical="center" wrapText="1"/>
    </xf>
    <xf numFmtId="0" fontId="1" fillId="0" borderId="23" xfId="53" applyFont="1" applyBorder="1" applyAlignment="1">
      <alignment horizontal="center" vertical="center" wrapText="1"/>
      <protection/>
    </xf>
    <xf numFmtId="0" fontId="2" fillId="36" borderId="0" xfId="53" applyFont="1" applyFill="1" applyAlignment="1">
      <alignment horizontal="left"/>
      <protection/>
    </xf>
    <xf numFmtId="179" fontId="1" fillId="33" borderId="17" xfId="53" applyNumberFormat="1" applyFont="1" applyFill="1" applyBorder="1" applyAlignment="1">
      <alignment horizontal="left" vertical="center" wrapText="1"/>
      <protection/>
    </xf>
    <xf numFmtId="179" fontId="1" fillId="33" borderId="12" xfId="53" applyNumberFormat="1" applyFont="1" applyFill="1" applyBorder="1" applyAlignment="1">
      <alignment horizontal="left" vertical="center" wrapText="1"/>
      <protection/>
    </xf>
    <xf numFmtId="49" fontId="6" fillId="36" borderId="17" xfId="0" applyNumberFormat="1" applyFont="1" applyFill="1" applyBorder="1" applyAlignment="1">
      <alignment horizontal="left" vertical="center" wrapText="1"/>
    </xf>
    <xf numFmtId="49" fontId="6" fillId="36" borderId="12" xfId="0" applyNumberFormat="1" applyFont="1" applyFill="1" applyBorder="1" applyAlignment="1">
      <alignment horizontal="left" vertical="center" wrapText="1"/>
    </xf>
    <xf numFmtId="4" fontId="1" fillId="0" borderId="17" xfId="53" applyNumberFormat="1" applyFont="1" applyBorder="1" applyAlignment="1">
      <alignment horizontal="center" vertical="center"/>
      <protection/>
    </xf>
    <xf numFmtId="4" fontId="1" fillId="0" borderId="12" xfId="53" applyNumberFormat="1" applyFont="1" applyBorder="1" applyAlignment="1">
      <alignment horizontal="center" vertical="center"/>
      <protection/>
    </xf>
    <xf numFmtId="0" fontId="6" fillId="33" borderId="17"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77" fillId="36" borderId="17" xfId="0" applyFont="1" applyFill="1" applyBorder="1" applyAlignment="1">
      <alignment horizontal="center" vertical="center" wrapText="1"/>
    </xf>
    <xf numFmtId="0" fontId="77" fillId="36" borderId="12" xfId="0" applyFont="1" applyFill="1" applyBorder="1" applyAlignment="1">
      <alignment horizontal="center" vertical="center" wrapText="1"/>
    </xf>
    <xf numFmtId="0" fontId="77" fillId="36" borderId="17" xfId="0" applyFont="1" applyFill="1" applyBorder="1" applyAlignment="1">
      <alignment horizontal="left" vertical="center" wrapText="1"/>
    </xf>
    <xf numFmtId="0" fontId="77" fillId="36" borderId="12" xfId="0" applyFont="1" applyFill="1" applyBorder="1" applyAlignment="1">
      <alignment horizontal="left" vertical="center" wrapText="1"/>
    </xf>
    <xf numFmtId="0" fontId="20" fillId="0" borderId="14" xfId="53" applyFont="1" applyBorder="1" applyAlignment="1">
      <alignment horizontal="center" vertical="center" wrapText="1"/>
      <protection/>
    </xf>
    <xf numFmtId="0" fontId="6" fillId="36" borderId="12" xfId="0" applyFont="1" applyFill="1" applyBorder="1" applyAlignment="1">
      <alignment horizontal="left" vertical="center" wrapText="1"/>
    </xf>
    <xf numFmtId="0" fontId="20" fillId="0" borderId="17"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80" fillId="36" borderId="17" xfId="0" applyFont="1" applyFill="1" applyBorder="1" applyAlignment="1">
      <alignment horizontal="center" vertical="center" wrapText="1"/>
    </xf>
    <xf numFmtId="0" fontId="80" fillId="36" borderId="12" xfId="0" applyFont="1" applyFill="1" applyBorder="1" applyAlignment="1">
      <alignment horizontal="center" vertical="center" wrapText="1"/>
    </xf>
    <xf numFmtId="0" fontId="1" fillId="0" borderId="21" xfId="53" applyFont="1" applyBorder="1" applyAlignment="1">
      <alignment horizontal="center" vertical="center" wrapText="1"/>
      <protection/>
    </xf>
    <xf numFmtId="0" fontId="6" fillId="0" borderId="0" xfId="0" applyFont="1" applyFill="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0" xfId="0" applyFont="1" applyAlignment="1">
      <alignment horizontal="left"/>
    </xf>
    <xf numFmtId="0" fontId="6" fillId="34" borderId="0" xfId="0" applyFont="1" applyFill="1" applyAlignment="1">
      <alignment horizontal="left" wrapText="1"/>
    </xf>
    <xf numFmtId="0" fontId="6" fillId="34" borderId="0" xfId="0" applyFont="1" applyFill="1" applyAlignment="1">
      <alignment horizontal="left"/>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18" fillId="0" borderId="0" xfId="53" applyFont="1" applyAlignment="1">
      <alignment horizontal="center"/>
      <protection/>
    </xf>
    <xf numFmtId="0" fontId="16" fillId="0" borderId="0" xfId="53" applyFont="1" applyBorder="1" applyAlignment="1">
      <alignment horizontal="left" vertical="center" wrapText="1"/>
      <protection/>
    </xf>
    <xf numFmtId="0" fontId="6" fillId="0" borderId="0" xfId="53" applyFont="1" applyFill="1" applyAlignment="1">
      <alignment horizontal="left" wrapText="1"/>
      <protection/>
    </xf>
    <xf numFmtId="0" fontId="2" fillId="0" borderId="0" xfId="53" applyFont="1" applyBorder="1" applyAlignment="1">
      <alignment horizontal="left" vertic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7"/>
  <sheetViews>
    <sheetView zoomScale="75" zoomScaleNormal="75" zoomScalePageLayoutView="0" workbookViewId="0" topLeftCell="A7">
      <selection activeCell="A4" sqref="A4:G17"/>
    </sheetView>
  </sheetViews>
  <sheetFormatPr defaultColWidth="9.140625" defaultRowHeight="12.75"/>
  <cols>
    <col min="1" max="1" width="8.7109375" style="324" customWidth="1"/>
    <col min="2" max="2" width="42.00390625" style="324" customWidth="1"/>
    <col min="3" max="3" width="17.140625" style="324" customWidth="1"/>
    <col min="4" max="5" width="15.7109375" style="324" customWidth="1"/>
    <col min="6" max="6" width="48.57421875" style="324" customWidth="1"/>
    <col min="7" max="7" width="65.57421875" style="324" customWidth="1"/>
    <col min="8" max="8" width="15.7109375" style="324" customWidth="1"/>
    <col min="9" max="9" width="16.00390625" style="324" customWidth="1"/>
    <col min="10" max="10" width="14.140625" style="324" customWidth="1"/>
    <col min="11" max="11" width="12.421875" style="324" hidden="1" customWidth="1"/>
    <col min="12" max="12" width="14.8515625" style="324" customWidth="1"/>
    <col min="13" max="13" width="14.28125" style="324" customWidth="1"/>
    <col min="14" max="14" width="27.7109375" style="324" customWidth="1"/>
    <col min="15" max="15" width="19.140625" style="324" customWidth="1"/>
    <col min="16" max="16" width="15.140625" style="324" customWidth="1"/>
    <col min="17" max="17" width="14.140625" style="324" customWidth="1"/>
    <col min="18" max="18" width="17.28125" style="324" customWidth="1"/>
    <col min="19" max="19" width="13.8515625" style="324" customWidth="1"/>
  </cols>
  <sheetData>
    <row r="1" spans="1:16" s="324" customFormat="1" ht="24.75" customHeight="1">
      <c r="A1" s="312"/>
      <c r="B1" s="312"/>
      <c r="C1" s="347"/>
      <c r="D1" s="325"/>
      <c r="E1" s="424"/>
      <c r="F1" s="346"/>
      <c r="G1" s="23"/>
      <c r="H1" s="23"/>
      <c r="I1" s="23"/>
      <c r="J1" s="348"/>
      <c r="K1" s="348"/>
      <c r="O1" s="328"/>
      <c r="P1" s="328"/>
    </row>
    <row r="2" spans="1:11" s="324" customFormat="1" ht="24.75" customHeight="1">
      <c r="A2" s="312"/>
      <c r="B2" s="312"/>
      <c r="C2" s="347"/>
      <c r="D2" s="325"/>
      <c r="E2" s="424"/>
      <c r="F2" s="346"/>
      <c r="G2" s="349"/>
      <c r="H2" s="346"/>
      <c r="I2" s="346"/>
      <c r="J2" s="346"/>
      <c r="K2" s="346"/>
    </row>
    <row r="3" spans="1:11" s="324" customFormat="1" ht="24.75" customHeight="1">
      <c r="A3" s="312"/>
      <c r="B3" s="312"/>
      <c r="C3" s="347"/>
      <c r="D3" s="325"/>
      <c r="E3" s="424"/>
      <c r="F3" s="346"/>
      <c r="G3" s="346"/>
      <c r="H3" s="346"/>
      <c r="I3" s="346"/>
      <c r="J3" s="346"/>
      <c r="K3" s="346"/>
    </row>
    <row r="4" spans="1:11" s="324" customFormat="1" ht="51.75" customHeight="1">
      <c r="A4" s="747" t="s">
        <v>934</v>
      </c>
      <c r="B4" s="747"/>
      <c r="C4" s="747"/>
      <c r="D4" s="747"/>
      <c r="E4" s="747"/>
      <c r="F4" s="747"/>
      <c r="G4" s="747"/>
      <c r="H4" s="346"/>
      <c r="I4" s="346"/>
      <c r="J4" s="346"/>
      <c r="K4" s="346"/>
    </row>
    <row r="5" spans="1:11" s="324" customFormat="1" ht="1.5" customHeight="1">
      <c r="A5" s="747"/>
      <c r="B5" s="747"/>
      <c r="C5" s="747"/>
      <c r="D5" s="747"/>
      <c r="E5" s="747"/>
      <c r="F5" s="747"/>
      <c r="G5" s="747"/>
      <c r="H5" s="346"/>
      <c r="I5" s="346"/>
      <c r="J5" s="346"/>
      <c r="K5" s="346"/>
    </row>
    <row r="6" spans="1:11" s="324" customFormat="1" ht="3" customHeight="1" hidden="1">
      <c r="A6" s="312"/>
      <c r="B6" s="312"/>
      <c r="C6" s="347"/>
      <c r="D6" s="312"/>
      <c r="E6" s="312"/>
      <c r="F6" s="346"/>
      <c r="G6" s="346"/>
      <c r="H6" s="346"/>
      <c r="I6" s="346"/>
      <c r="J6" s="346"/>
      <c r="K6" s="346"/>
    </row>
    <row r="7" spans="1:11" s="324" customFormat="1" ht="37.5" customHeight="1">
      <c r="A7" s="736" t="s">
        <v>6</v>
      </c>
      <c r="B7" s="736" t="s">
        <v>120</v>
      </c>
      <c r="C7" s="386" t="s">
        <v>315</v>
      </c>
      <c r="D7" s="350" t="s">
        <v>316</v>
      </c>
      <c r="E7" s="736" t="s">
        <v>386</v>
      </c>
      <c r="F7" s="739" t="s">
        <v>317</v>
      </c>
      <c r="G7" s="740"/>
      <c r="H7" s="346"/>
      <c r="I7" s="346"/>
      <c r="J7" s="346"/>
      <c r="K7" s="346"/>
    </row>
    <row r="8" spans="1:11" s="324" customFormat="1" ht="15" customHeight="1">
      <c r="A8" s="737"/>
      <c r="B8" s="737"/>
      <c r="C8" s="736">
        <v>2021</v>
      </c>
      <c r="D8" s="745">
        <v>2021</v>
      </c>
      <c r="E8" s="737"/>
      <c r="F8" s="741"/>
      <c r="G8" s="742"/>
      <c r="H8" s="346"/>
      <c r="I8" s="346"/>
      <c r="J8" s="346"/>
      <c r="K8" s="346"/>
    </row>
    <row r="9" spans="1:11" s="324" customFormat="1" ht="18" customHeight="1">
      <c r="A9" s="738"/>
      <c r="B9" s="738"/>
      <c r="C9" s="738"/>
      <c r="D9" s="746"/>
      <c r="E9" s="738"/>
      <c r="F9" s="743"/>
      <c r="G9" s="744"/>
      <c r="H9" s="346"/>
      <c r="I9" s="346"/>
      <c r="J9" s="346"/>
      <c r="K9" s="346"/>
    </row>
    <row r="10" spans="1:11" s="324" customFormat="1" ht="81.75" customHeight="1">
      <c r="A10" s="430">
        <v>1</v>
      </c>
      <c r="B10" s="430" t="s">
        <v>937</v>
      </c>
      <c r="C10" s="428">
        <v>37577</v>
      </c>
      <c r="D10" s="431">
        <f>37577-6500</f>
        <v>31077</v>
      </c>
      <c r="E10" s="428">
        <f>D10-C10</f>
        <v>-6500</v>
      </c>
      <c r="F10" s="752" t="s">
        <v>501</v>
      </c>
      <c r="G10" s="752" t="s">
        <v>925</v>
      </c>
      <c r="H10" s="127"/>
      <c r="I10" s="127"/>
      <c r="J10" s="127"/>
      <c r="K10" s="127"/>
    </row>
    <row r="11" spans="1:11" s="324" customFormat="1" ht="95.25" customHeight="1">
      <c r="A11" s="434" t="s">
        <v>248</v>
      </c>
      <c r="B11" s="733" t="s">
        <v>938</v>
      </c>
      <c r="C11" s="428">
        <v>13000</v>
      </c>
      <c r="D11" s="431">
        <v>13000</v>
      </c>
      <c r="E11" s="732">
        <f>D11-C11</f>
        <v>0</v>
      </c>
      <c r="F11" s="751"/>
      <c r="G11" s="751"/>
      <c r="H11" s="127"/>
      <c r="I11" s="127"/>
      <c r="J11" s="127"/>
      <c r="K11" s="127"/>
    </row>
    <row r="12" spans="1:11" s="324" customFormat="1" ht="96.75" customHeight="1">
      <c r="A12" s="434" t="s">
        <v>260</v>
      </c>
      <c r="B12" s="733" t="s">
        <v>939</v>
      </c>
      <c r="C12" s="728">
        <v>18600</v>
      </c>
      <c r="D12" s="431">
        <f>18600-6500</f>
        <v>12100</v>
      </c>
      <c r="E12" s="732">
        <f>D12-C12</f>
        <v>-6500</v>
      </c>
      <c r="F12" s="753"/>
      <c r="G12" s="753"/>
      <c r="H12" s="127"/>
      <c r="I12" s="127"/>
      <c r="J12" s="127"/>
      <c r="K12" s="127"/>
    </row>
    <row r="13" spans="1:11" s="324" customFormat="1" ht="87" customHeight="1">
      <c r="A13" s="430">
        <v>2</v>
      </c>
      <c r="B13" s="734" t="s">
        <v>936</v>
      </c>
      <c r="C13" s="429">
        <v>4841.8</v>
      </c>
      <c r="D13" s="431">
        <v>6383.8</v>
      </c>
      <c r="E13" s="429">
        <f>D13-C13</f>
        <v>1542</v>
      </c>
      <c r="F13" s="752" t="s">
        <v>500</v>
      </c>
      <c r="G13" s="751" t="s">
        <v>926</v>
      </c>
      <c r="H13" s="127"/>
      <c r="I13" s="127"/>
      <c r="J13" s="127"/>
      <c r="K13" s="127"/>
    </row>
    <row r="14" spans="1:11" s="324" customFormat="1" ht="124.5" customHeight="1">
      <c r="A14" s="432" t="s">
        <v>356</v>
      </c>
      <c r="B14" s="734" t="s">
        <v>935</v>
      </c>
      <c r="C14" s="429">
        <v>0</v>
      </c>
      <c r="D14" s="431">
        <v>1542</v>
      </c>
      <c r="E14" s="429">
        <f>D14-C14</f>
        <v>1542</v>
      </c>
      <c r="F14" s="753"/>
      <c r="G14" s="751"/>
      <c r="H14" s="127"/>
      <c r="I14" s="127"/>
      <c r="J14" s="127"/>
      <c r="K14" s="127"/>
    </row>
    <row r="15" spans="1:11" s="324" customFormat="1" ht="18.75" customHeight="1">
      <c r="A15" s="749" t="s">
        <v>5</v>
      </c>
      <c r="B15" s="750"/>
      <c r="C15" s="129">
        <f>C10+C13</f>
        <v>42418.8</v>
      </c>
      <c r="D15" s="129">
        <f>D10+D13</f>
        <v>37460.8</v>
      </c>
      <c r="E15" s="129">
        <f>E10+E13</f>
        <v>-4958</v>
      </c>
      <c r="F15" s="351"/>
      <c r="G15" s="351"/>
      <c r="H15" s="346"/>
      <c r="I15" s="346"/>
      <c r="J15" s="346"/>
      <c r="K15" s="346"/>
    </row>
    <row r="16" spans="1:11" s="324" customFormat="1" ht="18.75" customHeight="1">
      <c r="A16" s="748" t="s">
        <v>933</v>
      </c>
      <c r="B16" s="748"/>
      <c r="C16" s="748"/>
      <c r="D16" s="170"/>
      <c r="E16" s="170"/>
      <c r="F16" s="67"/>
      <c r="G16" s="223" t="s">
        <v>589</v>
      </c>
      <c r="H16" s="346"/>
      <c r="I16" s="346"/>
      <c r="J16" s="346"/>
      <c r="K16" s="346"/>
    </row>
    <row r="17" spans="1:11" s="324" customFormat="1" ht="18.75">
      <c r="A17" s="353"/>
      <c r="B17" s="353"/>
      <c r="C17" s="354"/>
      <c r="D17" s="135"/>
      <c r="E17" s="135"/>
      <c r="F17" s="320"/>
      <c r="G17" s="346"/>
      <c r="H17" s="346"/>
      <c r="I17" s="346"/>
      <c r="J17" s="346"/>
      <c r="K17" s="346"/>
    </row>
    <row r="18" spans="1:11" s="324" customFormat="1" ht="18.75">
      <c r="A18" s="735"/>
      <c r="B18" s="735"/>
      <c r="C18" s="161"/>
      <c r="D18" s="355"/>
      <c r="E18" s="355"/>
      <c r="F18" s="346"/>
      <c r="G18" s="346"/>
      <c r="H18" s="346"/>
      <c r="I18" s="346"/>
      <c r="J18" s="346"/>
      <c r="K18" s="346"/>
    </row>
    <row r="19" s="324" customFormat="1" ht="15">
      <c r="A19" s="333"/>
    </row>
    <row r="20" s="324" customFormat="1" ht="15">
      <c r="A20" s="333"/>
    </row>
    <row r="21" s="324" customFormat="1" ht="15">
      <c r="A21" s="333"/>
    </row>
    <row r="22" s="324" customFormat="1" ht="15">
      <c r="A22" s="333"/>
    </row>
    <row r="23" s="324" customFormat="1" ht="15">
      <c r="A23" s="333"/>
    </row>
    <row r="24" s="324" customFormat="1" ht="15">
      <c r="A24" s="333"/>
    </row>
    <row r="25" s="324" customFormat="1" ht="15">
      <c r="A25" s="333"/>
    </row>
    <row r="26" s="324" customFormat="1" ht="15">
      <c r="A26" s="333"/>
    </row>
    <row r="27" s="324" customFormat="1" ht="15">
      <c r="A27" s="333"/>
    </row>
    <row r="28" s="324" customFormat="1" ht="15"/>
  </sheetData>
  <sheetProtection/>
  <mergeCells count="14">
    <mergeCell ref="A4:G5"/>
    <mergeCell ref="A16:C16"/>
    <mergeCell ref="A15:B15"/>
    <mergeCell ref="G13:G14"/>
    <mergeCell ref="F10:F12"/>
    <mergeCell ref="G10:G12"/>
    <mergeCell ref="F13:F14"/>
    <mergeCell ref="A18:B18"/>
    <mergeCell ref="A7:A9"/>
    <mergeCell ref="B7:B9"/>
    <mergeCell ref="F7:G9"/>
    <mergeCell ref="C8:C9"/>
    <mergeCell ref="D8:D9"/>
    <mergeCell ref="E7:E9"/>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2" tint="-0.24997000396251678"/>
  </sheetPr>
  <dimension ref="A1:P147"/>
  <sheetViews>
    <sheetView view="pageBreakPreview" zoomScale="75" zoomScaleSheetLayoutView="75" zoomScalePageLayoutView="0" workbookViewId="0" topLeftCell="A1">
      <selection activeCell="A1" sqref="A1:P91"/>
    </sheetView>
  </sheetViews>
  <sheetFormatPr defaultColWidth="9.140625" defaultRowHeight="12.75" outlineLevelCol="1"/>
  <cols>
    <col min="1" max="1" width="8.421875" style="171" bestFit="1" customWidth="1"/>
    <col min="2" max="2" width="73.7109375" style="0" customWidth="1"/>
    <col min="3" max="3" width="17.7109375" style="0" customWidth="1"/>
    <col min="4" max="4" width="14.421875" style="0" customWidth="1"/>
    <col min="5" max="5" width="13.421875" style="256" customWidth="1"/>
    <col min="6" max="7" width="12.281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1" t="s">
        <v>745</v>
      </c>
      <c r="L1" s="513"/>
      <c r="M1" s="2"/>
    </row>
    <row r="2" spans="11:16" ht="15.75">
      <c r="K2" s="12" t="s">
        <v>11</v>
      </c>
      <c r="L2" s="12"/>
      <c r="M2" s="15"/>
      <c r="N2" s="12"/>
      <c r="O2" s="12"/>
      <c r="P2" s="12"/>
    </row>
    <row r="3" spans="11:16" ht="15.75">
      <c r="K3" s="12" t="s">
        <v>566</v>
      </c>
      <c r="L3" s="12"/>
      <c r="M3" s="15"/>
      <c r="N3" s="12"/>
      <c r="O3" s="12"/>
      <c r="P3" s="12"/>
    </row>
    <row r="4" spans="11:16" ht="15.75">
      <c r="K4" s="17" t="s">
        <v>567</v>
      </c>
      <c r="L4" s="17"/>
      <c r="M4" s="15"/>
      <c r="N4" s="12"/>
      <c r="O4" s="12"/>
      <c r="P4" s="12"/>
    </row>
    <row r="5" spans="2:16" ht="15.75">
      <c r="B5" s="1"/>
      <c r="C5" s="1"/>
      <c r="D5" s="1"/>
      <c r="E5" s="257"/>
      <c r="F5" s="1"/>
      <c r="G5" s="1"/>
      <c r="H5" s="1"/>
      <c r="I5" s="1"/>
      <c r="J5" s="2" t="s">
        <v>71</v>
      </c>
      <c r="K5" s="17" t="s">
        <v>907</v>
      </c>
      <c r="L5" s="17"/>
      <c r="M5" s="15"/>
      <c r="N5" s="12"/>
      <c r="O5" s="12"/>
      <c r="P5" s="12"/>
    </row>
    <row r="6" spans="2:16" ht="15.75">
      <c r="B6" s="1"/>
      <c r="C6" s="1"/>
      <c r="D6" s="1"/>
      <c r="E6" s="257"/>
      <c r="F6" s="1"/>
      <c r="G6" s="1"/>
      <c r="H6" s="1"/>
      <c r="I6" s="1"/>
      <c r="J6" s="2"/>
      <c r="K6" s="17" t="s">
        <v>927</v>
      </c>
      <c r="L6" s="17"/>
      <c r="M6" s="327"/>
      <c r="N6" s="12"/>
      <c r="O6" s="12"/>
      <c r="P6" s="12"/>
    </row>
    <row r="7" spans="2:16" ht="15.75">
      <c r="B7" s="1"/>
      <c r="C7" s="1"/>
      <c r="D7" s="1"/>
      <c r="E7" s="257"/>
      <c r="F7" s="1"/>
      <c r="G7" s="1"/>
      <c r="H7" s="1"/>
      <c r="I7" s="1"/>
      <c r="J7" s="2"/>
      <c r="K7" s="17" t="s">
        <v>928</v>
      </c>
      <c r="L7" s="17"/>
      <c r="M7" s="327"/>
      <c r="N7" s="12"/>
      <c r="O7" s="12"/>
      <c r="P7" s="12"/>
    </row>
    <row r="8" spans="2:16" ht="15.75">
      <c r="B8" s="1"/>
      <c r="C8" s="1"/>
      <c r="D8" s="1"/>
      <c r="E8" s="257"/>
      <c r="F8" s="1"/>
      <c r="G8" s="1"/>
      <c r="H8" s="1"/>
      <c r="I8" s="9"/>
      <c r="J8" s="3" t="s">
        <v>83</v>
      </c>
      <c r="K8" s="768" t="s">
        <v>944</v>
      </c>
      <c r="L8" s="768"/>
      <c r="M8" s="768"/>
      <c r="N8" s="768"/>
      <c r="O8" s="768"/>
      <c r="P8" s="768"/>
    </row>
    <row r="9" spans="2:14" ht="18.75">
      <c r="B9" s="1"/>
      <c r="C9" s="1"/>
      <c r="D9" s="1"/>
      <c r="E9" s="257"/>
      <c r="F9" s="1"/>
      <c r="G9" s="1"/>
      <c r="H9" s="1"/>
      <c r="I9" s="9"/>
      <c r="J9" s="3"/>
      <c r="K9" s="3" t="s">
        <v>941</v>
      </c>
      <c r="L9" s="55"/>
      <c r="M9" s="3"/>
      <c r="N9" s="3"/>
    </row>
    <row r="10" spans="2:14" ht="18.75">
      <c r="B10" s="1"/>
      <c r="C10" s="1"/>
      <c r="D10" s="1"/>
      <c r="E10" s="257"/>
      <c r="F10" s="1"/>
      <c r="G10" s="1"/>
      <c r="H10" s="1"/>
      <c r="I10" s="9"/>
      <c r="J10" s="3"/>
      <c r="K10" s="344"/>
      <c r="L10" s="55"/>
      <c r="M10" s="3"/>
      <c r="N10" s="3"/>
    </row>
    <row r="11" spans="2:11" ht="15.75">
      <c r="B11" s="1"/>
      <c r="C11" s="1"/>
      <c r="D11" s="1"/>
      <c r="E11" s="257"/>
      <c r="F11" s="1"/>
      <c r="G11" s="1"/>
      <c r="H11" s="1"/>
      <c r="I11" s="1"/>
      <c r="J11" s="1"/>
      <c r="K11" s="1"/>
    </row>
    <row r="12" spans="1:11" ht="40.5" customHeight="1">
      <c r="A12" s="559"/>
      <c r="B12" s="825" t="s">
        <v>809</v>
      </c>
      <c r="C12" s="825"/>
      <c r="D12" s="825"/>
      <c r="E12" s="825"/>
      <c r="F12" s="825"/>
      <c r="G12" s="825"/>
      <c r="H12" s="825"/>
      <c r="I12" s="825"/>
      <c r="J12" s="825"/>
      <c r="K12" s="825"/>
    </row>
    <row r="13" spans="1:11" ht="15.75">
      <c r="A13" s="559"/>
      <c r="B13" s="1"/>
      <c r="C13" s="1"/>
      <c r="D13" s="1"/>
      <c r="E13" s="257"/>
      <c r="F13" s="1"/>
      <c r="G13" s="1"/>
      <c r="H13" s="1"/>
      <c r="I13" s="1"/>
      <c r="J13" s="1"/>
      <c r="K13" s="45" t="s">
        <v>426</v>
      </c>
    </row>
    <row r="14" spans="1:11" ht="18.75">
      <c r="A14" s="797" t="s">
        <v>84</v>
      </c>
      <c r="B14" s="816" t="s">
        <v>12</v>
      </c>
      <c r="C14" s="816" t="s">
        <v>13</v>
      </c>
      <c r="D14" s="816" t="s">
        <v>397</v>
      </c>
      <c r="E14" s="817" t="s">
        <v>9</v>
      </c>
      <c r="F14" s="817"/>
      <c r="G14" s="817"/>
      <c r="H14" s="817"/>
      <c r="I14" s="817"/>
      <c r="J14" s="817"/>
      <c r="K14" s="816" t="s">
        <v>15</v>
      </c>
    </row>
    <row r="15" spans="1:11" ht="40.5" customHeight="1">
      <c r="A15" s="798"/>
      <c r="B15" s="816"/>
      <c r="C15" s="816"/>
      <c r="D15" s="816"/>
      <c r="E15" s="233">
        <v>2021</v>
      </c>
      <c r="F15" s="56">
        <v>2022</v>
      </c>
      <c r="G15" s="56">
        <v>2023</v>
      </c>
      <c r="H15" s="172" t="s">
        <v>27</v>
      </c>
      <c r="I15" s="172" t="s">
        <v>28</v>
      </c>
      <c r="J15" s="172" t="s">
        <v>29</v>
      </c>
      <c r="K15" s="816"/>
    </row>
    <row r="16" spans="1:13" s="643" customFormat="1" ht="124.5" customHeight="1">
      <c r="A16" s="820">
        <v>1</v>
      </c>
      <c r="B16" s="221" t="s">
        <v>912</v>
      </c>
      <c r="C16" s="820" t="s">
        <v>746</v>
      </c>
      <c r="D16" s="237">
        <f>E16+F16+G16</f>
        <v>10511.2</v>
      </c>
      <c r="E16" s="237">
        <v>3234.7</v>
      </c>
      <c r="F16" s="237">
        <v>3500.5</v>
      </c>
      <c r="G16" s="237">
        <v>3776</v>
      </c>
      <c r="H16" s="646">
        <f>H17+H18</f>
        <v>0</v>
      </c>
      <c r="I16" s="646">
        <f>I17+I18</f>
        <v>0</v>
      </c>
      <c r="J16" s="646">
        <f>J17+J18</f>
        <v>0</v>
      </c>
      <c r="K16" s="818" t="s">
        <v>245</v>
      </c>
      <c r="M16" s="643" t="s">
        <v>830</v>
      </c>
    </row>
    <row r="17" spans="1:12" s="645" customFormat="1" ht="32.25" customHeight="1" hidden="1">
      <c r="A17" s="820"/>
      <c r="B17" s="647" t="s">
        <v>510</v>
      </c>
      <c r="C17" s="820"/>
      <c r="D17" s="237">
        <f aca="true" t="shared" si="0" ref="D17:D26">E17+F17+G17</f>
        <v>5596.6</v>
      </c>
      <c r="E17" s="237">
        <f>1125+25+100+250+250</f>
        <v>1750</v>
      </c>
      <c r="F17" s="237">
        <v>1867.3</v>
      </c>
      <c r="G17" s="237">
        <v>1979.3</v>
      </c>
      <c r="H17" s="648"/>
      <c r="I17" s="648"/>
      <c r="J17" s="648"/>
      <c r="K17" s="821"/>
      <c r="L17" s="644"/>
    </row>
    <row r="18" spans="1:11" s="645" customFormat="1" ht="41.25" customHeight="1" hidden="1">
      <c r="A18" s="820"/>
      <c r="B18" s="647" t="s">
        <v>190</v>
      </c>
      <c r="C18" s="820"/>
      <c r="D18" s="237">
        <f t="shared" si="0"/>
        <v>3981.6000000000004</v>
      </c>
      <c r="E18" s="237">
        <f>102.9+1100</f>
        <v>1202.9</v>
      </c>
      <c r="F18" s="237">
        <f>1210+113.2</f>
        <v>1323.2</v>
      </c>
      <c r="G18" s="237">
        <f>124.5+1331</f>
        <v>1455.5</v>
      </c>
      <c r="H18" s="648"/>
      <c r="I18" s="648"/>
      <c r="J18" s="648"/>
      <c r="K18" s="821"/>
    </row>
    <row r="19" spans="1:11" s="645" customFormat="1" ht="19.5" customHeight="1" hidden="1">
      <c r="A19" s="820"/>
      <c r="B19" s="647" t="s">
        <v>223</v>
      </c>
      <c r="C19" s="820"/>
      <c r="D19" s="237">
        <f t="shared" si="0"/>
        <v>204.8</v>
      </c>
      <c r="E19" s="237">
        <v>61.8</v>
      </c>
      <c r="F19" s="237">
        <v>68</v>
      </c>
      <c r="G19" s="237">
        <v>75</v>
      </c>
      <c r="H19" s="648"/>
      <c r="I19" s="648"/>
      <c r="J19" s="648"/>
      <c r="K19" s="821"/>
    </row>
    <row r="20" spans="1:11" s="645" customFormat="1" ht="19.5" customHeight="1" hidden="1">
      <c r="A20" s="820"/>
      <c r="B20" s="647" t="s">
        <v>90</v>
      </c>
      <c r="C20" s="820"/>
      <c r="D20" s="237">
        <f t="shared" si="0"/>
        <v>528.8</v>
      </c>
      <c r="E20" s="237">
        <f>159.8</f>
        <v>159.8</v>
      </c>
      <c r="F20" s="237">
        <v>175.7</v>
      </c>
      <c r="G20" s="237">
        <v>193.3</v>
      </c>
      <c r="H20" s="648"/>
      <c r="I20" s="648"/>
      <c r="J20" s="648"/>
      <c r="K20" s="821"/>
    </row>
    <row r="21" spans="1:11" s="645" customFormat="1" ht="19.5" customHeight="1" hidden="1">
      <c r="A21" s="820"/>
      <c r="B21" s="647" t="s">
        <v>766</v>
      </c>
      <c r="C21" s="820"/>
      <c r="D21" s="237">
        <f t="shared" si="0"/>
        <v>100.69999999999999</v>
      </c>
      <c r="E21" s="237">
        <v>30.4</v>
      </c>
      <c r="F21" s="237">
        <v>33.5</v>
      </c>
      <c r="G21" s="237">
        <v>36.8</v>
      </c>
      <c r="H21" s="648"/>
      <c r="I21" s="648"/>
      <c r="J21" s="648"/>
      <c r="K21" s="821"/>
    </row>
    <row r="22" spans="1:11" s="645" customFormat="1" ht="19.5" customHeight="1" hidden="1">
      <c r="A22" s="820"/>
      <c r="B22" s="647" t="s">
        <v>748</v>
      </c>
      <c r="C22" s="820"/>
      <c r="D22" s="237">
        <f t="shared" si="0"/>
        <v>98.69999999999999</v>
      </c>
      <c r="E22" s="237">
        <v>29.8</v>
      </c>
      <c r="F22" s="237">
        <v>32.8</v>
      </c>
      <c r="G22" s="237">
        <v>36.1</v>
      </c>
      <c r="H22" s="648"/>
      <c r="I22" s="648"/>
      <c r="J22" s="648"/>
      <c r="K22" s="819"/>
    </row>
    <row r="23" spans="1:11" s="645" customFormat="1" ht="19.5" customHeight="1" hidden="1">
      <c r="A23" s="691" t="s">
        <v>248</v>
      </c>
      <c r="B23" s="692" t="s">
        <v>875</v>
      </c>
      <c r="C23" s="822" t="s">
        <v>746</v>
      </c>
      <c r="D23" s="658">
        <f t="shared" si="0"/>
        <v>639.5999999999999</v>
      </c>
      <c r="E23" s="658">
        <v>200</v>
      </c>
      <c r="F23" s="658">
        <v>213.4</v>
      </c>
      <c r="G23" s="658">
        <v>226.2</v>
      </c>
      <c r="H23" s="648"/>
      <c r="I23" s="648"/>
      <c r="J23" s="648"/>
      <c r="K23" s="683"/>
    </row>
    <row r="24" spans="1:11" s="645" customFormat="1" ht="19.5" customHeight="1" hidden="1">
      <c r="A24" s="691" t="s">
        <v>260</v>
      </c>
      <c r="B24" s="692" t="s">
        <v>876</v>
      </c>
      <c r="C24" s="823"/>
      <c r="D24" s="658">
        <f t="shared" si="0"/>
        <v>319.79999999999995</v>
      </c>
      <c r="E24" s="658">
        <v>100</v>
      </c>
      <c r="F24" s="658">
        <v>106.7</v>
      </c>
      <c r="G24" s="658">
        <v>113.1</v>
      </c>
      <c r="H24" s="648"/>
      <c r="I24" s="648"/>
      <c r="J24" s="648"/>
      <c r="K24" s="683"/>
    </row>
    <row r="25" spans="1:11" s="645" customFormat="1" ht="19.5" customHeight="1" hidden="1">
      <c r="A25" s="691" t="s">
        <v>262</v>
      </c>
      <c r="B25" s="692" t="s">
        <v>877</v>
      </c>
      <c r="C25" s="823"/>
      <c r="D25" s="658">
        <f t="shared" si="0"/>
        <v>639.5999999999999</v>
      </c>
      <c r="E25" s="658">
        <v>200</v>
      </c>
      <c r="F25" s="658">
        <v>213.4</v>
      </c>
      <c r="G25" s="658">
        <v>226.2</v>
      </c>
      <c r="H25" s="648"/>
      <c r="I25" s="648"/>
      <c r="J25" s="648"/>
      <c r="K25" s="683"/>
    </row>
    <row r="26" spans="1:11" s="645" customFormat="1" ht="19.5" customHeight="1" hidden="1">
      <c r="A26" s="691" t="s">
        <v>263</v>
      </c>
      <c r="B26" s="692" t="s">
        <v>878</v>
      </c>
      <c r="C26" s="824"/>
      <c r="D26" s="658">
        <f t="shared" si="0"/>
        <v>639.5999999999999</v>
      </c>
      <c r="E26" s="658">
        <v>200</v>
      </c>
      <c r="F26" s="658">
        <v>213.4</v>
      </c>
      <c r="G26" s="658">
        <v>226.2</v>
      </c>
      <c r="H26" s="648"/>
      <c r="I26" s="648"/>
      <c r="J26" s="648"/>
      <c r="K26" s="683"/>
    </row>
    <row r="27" spans="1:13" s="643" customFormat="1" ht="101.25" customHeight="1">
      <c r="A27" s="820">
        <v>2</v>
      </c>
      <c r="B27" s="221" t="s">
        <v>904</v>
      </c>
      <c r="C27" s="820" t="s">
        <v>746</v>
      </c>
      <c r="D27" s="237">
        <f aca="true" t="shared" si="1" ref="D27:D60">E27+F27+G27</f>
        <v>31404.2</v>
      </c>
      <c r="E27" s="237">
        <f>9140+360</f>
        <v>9500</v>
      </c>
      <c r="F27" s="237">
        <f>10053.4+384.1</f>
        <v>10437.5</v>
      </c>
      <c r="G27" s="237">
        <f>11059.5+407.2</f>
        <v>11466.7</v>
      </c>
      <c r="H27" s="646" t="e">
        <f>H28+H29+#REF!+H30</f>
        <v>#REF!</v>
      </c>
      <c r="I27" s="646" t="e">
        <f>I28+I29+#REF!+I30</f>
        <v>#REF!</v>
      </c>
      <c r="J27" s="646" t="e">
        <f>J28+J29+#REF!+J30</f>
        <v>#REF!</v>
      </c>
      <c r="K27" s="818" t="s">
        <v>245</v>
      </c>
      <c r="M27" s="643" t="s">
        <v>831</v>
      </c>
    </row>
    <row r="28" spans="1:11" s="645" customFormat="1" ht="33.75" customHeight="1" hidden="1">
      <c r="A28" s="820"/>
      <c r="B28" s="649" t="s">
        <v>505</v>
      </c>
      <c r="C28" s="820"/>
      <c r="D28" s="237">
        <f t="shared" si="1"/>
        <v>12933</v>
      </c>
      <c r="E28" s="237">
        <v>3907.2</v>
      </c>
      <c r="F28" s="237">
        <v>4298</v>
      </c>
      <c r="G28" s="237">
        <v>4727.8</v>
      </c>
      <c r="H28" s="648"/>
      <c r="I28" s="648"/>
      <c r="J28" s="648"/>
      <c r="K28" s="821"/>
    </row>
    <row r="29" spans="1:11" s="645" customFormat="1" ht="19.5" customHeight="1" hidden="1">
      <c r="A29" s="820"/>
      <c r="B29" s="647" t="s">
        <v>92</v>
      </c>
      <c r="C29" s="820"/>
      <c r="D29" s="237">
        <f t="shared" si="1"/>
        <v>12596.5</v>
      </c>
      <c r="E29" s="237">
        <v>3805.6</v>
      </c>
      <c r="F29" s="237">
        <v>4186.1</v>
      </c>
      <c r="G29" s="237">
        <v>4604.8</v>
      </c>
      <c r="H29" s="648"/>
      <c r="I29" s="648"/>
      <c r="J29" s="648"/>
      <c r="K29" s="821"/>
    </row>
    <row r="30" spans="1:11" s="645" customFormat="1" ht="20.25" customHeight="1" hidden="1">
      <c r="A30" s="820"/>
      <c r="B30" s="647" t="s">
        <v>93</v>
      </c>
      <c r="C30" s="820"/>
      <c r="D30" s="237">
        <f t="shared" si="1"/>
        <v>4723.4</v>
      </c>
      <c r="E30" s="237">
        <v>1427.2</v>
      </c>
      <c r="F30" s="237">
        <v>1569.3</v>
      </c>
      <c r="G30" s="237">
        <v>1726.9</v>
      </c>
      <c r="H30" s="648"/>
      <c r="I30" s="648"/>
      <c r="J30" s="648"/>
      <c r="K30" s="819"/>
    </row>
    <row r="31" spans="1:11" s="645" customFormat="1" ht="15" customHeight="1" hidden="1">
      <c r="A31" s="650"/>
      <c r="B31" s="647" t="s">
        <v>94</v>
      </c>
      <c r="C31" s="222" t="s">
        <v>16</v>
      </c>
      <c r="D31" s="237">
        <f t="shared" si="1"/>
        <v>0</v>
      </c>
      <c r="E31" s="237"/>
      <c r="F31" s="237"/>
      <c r="G31" s="549"/>
      <c r="H31" s="651"/>
      <c r="I31" s="648"/>
      <c r="J31" s="648"/>
      <c r="K31" s="222" t="s">
        <v>95</v>
      </c>
    </row>
    <row r="32" spans="1:11" s="645" customFormat="1" ht="15" customHeight="1" hidden="1">
      <c r="A32" s="650"/>
      <c r="B32" s="647" t="s">
        <v>96</v>
      </c>
      <c r="C32" s="222" t="s">
        <v>16</v>
      </c>
      <c r="D32" s="237">
        <f t="shared" si="1"/>
        <v>0</v>
      </c>
      <c r="E32" s="237">
        <v>0</v>
      </c>
      <c r="F32" s="237">
        <v>0</v>
      </c>
      <c r="G32" s="549">
        <v>0</v>
      </c>
      <c r="H32" s="652"/>
      <c r="I32" s="652"/>
      <c r="J32" s="652"/>
      <c r="K32" s="222" t="s">
        <v>95</v>
      </c>
    </row>
    <row r="33" spans="1:11" s="643" customFormat="1" ht="114" customHeight="1">
      <c r="A33" s="820">
        <v>3</v>
      </c>
      <c r="B33" s="221" t="s">
        <v>902</v>
      </c>
      <c r="C33" s="820" t="s">
        <v>746</v>
      </c>
      <c r="D33" s="237">
        <f t="shared" si="1"/>
        <v>19042.5</v>
      </c>
      <c r="E33" s="237">
        <v>5755</v>
      </c>
      <c r="F33" s="237">
        <v>6328.6</v>
      </c>
      <c r="G33" s="237">
        <v>6958.9</v>
      </c>
      <c r="H33" s="646">
        <f>H34+H35+H36</f>
        <v>0</v>
      </c>
      <c r="I33" s="646">
        <f>I34+I35+I36</f>
        <v>0</v>
      </c>
      <c r="J33" s="646">
        <f>J34+J35+J36</f>
        <v>0</v>
      </c>
      <c r="K33" s="820" t="s">
        <v>245</v>
      </c>
    </row>
    <row r="34" spans="1:11" ht="53.25" customHeight="1" hidden="1">
      <c r="A34" s="820"/>
      <c r="B34" s="647" t="s">
        <v>768</v>
      </c>
      <c r="C34" s="820"/>
      <c r="D34" s="237">
        <f t="shared" si="1"/>
        <v>14088.8</v>
      </c>
      <c r="E34" s="237">
        <f>1752.1+2504.3</f>
        <v>4256.4</v>
      </c>
      <c r="F34" s="237">
        <f>1927.3+2754.8</f>
        <v>4682.1</v>
      </c>
      <c r="G34" s="237">
        <f>2120+3030.3</f>
        <v>5150.3</v>
      </c>
      <c r="H34" s="648"/>
      <c r="I34" s="648"/>
      <c r="J34" s="648"/>
      <c r="K34" s="820"/>
    </row>
    <row r="35" spans="1:11" ht="19.5" customHeight="1" hidden="1">
      <c r="A35" s="820"/>
      <c r="B35" s="647" t="s">
        <v>98</v>
      </c>
      <c r="C35" s="820"/>
      <c r="D35" s="237">
        <f t="shared" si="1"/>
        <v>0</v>
      </c>
      <c r="E35" s="237"/>
      <c r="F35" s="237"/>
      <c r="G35" s="237"/>
      <c r="H35" s="648"/>
      <c r="I35" s="648"/>
      <c r="J35" s="648"/>
      <c r="K35" s="820"/>
    </row>
    <row r="36" spans="1:11" ht="24.75" customHeight="1" hidden="1">
      <c r="A36" s="820"/>
      <c r="B36" s="647" t="s">
        <v>99</v>
      </c>
      <c r="C36" s="820"/>
      <c r="D36" s="237">
        <f t="shared" si="1"/>
        <v>248.3</v>
      </c>
      <c r="E36" s="237">
        <f>75</f>
        <v>75</v>
      </c>
      <c r="F36" s="237">
        <v>82.5</v>
      </c>
      <c r="G36" s="237">
        <v>90.8</v>
      </c>
      <c r="H36" s="648"/>
      <c r="I36" s="648"/>
      <c r="J36" s="648"/>
      <c r="K36" s="820"/>
    </row>
    <row r="37" spans="1:11" ht="2.25" customHeight="1" hidden="1">
      <c r="A37" s="820"/>
      <c r="B37" s="647" t="s">
        <v>100</v>
      </c>
      <c r="C37" s="820"/>
      <c r="D37" s="237">
        <f t="shared" si="1"/>
        <v>0</v>
      </c>
      <c r="E37" s="237"/>
      <c r="F37" s="237"/>
      <c r="G37" s="237"/>
      <c r="H37" s="648"/>
      <c r="I37" s="648"/>
      <c r="J37" s="648"/>
      <c r="K37" s="820"/>
    </row>
    <row r="38" spans="1:11" ht="19.5" customHeight="1" hidden="1">
      <c r="A38" s="820"/>
      <c r="B38" s="647" t="s">
        <v>101</v>
      </c>
      <c r="C38" s="820"/>
      <c r="D38" s="237">
        <f t="shared" si="1"/>
        <v>339</v>
      </c>
      <c r="E38" s="237">
        <v>102.4</v>
      </c>
      <c r="F38" s="237">
        <v>112.7</v>
      </c>
      <c r="G38" s="237">
        <v>123.9</v>
      </c>
      <c r="H38" s="648"/>
      <c r="I38" s="648"/>
      <c r="J38" s="648"/>
      <c r="K38" s="820"/>
    </row>
    <row r="39" spans="1:11" ht="19.5" customHeight="1" hidden="1">
      <c r="A39" s="820"/>
      <c r="B39" s="647" t="s">
        <v>506</v>
      </c>
      <c r="C39" s="820"/>
      <c r="D39" s="237">
        <f t="shared" si="1"/>
        <v>397.2</v>
      </c>
      <c r="E39" s="237">
        <v>120</v>
      </c>
      <c r="F39" s="237">
        <v>132</v>
      </c>
      <c r="G39" s="237">
        <v>145.2</v>
      </c>
      <c r="H39" s="648"/>
      <c r="I39" s="648"/>
      <c r="J39" s="648"/>
      <c r="K39" s="820"/>
    </row>
    <row r="40" spans="1:11" ht="36" customHeight="1" hidden="1">
      <c r="A40" s="820"/>
      <c r="B40" s="647" t="s">
        <v>508</v>
      </c>
      <c r="C40" s="820"/>
      <c r="D40" s="237">
        <f t="shared" si="1"/>
        <v>3813.8999999999996</v>
      </c>
      <c r="E40" s="237">
        <v>1152.2</v>
      </c>
      <c r="F40" s="237">
        <v>1267.5</v>
      </c>
      <c r="G40" s="237">
        <v>1394.2</v>
      </c>
      <c r="H40" s="648"/>
      <c r="I40" s="648"/>
      <c r="J40" s="648"/>
      <c r="K40" s="820"/>
    </row>
    <row r="41" spans="1:11" ht="30" customHeight="1" hidden="1">
      <c r="A41" s="820"/>
      <c r="B41" s="647" t="s">
        <v>751</v>
      </c>
      <c r="C41" s="820"/>
      <c r="D41" s="237">
        <f t="shared" si="1"/>
        <v>155.3</v>
      </c>
      <c r="E41" s="237">
        <v>49</v>
      </c>
      <c r="F41" s="237">
        <v>51.8</v>
      </c>
      <c r="G41" s="237">
        <v>54.5</v>
      </c>
      <c r="H41" s="648"/>
      <c r="I41" s="648"/>
      <c r="J41" s="648"/>
      <c r="K41" s="820"/>
    </row>
    <row r="42" spans="1:11" ht="30.75" customHeight="1" hidden="1">
      <c r="A42" s="826">
        <v>4</v>
      </c>
      <c r="B42" s="829" t="s">
        <v>512</v>
      </c>
      <c r="C42" s="222" t="s">
        <v>16</v>
      </c>
      <c r="D42" s="237">
        <f t="shared" si="1"/>
        <v>0</v>
      </c>
      <c r="E42" s="237"/>
      <c r="F42" s="237"/>
      <c r="G42" s="237"/>
      <c r="H42" s="648"/>
      <c r="I42" s="648"/>
      <c r="J42" s="648"/>
      <c r="K42" s="818" t="s">
        <v>86</v>
      </c>
    </row>
    <row r="43" spans="1:11" ht="25.5" customHeight="1" hidden="1">
      <c r="A43" s="826"/>
      <c r="B43" s="829"/>
      <c r="C43" s="222" t="s">
        <v>539</v>
      </c>
      <c r="D43" s="237">
        <f t="shared" si="1"/>
        <v>0</v>
      </c>
      <c r="E43" s="237"/>
      <c r="F43" s="237"/>
      <c r="G43" s="237"/>
      <c r="H43" s="648"/>
      <c r="I43" s="648"/>
      <c r="J43" s="648"/>
      <c r="K43" s="819"/>
    </row>
    <row r="44" spans="1:11" ht="24" customHeight="1" hidden="1">
      <c r="A44" s="820">
        <v>5</v>
      </c>
      <c r="B44" s="653" t="s">
        <v>103</v>
      </c>
      <c r="C44" s="820" t="s">
        <v>547</v>
      </c>
      <c r="D44" s="237">
        <f t="shared" si="1"/>
        <v>0</v>
      </c>
      <c r="E44" s="237">
        <f>E45+E46+E47+E48+E49+E50</f>
        <v>0</v>
      </c>
      <c r="F44" s="237">
        <f>F45+F46+F47+F48+F49+F50</f>
        <v>0</v>
      </c>
      <c r="G44" s="237">
        <f>G45+G46+G47+G48+G49+G50</f>
        <v>0</v>
      </c>
      <c r="H44" s="646" t="e">
        <f>H45+H46+H47+H48+H49+#REF!+H50+#REF!+#REF!+#REF!</f>
        <v>#REF!</v>
      </c>
      <c r="I44" s="646" t="e">
        <f>I45+I46+I47+I48+I49+#REF!+I50+#REF!+#REF!+#REF!</f>
        <v>#REF!</v>
      </c>
      <c r="J44" s="646" t="e">
        <f>J45+J46+J47+J48+J49+#REF!+J50+#REF!+#REF!+#REF!</f>
        <v>#REF!</v>
      </c>
      <c r="K44" s="818" t="s">
        <v>245</v>
      </c>
    </row>
    <row r="45" spans="1:11" ht="33.75" customHeight="1" hidden="1">
      <c r="A45" s="820"/>
      <c r="B45" s="221" t="s">
        <v>104</v>
      </c>
      <c r="C45" s="820"/>
      <c r="D45" s="237">
        <f t="shared" si="1"/>
        <v>0</v>
      </c>
      <c r="E45" s="237"/>
      <c r="F45" s="237"/>
      <c r="G45" s="237"/>
      <c r="H45" s="648"/>
      <c r="I45" s="648"/>
      <c r="J45" s="648"/>
      <c r="K45" s="821"/>
    </row>
    <row r="46" spans="1:11" ht="20.25" customHeight="1" hidden="1">
      <c r="A46" s="820"/>
      <c r="B46" s="221" t="s">
        <v>87</v>
      </c>
      <c r="C46" s="820"/>
      <c r="D46" s="237">
        <f t="shared" si="1"/>
        <v>0</v>
      </c>
      <c r="E46" s="237"/>
      <c r="F46" s="237"/>
      <c r="G46" s="237"/>
      <c r="H46" s="648"/>
      <c r="I46" s="648"/>
      <c r="J46" s="648"/>
      <c r="K46" s="821"/>
    </row>
    <row r="47" spans="1:11" ht="20.25" customHeight="1" hidden="1">
      <c r="A47" s="820"/>
      <c r="B47" s="221" t="s">
        <v>88</v>
      </c>
      <c r="C47" s="820"/>
      <c r="D47" s="237">
        <f t="shared" si="1"/>
        <v>0</v>
      </c>
      <c r="E47" s="237"/>
      <c r="F47" s="237"/>
      <c r="G47" s="237"/>
      <c r="H47" s="648"/>
      <c r="I47" s="648"/>
      <c r="J47" s="648"/>
      <c r="K47" s="821"/>
    </row>
    <row r="48" spans="1:11" ht="22.5" customHeight="1" hidden="1">
      <c r="A48" s="820"/>
      <c r="B48" s="221" t="s">
        <v>105</v>
      </c>
      <c r="C48" s="820"/>
      <c r="D48" s="237">
        <f t="shared" si="1"/>
        <v>0</v>
      </c>
      <c r="E48" s="237"/>
      <c r="F48" s="237"/>
      <c r="G48" s="237"/>
      <c r="H48" s="648"/>
      <c r="I48" s="648"/>
      <c r="J48" s="648"/>
      <c r="K48" s="821"/>
    </row>
    <row r="49" spans="1:11" ht="20.25" customHeight="1" hidden="1">
      <c r="A49" s="820"/>
      <c r="B49" s="221" t="s">
        <v>92</v>
      </c>
      <c r="C49" s="820"/>
      <c r="D49" s="237">
        <f t="shared" si="1"/>
        <v>0</v>
      </c>
      <c r="E49" s="237"/>
      <c r="F49" s="237"/>
      <c r="G49" s="237"/>
      <c r="H49" s="648"/>
      <c r="I49" s="648"/>
      <c r="J49" s="648"/>
      <c r="K49" s="821"/>
    </row>
    <row r="50" spans="1:11" ht="18.75" customHeight="1" hidden="1">
      <c r="A50" s="820"/>
      <c r="B50" s="221" t="s">
        <v>106</v>
      </c>
      <c r="C50" s="820"/>
      <c r="D50" s="237">
        <f t="shared" si="1"/>
        <v>0</v>
      </c>
      <c r="E50" s="237"/>
      <c r="F50" s="237"/>
      <c r="G50" s="237"/>
      <c r="H50" s="648"/>
      <c r="I50" s="648"/>
      <c r="J50" s="648"/>
      <c r="K50" s="821"/>
    </row>
    <row r="51" spans="1:11" ht="18.75" customHeight="1" hidden="1">
      <c r="A51" s="691" t="s">
        <v>460</v>
      </c>
      <c r="B51" s="692" t="s">
        <v>875</v>
      </c>
      <c r="C51" s="822" t="s">
        <v>746</v>
      </c>
      <c r="D51" s="658">
        <f t="shared" si="1"/>
        <v>160</v>
      </c>
      <c r="E51" s="658">
        <v>50</v>
      </c>
      <c r="F51" s="658">
        <v>53.4</v>
      </c>
      <c r="G51" s="658">
        <v>56.6</v>
      </c>
      <c r="H51" s="648"/>
      <c r="I51" s="648"/>
      <c r="J51" s="648"/>
      <c r="K51" s="821"/>
    </row>
    <row r="52" spans="1:11" ht="18.75" customHeight="1" hidden="1">
      <c r="A52" s="691" t="s">
        <v>514</v>
      </c>
      <c r="B52" s="692" t="s">
        <v>876</v>
      </c>
      <c r="C52" s="823"/>
      <c r="D52" s="658">
        <f t="shared" si="1"/>
        <v>160</v>
      </c>
      <c r="E52" s="658">
        <v>50</v>
      </c>
      <c r="F52" s="658">
        <v>53.4</v>
      </c>
      <c r="G52" s="658">
        <v>56.6</v>
      </c>
      <c r="H52" s="648"/>
      <c r="I52" s="648"/>
      <c r="J52" s="648"/>
      <c r="K52" s="821"/>
    </row>
    <row r="53" spans="1:11" ht="18.75" customHeight="1" hidden="1">
      <c r="A53" s="691" t="s">
        <v>623</v>
      </c>
      <c r="B53" s="692" t="s">
        <v>877</v>
      </c>
      <c r="C53" s="823"/>
      <c r="D53" s="658">
        <f t="shared" si="1"/>
        <v>160</v>
      </c>
      <c r="E53" s="658">
        <v>50</v>
      </c>
      <c r="F53" s="658">
        <v>53.4</v>
      </c>
      <c r="G53" s="658">
        <v>56.6</v>
      </c>
      <c r="H53" s="648"/>
      <c r="I53" s="648"/>
      <c r="J53" s="648"/>
      <c r="K53" s="821"/>
    </row>
    <row r="54" spans="1:11" ht="18.75" customHeight="1" hidden="1">
      <c r="A54" s="691" t="s">
        <v>624</v>
      </c>
      <c r="B54" s="692" t="s">
        <v>878</v>
      </c>
      <c r="C54" s="824"/>
      <c r="D54" s="658">
        <f t="shared" si="1"/>
        <v>160</v>
      </c>
      <c r="E54" s="658">
        <v>50</v>
      </c>
      <c r="F54" s="658">
        <v>53.4</v>
      </c>
      <c r="G54" s="658">
        <v>56.6</v>
      </c>
      <c r="H54" s="648"/>
      <c r="I54" s="648"/>
      <c r="J54" s="648"/>
      <c r="K54" s="821"/>
    </row>
    <row r="55" spans="1:11" s="643" customFormat="1" ht="36" customHeight="1">
      <c r="A55" s="222">
        <v>4</v>
      </c>
      <c r="B55" s="221" t="s">
        <v>911</v>
      </c>
      <c r="C55" s="222" t="s">
        <v>746</v>
      </c>
      <c r="D55" s="237">
        <f t="shared" si="1"/>
        <v>4965</v>
      </c>
      <c r="E55" s="237">
        <v>1500</v>
      </c>
      <c r="F55" s="237">
        <v>1650</v>
      </c>
      <c r="G55" s="237">
        <v>1815</v>
      </c>
      <c r="H55" s="646"/>
      <c r="I55" s="646"/>
      <c r="J55" s="646"/>
      <c r="K55" s="821"/>
    </row>
    <row r="56" spans="1:11" s="643" customFormat="1" ht="63" customHeight="1">
      <c r="A56" s="650">
        <v>5</v>
      </c>
      <c r="B56" s="221" t="s">
        <v>767</v>
      </c>
      <c r="C56" s="222" t="s">
        <v>746</v>
      </c>
      <c r="D56" s="237">
        <f t="shared" si="1"/>
        <v>11411.8</v>
      </c>
      <c r="E56" s="237">
        <f>3447.7</f>
        <v>3447.7</v>
      </c>
      <c r="F56" s="237">
        <v>3792.4</v>
      </c>
      <c r="G56" s="237">
        <v>4171.7</v>
      </c>
      <c r="H56" s="646"/>
      <c r="I56" s="646"/>
      <c r="J56" s="646"/>
      <c r="K56" s="821"/>
    </row>
    <row r="57" spans="1:11" ht="51" customHeight="1" hidden="1">
      <c r="A57" s="826">
        <v>8</v>
      </c>
      <c r="B57" s="820" t="s">
        <v>108</v>
      </c>
      <c r="C57" s="222" t="s">
        <v>746</v>
      </c>
      <c r="D57" s="237">
        <f t="shared" si="1"/>
        <v>0</v>
      </c>
      <c r="E57" s="237"/>
      <c r="F57" s="237"/>
      <c r="G57" s="237"/>
      <c r="H57" s="648"/>
      <c r="I57" s="648"/>
      <c r="J57" s="648"/>
      <c r="K57" s="821"/>
    </row>
    <row r="58" spans="1:11" ht="18.75" customHeight="1" hidden="1">
      <c r="A58" s="826"/>
      <c r="B58" s="820"/>
      <c r="C58" s="222" t="s">
        <v>746</v>
      </c>
      <c r="D58" s="237">
        <f t="shared" si="1"/>
        <v>0</v>
      </c>
      <c r="E58" s="237"/>
      <c r="F58" s="237"/>
      <c r="G58" s="237"/>
      <c r="H58" s="648"/>
      <c r="I58" s="648"/>
      <c r="J58" s="648"/>
      <c r="K58" s="821"/>
    </row>
    <row r="59" spans="1:11" s="645" customFormat="1" ht="28.5" customHeight="1">
      <c r="A59" s="650">
        <v>6</v>
      </c>
      <c r="B59" s="221" t="s">
        <v>769</v>
      </c>
      <c r="C59" s="222" t="s">
        <v>746</v>
      </c>
      <c r="D59" s="237">
        <f t="shared" si="1"/>
        <v>1592.4</v>
      </c>
      <c r="E59" s="237">
        <v>481.1</v>
      </c>
      <c r="F59" s="237">
        <v>529.2</v>
      </c>
      <c r="G59" s="237">
        <v>582.1</v>
      </c>
      <c r="H59" s="648"/>
      <c r="I59" s="648"/>
      <c r="J59" s="648"/>
      <c r="K59" s="819"/>
    </row>
    <row r="60" spans="1:11" s="645" customFormat="1" ht="32.25" customHeight="1">
      <c r="A60" s="826">
        <v>7</v>
      </c>
      <c r="B60" s="827" t="s">
        <v>238</v>
      </c>
      <c r="C60" s="222" t="s">
        <v>237</v>
      </c>
      <c r="D60" s="237">
        <f t="shared" si="1"/>
        <v>2342.9</v>
      </c>
      <c r="E60" s="237">
        <f>E61</f>
        <v>732.6</v>
      </c>
      <c r="F60" s="237">
        <f>F61</f>
        <v>781.7</v>
      </c>
      <c r="G60" s="237">
        <f>G61</f>
        <v>828.6</v>
      </c>
      <c r="H60" s="648"/>
      <c r="I60" s="648"/>
      <c r="J60" s="648"/>
      <c r="K60" s="818" t="s">
        <v>245</v>
      </c>
    </row>
    <row r="61" spans="1:11" s="645" customFormat="1" ht="33" customHeight="1">
      <c r="A61" s="826"/>
      <c r="B61" s="827"/>
      <c r="C61" s="222" t="s">
        <v>746</v>
      </c>
      <c r="D61" s="237">
        <f aca="true" t="shared" si="2" ref="D61:D74">E61+F61+G61</f>
        <v>2342.9</v>
      </c>
      <c r="E61" s="237">
        <v>732.6</v>
      </c>
      <c r="F61" s="237">
        <v>781.7</v>
      </c>
      <c r="G61" s="237">
        <v>828.6</v>
      </c>
      <c r="H61" s="648"/>
      <c r="I61" s="648"/>
      <c r="J61" s="648"/>
      <c r="K61" s="821"/>
    </row>
    <row r="62" spans="1:11" ht="56.25" customHeight="1" hidden="1">
      <c r="A62" s="826">
        <v>10</v>
      </c>
      <c r="B62" s="820" t="s">
        <v>513</v>
      </c>
      <c r="C62" s="222" t="s">
        <v>16</v>
      </c>
      <c r="D62" s="237">
        <f t="shared" si="2"/>
        <v>0</v>
      </c>
      <c r="E62" s="237"/>
      <c r="F62" s="237"/>
      <c r="G62" s="237"/>
      <c r="H62" s="648"/>
      <c r="I62" s="648"/>
      <c r="J62" s="648"/>
      <c r="K62" s="818" t="s">
        <v>110</v>
      </c>
    </row>
    <row r="63" spans="1:11" ht="18.75" hidden="1">
      <c r="A63" s="826"/>
      <c r="B63" s="820"/>
      <c r="C63" s="222" t="s">
        <v>539</v>
      </c>
      <c r="D63" s="237">
        <f t="shared" si="2"/>
        <v>0</v>
      </c>
      <c r="E63" s="237"/>
      <c r="F63" s="237"/>
      <c r="G63" s="237"/>
      <c r="H63" s="648"/>
      <c r="I63" s="648"/>
      <c r="J63" s="648"/>
      <c r="K63" s="819"/>
    </row>
    <row r="64" spans="1:11" s="643" customFormat="1" ht="23.25" customHeight="1">
      <c r="A64" s="820">
        <v>8</v>
      </c>
      <c r="B64" s="221" t="s">
        <v>111</v>
      </c>
      <c r="C64" s="820" t="s">
        <v>746</v>
      </c>
      <c r="D64" s="237">
        <f t="shared" si="2"/>
        <v>1541.4</v>
      </c>
      <c r="E64" s="237">
        <f>E65+E66+E67+E69+E71</f>
        <v>475.4</v>
      </c>
      <c r="F64" s="237">
        <f>F65+F66+F67+F69+F71</f>
        <v>518.3000000000001</v>
      </c>
      <c r="G64" s="237">
        <f>G65+G66+G67+G69+G71</f>
        <v>547.6999999999999</v>
      </c>
      <c r="H64" s="646"/>
      <c r="I64" s="646"/>
      <c r="J64" s="646"/>
      <c r="K64" s="818" t="s">
        <v>112</v>
      </c>
    </row>
    <row r="65" spans="1:11" ht="21.75" customHeight="1">
      <c r="A65" s="820"/>
      <c r="B65" s="656" t="s">
        <v>113</v>
      </c>
      <c r="C65" s="820"/>
      <c r="D65" s="658">
        <f t="shared" si="2"/>
        <v>723.4</v>
      </c>
      <c r="E65" s="658">
        <v>220.3</v>
      </c>
      <c r="F65" s="658">
        <v>244.2</v>
      </c>
      <c r="G65" s="658">
        <v>258.9</v>
      </c>
      <c r="H65" s="648"/>
      <c r="I65" s="648"/>
      <c r="J65" s="648"/>
      <c r="K65" s="821"/>
    </row>
    <row r="66" spans="1:11" ht="21.75" customHeight="1">
      <c r="A66" s="820"/>
      <c r="B66" s="656" t="s">
        <v>749</v>
      </c>
      <c r="C66" s="820"/>
      <c r="D66" s="658">
        <f t="shared" si="2"/>
        <v>348.2</v>
      </c>
      <c r="E66" s="658">
        <v>105.1</v>
      </c>
      <c r="F66" s="658">
        <v>117.4</v>
      </c>
      <c r="G66" s="658">
        <v>125.7</v>
      </c>
      <c r="H66" s="648"/>
      <c r="I66" s="648"/>
      <c r="J66" s="648"/>
      <c r="K66" s="821"/>
    </row>
    <row r="67" spans="1:11" ht="36" customHeight="1">
      <c r="A67" s="820"/>
      <c r="B67" s="656" t="s">
        <v>851</v>
      </c>
      <c r="C67" s="820"/>
      <c r="D67" s="658">
        <f t="shared" si="2"/>
        <v>95.9</v>
      </c>
      <c r="E67" s="658">
        <v>30</v>
      </c>
      <c r="F67" s="658">
        <v>32</v>
      </c>
      <c r="G67" s="658">
        <v>33.9</v>
      </c>
      <c r="H67" s="648"/>
      <c r="I67" s="648"/>
      <c r="J67" s="648"/>
      <c r="K67" s="821"/>
    </row>
    <row r="68" spans="1:11" ht="18.75" hidden="1">
      <c r="A68" s="820"/>
      <c r="B68" s="657" t="s">
        <v>193</v>
      </c>
      <c r="C68" s="820"/>
      <c r="D68" s="658">
        <f t="shared" si="2"/>
        <v>0</v>
      </c>
      <c r="E68" s="658"/>
      <c r="F68" s="658"/>
      <c r="G68" s="658"/>
      <c r="H68" s="648"/>
      <c r="I68" s="648"/>
      <c r="J68" s="648"/>
      <c r="K68" s="821"/>
    </row>
    <row r="69" spans="1:11" ht="18.75">
      <c r="A69" s="820"/>
      <c r="B69" s="656" t="s">
        <v>852</v>
      </c>
      <c r="C69" s="820"/>
      <c r="D69" s="658">
        <f t="shared" si="2"/>
        <v>150</v>
      </c>
      <c r="E69" s="658">
        <v>50</v>
      </c>
      <c r="F69" s="658">
        <v>50</v>
      </c>
      <c r="G69" s="658">
        <v>50</v>
      </c>
      <c r="H69" s="648"/>
      <c r="I69" s="648"/>
      <c r="J69" s="648"/>
      <c r="K69" s="821"/>
    </row>
    <row r="70" spans="1:11" ht="18.75" hidden="1">
      <c r="A70" s="820"/>
      <c r="B70" s="656"/>
      <c r="C70" s="820"/>
      <c r="D70" s="658">
        <f t="shared" si="2"/>
        <v>0</v>
      </c>
      <c r="E70" s="658"/>
      <c r="F70" s="658"/>
      <c r="G70" s="658"/>
      <c r="H70" s="648"/>
      <c r="I70" s="648"/>
      <c r="J70" s="648"/>
      <c r="K70" s="821"/>
    </row>
    <row r="71" spans="1:11" ht="27.75" customHeight="1">
      <c r="A71" s="820"/>
      <c r="B71" s="656" t="s">
        <v>853</v>
      </c>
      <c r="C71" s="820"/>
      <c r="D71" s="658">
        <f t="shared" si="2"/>
        <v>223.89999999999998</v>
      </c>
      <c r="E71" s="658">
        <v>70</v>
      </c>
      <c r="F71" s="658">
        <v>74.7</v>
      </c>
      <c r="G71" s="658">
        <v>79.2</v>
      </c>
      <c r="H71" s="648"/>
      <c r="I71" s="648"/>
      <c r="J71" s="648"/>
      <c r="K71" s="819"/>
    </row>
    <row r="72" spans="1:11" ht="37.5" customHeight="1" hidden="1">
      <c r="A72" s="820">
        <v>12</v>
      </c>
      <c r="B72" s="820" t="s">
        <v>191</v>
      </c>
      <c r="C72" s="222" t="s">
        <v>16</v>
      </c>
      <c r="D72" s="237">
        <f t="shared" si="2"/>
        <v>0</v>
      </c>
      <c r="E72" s="237"/>
      <c r="F72" s="237"/>
      <c r="G72" s="237"/>
      <c r="H72" s="648"/>
      <c r="I72" s="648"/>
      <c r="J72" s="648"/>
      <c r="K72" s="818" t="s">
        <v>192</v>
      </c>
    </row>
    <row r="73" spans="1:11" ht="21.75" customHeight="1" hidden="1">
      <c r="A73" s="820"/>
      <c r="B73" s="820"/>
      <c r="C73" s="222" t="s">
        <v>539</v>
      </c>
      <c r="D73" s="237">
        <f t="shared" si="2"/>
        <v>0</v>
      </c>
      <c r="E73" s="237"/>
      <c r="F73" s="237"/>
      <c r="G73" s="237"/>
      <c r="H73" s="648"/>
      <c r="I73" s="648"/>
      <c r="J73" s="648"/>
      <c r="K73" s="819"/>
    </row>
    <row r="74" spans="1:11" ht="41.25" customHeight="1">
      <c r="A74" s="222">
        <v>9</v>
      </c>
      <c r="B74" s="221" t="s">
        <v>849</v>
      </c>
      <c r="C74" s="222" t="s">
        <v>746</v>
      </c>
      <c r="D74" s="237">
        <f t="shared" si="2"/>
        <v>383.7</v>
      </c>
      <c r="E74" s="237">
        <v>120</v>
      </c>
      <c r="F74" s="237">
        <v>128</v>
      </c>
      <c r="G74" s="237">
        <v>135.7</v>
      </c>
      <c r="H74" s="648"/>
      <c r="I74" s="648"/>
      <c r="J74" s="648"/>
      <c r="K74" s="625" t="s">
        <v>192</v>
      </c>
    </row>
    <row r="75" spans="1:11" s="643" customFormat="1" ht="36" customHeight="1">
      <c r="A75" s="222">
        <v>10</v>
      </c>
      <c r="B75" s="221" t="s">
        <v>194</v>
      </c>
      <c r="C75" s="222" t="s">
        <v>746</v>
      </c>
      <c r="D75" s="237">
        <f aca="true" t="shared" si="3" ref="D75:D84">E75+F75+G75</f>
        <v>3111.5</v>
      </c>
      <c r="E75" s="237">
        <v>973</v>
      </c>
      <c r="F75" s="237">
        <v>1038.1</v>
      </c>
      <c r="G75" s="237">
        <v>1100.4</v>
      </c>
      <c r="H75" s="646"/>
      <c r="I75" s="646"/>
      <c r="J75" s="646"/>
      <c r="K75" s="625" t="s">
        <v>192</v>
      </c>
    </row>
    <row r="76" spans="1:11" ht="37.5" hidden="1">
      <c r="A76" s="820">
        <v>14</v>
      </c>
      <c r="B76" s="827" t="s">
        <v>226</v>
      </c>
      <c r="C76" s="222" t="s">
        <v>16</v>
      </c>
      <c r="D76" s="237">
        <f t="shared" si="3"/>
        <v>0</v>
      </c>
      <c r="E76" s="237"/>
      <c r="F76" s="237"/>
      <c r="G76" s="237"/>
      <c r="H76" s="648"/>
      <c r="I76" s="648"/>
      <c r="J76" s="648"/>
      <c r="K76" s="818" t="s">
        <v>192</v>
      </c>
    </row>
    <row r="77" spans="1:11" ht="18.75" hidden="1">
      <c r="A77" s="820"/>
      <c r="B77" s="827"/>
      <c r="C77" s="222" t="s">
        <v>539</v>
      </c>
      <c r="D77" s="237">
        <f t="shared" si="3"/>
        <v>0</v>
      </c>
      <c r="E77" s="237"/>
      <c r="F77" s="237"/>
      <c r="G77" s="237"/>
      <c r="H77" s="648"/>
      <c r="I77" s="648"/>
      <c r="J77" s="648"/>
      <c r="K77" s="819"/>
    </row>
    <row r="78" spans="1:11" ht="37.5" hidden="1">
      <c r="A78" s="222">
        <v>15</v>
      </c>
      <c r="B78" s="164" t="s">
        <v>244</v>
      </c>
      <c r="C78" s="630" t="s">
        <v>16</v>
      </c>
      <c r="D78" s="237">
        <f t="shared" si="3"/>
        <v>0</v>
      </c>
      <c r="E78" s="277"/>
      <c r="F78" s="277"/>
      <c r="G78" s="277"/>
      <c r="H78" s="654"/>
      <c r="I78" s="654"/>
      <c r="J78" s="654"/>
      <c r="K78" s="630" t="s">
        <v>245</v>
      </c>
    </row>
    <row r="79" spans="1:11" s="643" customFormat="1" ht="42" customHeight="1">
      <c r="A79" s="650">
        <v>11</v>
      </c>
      <c r="B79" s="164" t="s">
        <v>357</v>
      </c>
      <c r="C79" s="630" t="s">
        <v>746</v>
      </c>
      <c r="D79" s="237">
        <f t="shared" si="3"/>
        <v>1375.9</v>
      </c>
      <c r="E79" s="655">
        <v>430.2</v>
      </c>
      <c r="F79" s="277">
        <v>459.1</v>
      </c>
      <c r="G79" s="277">
        <v>486.6</v>
      </c>
      <c r="H79" s="641"/>
      <c r="I79" s="641"/>
      <c r="J79" s="641"/>
      <c r="K79" s="624" t="s">
        <v>245</v>
      </c>
    </row>
    <row r="80" spans="1:11" ht="0.75" customHeight="1" hidden="1">
      <c r="A80" s="650">
        <v>18</v>
      </c>
      <c r="B80" s="164" t="s">
        <v>374</v>
      </c>
      <c r="C80" s="630" t="s">
        <v>16</v>
      </c>
      <c r="D80" s="237">
        <f t="shared" si="3"/>
        <v>0</v>
      </c>
      <c r="E80" s="550"/>
      <c r="F80" s="277"/>
      <c r="G80" s="277"/>
      <c r="H80" s="654"/>
      <c r="I80" s="654"/>
      <c r="J80" s="654"/>
      <c r="K80" s="624" t="s">
        <v>245</v>
      </c>
    </row>
    <row r="81" spans="1:11" s="643" customFormat="1" ht="42" customHeight="1">
      <c r="A81" s="650">
        <v>12</v>
      </c>
      <c r="B81" s="164" t="s">
        <v>747</v>
      </c>
      <c r="C81" s="630" t="s">
        <v>746</v>
      </c>
      <c r="D81" s="237">
        <f t="shared" si="3"/>
        <v>2250</v>
      </c>
      <c r="E81" s="655">
        <v>640</v>
      </c>
      <c r="F81" s="277">
        <v>760</v>
      </c>
      <c r="G81" s="277">
        <v>850</v>
      </c>
      <c r="H81" s="641"/>
      <c r="I81" s="641"/>
      <c r="J81" s="641"/>
      <c r="K81" s="623" t="s">
        <v>245</v>
      </c>
    </row>
    <row r="82" spans="1:11" s="642" customFormat="1" ht="36" customHeight="1" hidden="1">
      <c r="A82" s="650">
        <v>12</v>
      </c>
      <c r="B82" s="164" t="s">
        <v>750</v>
      </c>
      <c r="C82" s="222" t="s">
        <v>657</v>
      </c>
      <c r="D82" s="237">
        <f t="shared" si="3"/>
        <v>1151.32</v>
      </c>
      <c r="E82" s="655">
        <v>360</v>
      </c>
      <c r="F82" s="277">
        <v>384.12</v>
      </c>
      <c r="G82" s="277">
        <v>407.2</v>
      </c>
      <c r="H82" s="641"/>
      <c r="I82" s="641"/>
      <c r="J82" s="641"/>
      <c r="K82" s="623" t="s">
        <v>245</v>
      </c>
    </row>
    <row r="83" spans="1:14" s="643" customFormat="1" ht="36" customHeight="1">
      <c r="A83" s="650">
        <v>13</v>
      </c>
      <c r="B83" s="164" t="s">
        <v>848</v>
      </c>
      <c r="C83" s="222" t="s">
        <v>657</v>
      </c>
      <c r="D83" s="237">
        <f t="shared" si="3"/>
        <v>2078.8</v>
      </c>
      <c r="E83" s="655">
        <v>650</v>
      </c>
      <c r="F83" s="277">
        <v>693.6</v>
      </c>
      <c r="G83" s="277">
        <v>735.2</v>
      </c>
      <c r="H83" s="641"/>
      <c r="I83" s="641"/>
      <c r="J83" s="641"/>
      <c r="K83" s="623" t="s">
        <v>245</v>
      </c>
      <c r="N83" s="643" t="s">
        <v>832</v>
      </c>
    </row>
    <row r="84" spans="1:14" s="517" customFormat="1" ht="36" customHeight="1">
      <c r="A84" s="560">
        <v>14</v>
      </c>
      <c r="B84" s="164" t="s">
        <v>850</v>
      </c>
      <c r="C84" s="46" t="s">
        <v>657</v>
      </c>
      <c r="D84" s="237">
        <f t="shared" si="3"/>
        <v>52410</v>
      </c>
      <c r="E84" s="655">
        <f>10000+1700+160+50+500+5000+15000</f>
        <v>32410</v>
      </c>
      <c r="F84" s="277">
        <v>10000</v>
      </c>
      <c r="G84" s="277">
        <v>10000</v>
      </c>
      <c r="H84" s="540"/>
      <c r="I84" s="540"/>
      <c r="J84" s="540"/>
      <c r="K84" s="623" t="s">
        <v>245</v>
      </c>
      <c r="N84" s="517" t="s">
        <v>833</v>
      </c>
    </row>
    <row r="85" spans="1:11" ht="35.25" customHeight="1">
      <c r="A85" s="561"/>
      <c r="B85" s="802" t="s">
        <v>5</v>
      </c>
      <c r="C85" s="814"/>
      <c r="D85" s="309">
        <f>E85+F85+G85</f>
        <v>146764.2</v>
      </c>
      <c r="E85" s="309">
        <f>E16+E27+E33+E55+E56+E59+E60+E61+E64+E74+E75+E79+E81+E83+E84</f>
        <v>61082.3</v>
      </c>
      <c r="F85" s="309">
        <f>F16+F27+F33+F55+F56+F59+F60+F61+F64+F74+F75+F79+F81+F83+F84</f>
        <v>41398.7</v>
      </c>
      <c r="G85" s="309">
        <f>G16+G27+G33+G55+G56+G59+G60+G61+G64+G74+G75+G79+G81+G83+G84</f>
        <v>44283.2</v>
      </c>
      <c r="H85" s="309" t="e">
        <f>H16+H27+H33+H42+#REF!+#REF!+#REF!+#REF!+#REF!+#REF!+#REF!+H44+#REF!+#REF!+#REF!</f>
        <v>#REF!</v>
      </c>
      <c r="I85" s="309" t="e">
        <f>I16+I27+I33+I42+#REF!+#REF!+#REF!+#REF!+#REF!+#REF!+#REF!+I44+#REF!+#REF!+#REF!</f>
        <v>#REF!</v>
      </c>
      <c r="J85" s="309" t="e">
        <f>J16+J27+J33+J42+#REF!+#REF!+#REF!+#REF!+#REF!+#REF!+#REF!+J44+#REF!+#REF!+#REF!</f>
        <v>#REF!</v>
      </c>
      <c r="K85" s="310"/>
    </row>
    <row r="86" spans="1:11" ht="15.75" customHeight="1">
      <c r="A86" s="559"/>
      <c r="B86" s="4"/>
      <c r="C86" s="4"/>
      <c r="D86" s="188"/>
      <c r="E86" s="258"/>
      <c r="F86" s="188"/>
      <c r="G86" s="188"/>
      <c r="H86" s="188"/>
      <c r="I86" s="188"/>
      <c r="J86" s="188"/>
      <c r="K86" s="189"/>
    </row>
    <row r="87" spans="1:11" ht="22.5" customHeight="1">
      <c r="A87" s="559"/>
      <c r="B87" s="4"/>
      <c r="C87" s="4"/>
      <c r="D87" s="188"/>
      <c r="E87" s="258"/>
      <c r="F87" s="258"/>
      <c r="G87" s="258"/>
      <c r="H87" s="188"/>
      <c r="I87" s="188"/>
      <c r="J87" s="188"/>
      <c r="K87" s="189"/>
    </row>
    <row r="88" spans="1:11" ht="27.75" customHeight="1">
      <c r="A88" s="559"/>
      <c r="B88" s="4"/>
      <c r="C88" s="4"/>
      <c r="D88" s="188"/>
      <c r="E88" s="258"/>
      <c r="F88" s="188"/>
      <c r="G88" s="188"/>
      <c r="H88" s="188"/>
      <c r="I88" s="188"/>
      <c r="J88" s="188"/>
      <c r="K88" s="189"/>
    </row>
    <row r="89" spans="1:13" ht="33" customHeight="1">
      <c r="A89" s="559"/>
      <c r="B89" s="828" t="s">
        <v>18</v>
      </c>
      <c r="C89" s="828"/>
      <c r="D89" s="604"/>
      <c r="E89" s="605"/>
      <c r="F89" s="606"/>
      <c r="G89" s="606"/>
      <c r="H89" s="606"/>
      <c r="I89" s="606"/>
      <c r="J89" s="606"/>
      <c r="K89" s="607" t="s">
        <v>30</v>
      </c>
      <c r="L89" s="190"/>
      <c r="M89" s="190"/>
    </row>
    <row r="90" spans="1:12" ht="18.75">
      <c r="A90" s="559"/>
      <c r="B90" s="368"/>
      <c r="C90" s="48"/>
      <c r="D90" s="562"/>
      <c r="E90" s="369"/>
      <c r="F90" s="370"/>
      <c r="G90" s="370"/>
      <c r="H90" s="370"/>
      <c r="I90" s="370"/>
      <c r="J90" s="370"/>
      <c r="K90" s="48"/>
      <c r="L90" s="1"/>
    </row>
    <row r="91" spans="1:12" ht="18.75">
      <c r="A91" s="559"/>
      <c r="B91" s="415" t="s">
        <v>559</v>
      </c>
      <c r="C91" s="48"/>
      <c r="D91" s="48"/>
      <c r="E91" s="259"/>
      <c r="F91" s="8"/>
      <c r="G91" s="8"/>
      <c r="H91" s="562"/>
      <c r="I91" s="562"/>
      <c r="J91" s="562"/>
      <c r="K91" s="371"/>
      <c r="L91" s="1"/>
    </row>
    <row r="92" spans="2:11" ht="15.75">
      <c r="B92" s="1"/>
      <c r="C92" s="43"/>
      <c r="D92" s="7"/>
      <c r="E92" s="260"/>
      <c r="F92" s="7"/>
      <c r="G92" s="7"/>
      <c r="H92" s="7"/>
      <c r="I92" s="7"/>
      <c r="J92" s="7"/>
      <c r="K92" s="1"/>
    </row>
    <row r="93" spans="2:11" ht="15.75">
      <c r="B93" s="1"/>
      <c r="C93" s="44"/>
      <c r="D93" s="7"/>
      <c r="E93" s="260"/>
      <c r="F93" s="7"/>
      <c r="G93" s="7"/>
      <c r="H93" s="7"/>
      <c r="I93" s="7"/>
      <c r="J93" s="7"/>
      <c r="K93" s="1"/>
    </row>
    <row r="94" spans="2:11" ht="15.75">
      <c r="B94" s="1"/>
      <c r="C94" s="1"/>
      <c r="D94" s="1"/>
      <c r="E94" s="257"/>
      <c r="F94" s="1"/>
      <c r="G94" s="1"/>
      <c r="H94" s="1"/>
      <c r="I94" s="1"/>
      <c r="J94" s="1"/>
      <c r="K94" s="1"/>
    </row>
    <row r="95" spans="2:11" ht="15.75">
      <c r="B95" s="1"/>
      <c r="C95" s="1"/>
      <c r="D95" s="1"/>
      <c r="E95" s="257"/>
      <c r="F95" s="1"/>
      <c r="G95" s="1"/>
      <c r="H95" s="1"/>
      <c r="I95" s="1"/>
      <c r="J95" s="1"/>
      <c r="K95" s="1"/>
    </row>
    <row r="96" spans="2:11" ht="15.75">
      <c r="B96" s="1"/>
      <c r="C96" s="1"/>
      <c r="D96" s="1"/>
      <c r="E96" s="257"/>
      <c r="F96" s="1"/>
      <c r="G96" s="1"/>
      <c r="H96" s="1"/>
      <c r="I96" s="1"/>
      <c r="J96" s="1"/>
      <c r="K96" s="1"/>
    </row>
    <row r="97" spans="2:11" ht="15.75">
      <c r="B97" s="1"/>
      <c r="C97" s="1"/>
      <c r="D97" s="1"/>
      <c r="E97" s="257"/>
      <c r="F97" s="1"/>
      <c r="G97" s="1"/>
      <c r="H97" s="1"/>
      <c r="I97" s="1"/>
      <c r="J97" s="1"/>
      <c r="K97" s="1"/>
    </row>
    <row r="98" spans="2:11" ht="15.75">
      <c r="B98" s="1"/>
      <c r="C98" s="1"/>
      <c r="D98" s="1"/>
      <c r="E98" s="257"/>
      <c r="F98" s="1"/>
      <c r="G98" s="1"/>
      <c r="H98" s="1"/>
      <c r="I98" s="1"/>
      <c r="J98" s="1"/>
      <c r="K98" s="1"/>
    </row>
    <row r="99" spans="2:11" ht="15.75">
      <c r="B99" s="1"/>
      <c r="C99" s="1"/>
      <c r="D99" s="1"/>
      <c r="E99" s="257"/>
      <c r="F99" s="1"/>
      <c r="G99" s="1"/>
      <c r="H99" s="1"/>
      <c r="I99" s="1"/>
      <c r="J99" s="1"/>
      <c r="K99" s="1"/>
    </row>
    <row r="100" spans="2:11" ht="15.75">
      <c r="B100" s="1"/>
      <c r="C100" s="1"/>
      <c r="D100" s="1"/>
      <c r="E100" s="257"/>
      <c r="F100" s="1"/>
      <c r="G100" s="1"/>
      <c r="H100" s="1"/>
      <c r="I100" s="1"/>
      <c r="J100" s="1"/>
      <c r="K100" s="1"/>
    </row>
    <row r="101" spans="2:11" ht="15.75">
      <c r="B101" s="1"/>
      <c r="C101" s="1"/>
      <c r="D101" s="1"/>
      <c r="E101" s="257"/>
      <c r="F101" s="1"/>
      <c r="G101" s="1"/>
      <c r="H101" s="1"/>
      <c r="I101" s="1"/>
      <c r="J101" s="1"/>
      <c r="K101" s="1"/>
    </row>
    <row r="102" spans="2:11" ht="15.75">
      <c r="B102" s="1"/>
      <c r="C102" s="1"/>
      <c r="D102" s="1"/>
      <c r="E102" s="257"/>
      <c r="F102" s="1"/>
      <c r="G102" s="1"/>
      <c r="H102" s="1"/>
      <c r="I102" s="1"/>
      <c r="J102" s="1"/>
      <c r="K102" s="1"/>
    </row>
    <row r="103" spans="2:11" ht="15.75">
      <c r="B103" s="1"/>
      <c r="C103" s="1"/>
      <c r="D103" s="1"/>
      <c r="E103" s="257"/>
      <c r="F103" s="1"/>
      <c r="G103" s="1"/>
      <c r="H103" s="1"/>
      <c r="I103" s="1"/>
      <c r="J103" s="1"/>
      <c r="K103" s="1"/>
    </row>
    <row r="104" spans="2:11" ht="15.75">
      <c r="B104" s="1"/>
      <c r="C104" s="1"/>
      <c r="D104" s="1"/>
      <c r="E104" s="257"/>
      <c r="F104" s="1"/>
      <c r="G104" s="1"/>
      <c r="H104" s="1"/>
      <c r="I104" s="1"/>
      <c r="J104" s="1"/>
      <c r="K104" s="1"/>
    </row>
    <row r="105" spans="2:11" ht="15.75">
      <c r="B105" s="1"/>
      <c r="C105" s="1"/>
      <c r="D105" s="1"/>
      <c r="E105" s="257"/>
      <c r="F105" s="1"/>
      <c r="G105" s="1"/>
      <c r="H105" s="1"/>
      <c r="I105" s="1"/>
      <c r="J105" s="1"/>
      <c r="K105" s="1"/>
    </row>
    <row r="106" spans="2:11" ht="15.75">
      <c r="B106" s="1"/>
      <c r="C106" s="1"/>
      <c r="D106" s="1"/>
      <c r="E106" s="257"/>
      <c r="F106" s="1"/>
      <c r="G106" s="1"/>
      <c r="H106" s="1"/>
      <c r="I106" s="1"/>
      <c r="J106" s="1"/>
      <c r="K106" s="1"/>
    </row>
    <row r="107" spans="2:11" ht="15.75">
      <c r="B107" s="1"/>
      <c r="C107" s="1"/>
      <c r="D107" s="1"/>
      <c r="E107" s="257"/>
      <c r="F107" s="1"/>
      <c r="G107" s="1"/>
      <c r="H107" s="1"/>
      <c r="I107" s="1"/>
      <c r="J107" s="1"/>
      <c r="K107" s="1"/>
    </row>
    <row r="108" spans="2:11" ht="15.75">
      <c r="B108" s="1"/>
      <c r="C108" s="1"/>
      <c r="D108" s="1"/>
      <c r="E108" s="257"/>
      <c r="F108" s="1"/>
      <c r="G108" s="1"/>
      <c r="H108" s="1"/>
      <c r="I108" s="1"/>
      <c r="J108" s="1"/>
      <c r="K108" s="1"/>
    </row>
    <row r="109" spans="2:11" ht="15.75">
      <c r="B109" s="1"/>
      <c r="C109" s="1"/>
      <c r="D109" s="1"/>
      <c r="E109" s="257"/>
      <c r="F109" s="1"/>
      <c r="G109" s="1"/>
      <c r="H109" s="1"/>
      <c r="I109" s="1"/>
      <c r="J109" s="1"/>
      <c r="K109" s="1"/>
    </row>
    <row r="110" spans="2:11" ht="15.75">
      <c r="B110" s="1"/>
      <c r="C110" s="1"/>
      <c r="D110" s="1"/>
      <c r="E110" s="257"/>
      <c r="F110" s="1"/>
      <c r="G110" s="1"/>
      <c r="H110" s="1"/>
      <c r="I110" s="1"/>
      <c r="J110" s="1"/>
      <c r="K110" s="1"/>
    </row>
    <row r="111" spans="2:11" ht="15.75">
      <c r="B111" s="1"/>
      <c r="C111" s="1"/>
      <c r="D111" s="1"/>
      <c r="E111" s="257"/>
      <c r="F111" s="1"/>
      <c r="G111" s="1"/>
      <c r="H111" s="1"/>
      <c r="I111" s="1"/>
      <c r="J111" s="1"/>
      <c r="K111" s="1"/>
    </row>
    <row r="112" spans="2:11" ht="15.75">
      <c r="B112" s="1"/>
      <c r="C112" s="1"/>
      <c r="D112" s="1"/>
      <c r="E112" s="257"/>
      <c r="F112" s="1"/>
      <c r="G112" s="1"/>
      <c r="H112" s="1"/>
      <c r="I112" s="1"/>
      <c r="J112" s="1"/>
      <c r="K112" s="1"/>
    </row>
    <row r="113" spans="2:11" ht="15.75">
      <c r="B113" s="1"/>
      <c r="C113" s="1"/>
      <c r="D113" s="1"/>
      <c r="E113" s="257"/>
      <c r="F113" s="1"/>
      <c r="G113" s="1"/>
      <c r="H113" s="1"/>
      <c r="I113" s="1"/>
      <c r="J113" s="1"/>
      <c r="K113" s="1"/>
    </row>
    <row r="114" spans="2:11" ht="15.75">
      <c r="B114" s="1"/>
      <c r="C114" s="1"/>
      <c r="D114" s="1"/>
      <c r="E114" s="257"/>
      <c r="F114" s="1"/>
      <c r="G114" s="1"/>
      <c r="H114" s="1"/>
      <c r="I114" s="1"/>
      <c r="J114" s="1"/>
      <c r="K114" s="1"/>
    </row>
    <row r="115" spans="2:11" ht="15.75">
      <c r="B115" s="1"/>
      <c r="C115" s="1"/>
      <c r="D115" s="1"/>
      <c r="E115" s="257"/>
      <c r="F115" s="1"/>
      <c r="G115" s="1"/>
      <c r="H115" s="1"/>
      <c r="I115" s="1"/>
      <c r="J115" s="1"/>
      <c r="K115" s="1"/>
    </row>
    <row r="116" spans="2:11" ht="15.75">
      <c r="B116" s="1"/>
      <c r="C116" s="1"/>
      <c r="D116" s="1"/>
      <c r="E116" s="257"/>
      <c r="F116" s="1"/>
      <c r="G116" s="1"/>
      <c r="H116" s="1"/>
      <c r="I116" s="1"/>
      <c r="J116" s="1"/>
      <c r="K116" s="1"/>
    </row>
    <row r="117" spans="2:11" ht="15.75">
      <c r="B117" s="1"/>
      <c r="C117" s="1"/>
      <c r="D117" s="1"/>
      <c r="E117" s="257"/>
      <c r="F117" s="1"/>
      <c r="G117" s="1"/>
      <c r="H117" s="1"/>
      <c r="I117" s="1"/>
      <c r="J117" s="1"/>
      <c r="K117" s="1"/>
    </row>
    <row r="118" spans="2:11" ht="15.75">
      <c r="B118" s="1"/>
      <c r="C118" s="1"/>
      <c r="D118" s="1"/>
      <c r="E118" s="257"/>
      <c r="F118" s="1"/>
      <c r="G118" s="1"/>
      <c r="H118" s="1"/>
      <c r="I118" s="1"/>
      <c r="J118" s="1"/>
      <c r="K118" s="1"/>
    </row>
    <row r="119" spans="2:11" ht="15.75">
      <c r="B119" s="1"/>
      <c r="C119" s="1"/>
      <c r="D119" s="1"/>
      <c r="E119" s="257"/>
      <c r="F119" s="1"/>
      <c r="G119" s="1"/>
      <c r="H119" s="1"/>
      <c r="I119" s="1"/>
      <c r="J119" s="1"/>
      <c r="K119" s="1"/>
    </row>
    <row r="120" spans="2:11" ht="15.75">
      <c r="B120" s="1"/>
      <c r="C120" s="1"/>
      <c r="D120" s="1"/>
      <c r="E120" s="257"/>
      <c r="F120" s="1"/>
      <c r="G120" s="1"/>
      <c r="H120" s="1"/>
      <c r="I120" s="1"/>
      <c r="J120" s="1"/>
      <c r="K120" s="1"/>
    </row>
    <row r="121" spans="2:11" ht="15.75">
      <c r="B121" s="1"/>
      <c r="C121" s="1"/>
      <c r="D121" s="1"/>
      <c r="E121" s="257"/>
      <c r="F121" s="1"/>
      <c r="G121" s="1"/>
      <c r="H121" s="1"/>
      <c r="I121" s="1"/>
      <c r="J121" s="1"/>
      <c r="K121" s="1"/>
    </row>
    <row r="122" spans="2:11" ht="15.75">
      <c r="B122" s="1"/>
      <c r="C122" s="1"/>
      <c r="D122" s="1"/>
      <c r="E122" s="257"/>
      <c r="F122" s="1"/>
      <c r="G122" s="1"/>
      <c r="H122" s="1"/>
      <c r="I122" s="1"/>
      <c r="J122" s="1"/>
      <c r="K122" s="1"/>
    </row>
    <row r="123" spans="2:11" ht="15.75">
      <c r="B123" s="1"/>
      <c r="C123" s="1"/>
      <c r="D123" s="1"/>
      <c r="E123" s="257"/>
      <c r="F123" s="1"/>
      <c r="G123" s="1"/>
      <c r="H123" s="1"/>
      <c r="I123" s="1"/>
      <c r="J123" s="1"/>
      <c r="K123" s="1"/>
    </row>
    <row r="124" spans="2:11" ht="15.75">
      <c r="B124" s="1"/>
      <c r="C124" s="1"/>
      <c r="D124" s="1"/>
      <c r="E124" s="257"/>
      <c r="F124" s="1"/>
      <c r="G124" s="1"/>
      <c r="H124" s="1"/>
      <c r="I124" s="1"/>
      <c r="J124" s="1"/>
      <c r="K124" s="1"/>
    </row>
    <row r="125" spans="2:11" ht="15.75">
      <c r="B125" s="1"/>
      <c r="C125" s="1"/>
      <c r="D125" s="1"/>
      <c r="E125" s="257"/>
      <c r="F125" s="1"/>
      <c r="G125" s="1"/>
      <c r="H125" s="1"/>
      <c r="I125" s="1"/>
      <c r="J125" s="1"/>
      <c r="K125" s="1"/>
    </row>
    <row r="126" spans="2:11" ht="15.75">
      <c r="B126" s="1"/>
      <c r="C126" s="1"/>
      <c r="D126" s="1"/>
      <c r="E126" s="257"/>
      <c r="F126" s="1"/>
      <c r="G126" s="1"/>
      <c r="H126" s="1"/>
      <c r="I126" s="1"/>
      <c r="J126" s="1"/>
      <c r="K126" s="1"/>
    </row>
    <row r="127" spans="2:11" ht="15.75">
      <c r="B127" s="1"/>
      <c r="C127" s="1"/>
      <c r="D127" s="1"/>
      <c r="E127" s="257"/>
      <c r="F127" s="1"/>
      <c r="G127" s="1"/>
      <c r="H127" s="1"/>
      <c r="I127" s="1"/>
      <c r="J127" s="1"/>
      <c r="K127" s="1"/>
    </row>
    <row r="128" spans="2:11" ht="15.75">
      <c r="B128" s="1"/>
      <c r="C128" s="1"/>
      <c r="D128" s="1"/>
      <c r="E128" s="257"/>
      <c r="F128" s="1"/>
      <c r="G128" s="1"/>
      <c r="H128" s="1"/>
      <c r="I128" s="1"/>
      <c r="J128" s="1"/>
      <c r="K128" s="1"/>
    </row>
    <row r="129" spans="2:11" ht="15.75">
      <c r="B129" s="1"/>
      <c r="C129" s="1"/>
      <c r="D129" s="1"/>
      <c r="E129" s="257"/>
      <c r="F129" s="1"/>
      <c r="G129" s="1"/>
      <c r="H129" s="1"/>
      <c r="I129" s="1"/>
      <c r="J129" s="1"/>
      <c r="K129" s="1"/>
    </row>
    <row r="130" spans="2:11" ht="15.75">
      <c r="B130" s="1"/>
      <c r="C130" s="1"/>
      <c r="D130" s="1"/>
      <c r="E130" s="257"/>
      <c r="F130" s="1"/>
      <c r="G130" s="1"/>
      <c r="H130" s="1"/>
      <c r="I130" s="1"/>
      <c r="J130" s="1"/>
      <c r="K130" s="1"/>
    </row>
    <row r="131" spans="2:11" ht="15.75">
      <c r="B131" s="1"/>
      <c r="C131" s="1"/>
      <c r="D131" s="1"/>
      <c r="E131" s="257"/>
      <c r="F131" s="1"/>
      <c r="G131" s="1"/>
      <c r="H131" s="1"/>
      <c r="I131" s="1"/>
      <c r="J131" s="1"/>
      <c r="K131" s="1"/>
    </row>
    <row r="132" spans="2:11" ht="15.75">
      <c r="B132" s="1"/>
      <c r="C132" s="1"/>
      <c r="D132" s="1"/>
      <c r="E132" s="257"/>
      <c r="F132" s="1"/>
      <c r="G132" s="1"/>
      <c r="H132" s="1"/>
      <c r="I132" s="1"/>
      <c r="J132" s="1"/>
      <c r="K132" s="1"/>
    </row>
    <row r="133" spans="2:11" ht="15.75">
      <c r="B133" s="1"/>
      <c r="C133" s="1"/>
      <c r="D133" s="1"/>
      <c r="E133" s="257"/>
      <c r="F133" s="1"/>
      <c r="G133" s="1"/>
      <c r="H133" s="1"/>
      <c r="I133" s="1"/>
      <c r="J133" s="1"/>
      <c r="K133" s="1"/>
    </row>
    <row r="134" spans="2:11" ht="15.75">
      <c r="B134" s="1"/>
      <c r="C134" s="1"/>
      <c r="D134" s="1"/>
      <c r="E134" s="257"/>
      <c r="F134" s="1"/>
      <c r="G134" s="1"/>
      <c r="H134" s="1"/>
      <c r="I134" s="1"/>
      <c r="J134" s="1"/>
      <c r="K134" s="1"/>
    </row>
    <row r="135" spans="2:11" ht="15.75">
      <c r="B135" s="1"/>
      <c r="C135" s="1"/>
      <c r="D135" s="1"/>
      <c r="E135" s="257"/>
      <c r="F135" s="1"/>
      <c r="G135" s="1"/>
      <c r="H135" s="1"/>
      <c r="I135" s="1"/>
      <c r="J135" s="1"/>
      <c r="K135" s="1"/>
    </row>
    <row r="136" spans="2:11" ht="15.75">
      <c r="B136" s="1"/>
      <c r="C136" s="1"/>
      <c r="D136" s="1"/>
      <c r="E136" s="257"/>
      <c r="F136" s="1"/>
      <c r="G136" s="1"/>
      <c r="H136" s="1"/>
      <c r="I136" s="1"/>
      <c r="J136" s="1"/>
      <c r="K136" s="1"/>
    </row>
    <row r="137" spans="2:11" ht="15.75">
      <c r="B137" s="1"/>
      <c r="C137" s="1"/>
      <c r="D137" s="1"/>
      <c r="E137" s="257"/>
      <c r="F137" s="1"/>
      <c r="G137" s="1"/>
      <c r="H137" s="1"/>
      <c r="I137" s="1"/>
      <c r="J137" s="1"/>
      <c r="K137" s="1"/>
    </row>
    <row r="138" spans="2:11" ht="15.75">
      <c r="B138" s="1"/>
      <c r="C138" s="1"/>
      <c r="D138" s="1"/>
      <c r="E138" s="257"/>
      <c r="F138" s="1"/>
      <c r="G138" s="1"/>
      <c r="H138" s="1"/>
      <c r="I138" s="1"/>
      <c r="J138" s="1"/>
      <c r="K138" s="1"/>
    </row>
    <row r="139" spans="2:11" ht="15.75">
      <c r="B139" s="1"/>
      <c r="C139" s="1"/>
      <c r="D139" s="1"/>
      <c r="E139" s="257"/>
      <c r="F139" s="1"/>
      <c r="G139" s="1"/>
      <c r="H139" s="1"/>
      <c r="I139" s="1"/>
      <c r="J139" s="1"/>
      <c r="K139" s="1"/>
    </row>
    <row r="140" spans="2:11" ht="15.75">
      <c r="B140" s="1"/>
      <c r="C140" s="1"/>
      <c r="D140" s="1"/>
      <c r="E140" s="257"/>
      <c r="F140" s="1"/>
      <c r="G140" s="1"/>
      <c r="H140" s="1"/>
      <c r="I140" s="1"/>
      <c r="J140" s="1"/>
      <c r="K140" s="1"/>
    </row>
    <row r="141" spans="2:11" ht="15.75">
      <c r="B141" s="1"/>
      <c r="C141" s="1"/>
      <c r="D141" s="1"/>
      <c r="E141" s="257"/>
      <c r="F141" s="1"/>
      <c r="G141" s="1"/>
      <c r="H141" s="1"/>
      <c r="I141" s="1"/>
      <c r="J141" s="1"/>
      <c r="K141" s="1"/>
    </row>
    <row r="142" spans="2:11" ht="15.75">
      <c r="B142" s="1"/>
      <c r="C142" s="1"/>
      <c r="D142" s="1"/>
      <c r="E142" s="257"/>
      <c r="F142" s="1"/>
      <c r="G142" s="1"/>
      <c r="H142" s="1"/>
      <c r="I142" s="1"/>
      <c r="J142" s="1"/>
      <c r="K142" s="1"/>
    </row>
    <row r="143" spans="2:11" ht="15.75">
      <c r="B143" s="1"/>
      <c r="C143" s="1"/>
      <c r="D143" s="1"/>
      <c r="E143" s="257"/>
      <c r="F143" s="1"/>
      <c r="G143" s="1"/>
      <c r="H143" s="1"/>
      <c r="I143" s="1"/>
      <c r="J143" s="1"/>
      <c r="K143" s="1"/>
    </row>
    <row r="144" spans="2:11" ht="15.75">
      <c r="B144" s="1"/>
      <c r="C144" s="1"/>
      <c r="D144" s="1"/>
      <c r="E144" s="257"/>
      <c r="F144" s="1"/>
      <c r="G144" s="1"/>
      <c r="H144" s="1"/>
      <c r="I144" s="1"/>
      <c r="J144" s="1"/>
      <c r="K144" s="1"/>
    </row>
    <row r="145" spans="2:11" ht="15.75">
      <c r="B145" s="1"/>
      <c r="C145" s="1"/>
      <c r="D145" s="1"/>
      <c r="E145" s="257"/>
      <c r="F145" s="1"/>
      <c r="G145" s="1"/>
      <c r="H145" s="1"/>
      <c r="I145" s="1"/>
      <c r="J145" s="1"/>
      <c r="K145" s="1"/>
    </row>
    <row r="146" spans="2:11" ht="15.75">
      <c r="B146" s="1"/>
      <c r="C146" s="1"/>
      <c r="D146" s="1"/>
      <c r="E146" s="257"/>
      <c r="F146" s="1"/>
      <c r="G146" s="1"/>
      <c r="H146" s="1"/>
      <c r="I146" s="1"/>
      <c r="J146" s="1"/>
      <c r="K146" s="1"/>
    </row>
    <row r="147" spans="2:11" ht="15.75">
      <c r="B147" s="1"/>
      <c r="C147" s="1"/>
      <c r="D147" s="1"/>
      <c r="E147" s="257"/>
      <c r="F147" s="1"/>
      <c r="G147" s="1"/>
      <c r="H147" s="1"/>
      <c r="I147" s="1"/>
      <c r="J147" s="1"/>
      <c r="K147" s="1"/>
    </row>
  </sheetData>
  <sheetProtection/>
  <mergeCells count="44">
    <mergeCell ref="B85:C85"/>
    <mergeCell ref="B89:C89"/>
    <mergeCell ref="C16:C22"/>
    <mergeCell ref="C33:C41"/>
    <mergeCell ref="A76:A77"/>
    <mergeCell ref="B76:B77"/>
    <mergeCell ref="C64:C71"/>
    <mergeCell ref="A44:A50"/>
    <mergeCell ref="A42:A43"/>
    <mergeCell ref="B42:B43"/>
    <mergeCell ref="K76:K77"/>
    <mergeCell ref="K33:K41"/>
    <mergeCell ref="K16:K22"/>
    <mergeCell ref="A72:A73"/>
    <mergeCell ref="B72:B73"/>
    <mergeCell ref="K72:K73"/>
    <mergeCell ref="A62:A63"/>
    <mergeCell ref="B62:B63"/>
    <mergeCell ref="K62:K63"/>
    <mergeCell ref="A64:A71"/>
    <mergeCell ref="K8:P8"/>
    <mergeCell ref="K64:K71"/>
    <mergeCell ref="A57:A58"/>
    <mergeCell ref="B57:B58"/>
    <mergeCell ref="A60:A61"/>
    <mergeCell ref="B60:B61"/>
    <mergeCell ref="K60:K61"/>
    <mergeCell ref="K44:K59"/>
    <mergeCell ref="C44:C50"/>
    <mergeCell ref="C51:C54"/>
    <mergeCell ref="B12:K12"/>
    <mergeCell ref="A14:A15"/>
    <mergeCell ref="B14:B15"/>
    <mergeCell ref="C14:C15"/>
    <mergeCell ref="D14:D15"/>
    <mergeCell ref="E14:J14"/>
    <mergeCell ref="K14:K15"/>
    <mergeCell ref="K42:K43"/>
    <mergeCell ref="A27:A30"/>
    <mergeCell ref="C27:C30"/>
    <mergeCell ref="K27:K30"/>
    <mergeCell ref="A16:A22"/>
    <mergeCell ref="A33:A41"/>
    <mergeCell ref="C23:C26"/>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rowBreaks count="1" manualBreakCount="1">
    <brk id="59" max="10" man="1"/>
  </rowBreaks>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K42"/>
  <sheetViews>
    <sheetView view="pageBreakPreview" zoomScale="87" zoomScaleSheetLayoutView="87" zoomScalePageLayoutView="0" workbookViewId="0" topLeftCell="A16">
      <selection activeCell="B27" sqref="B27:B28"/>
    </sheetView>
  </sheetViews>
  <sheetFormatPr defaultColWidth="9.140625" defaultRowHeight="12.75"/>
  <cols>
    <col min="1" max="1" width="6.7109375" style="149" customWidth="1"/>
    <col min="2" max="2" width="47.7109375" style="149" customWidth="1"/>
    <col min="3" max="3" width="18.00390625" style="149" customWidth="1"/>
    <col min="4" max="4" width="18.8515625" style="149" customWidth="1"/>
    <col min="5" max="5" width="17.140625" style="149" customWidth="1"/>
    <col min="6" max="6" width="16.421875" style="149" customWidth="1"/>
    <col min="7" max="7" width="17.7109375" style="149" customWidth="1"/>
    <col min="8" max="8" width="55.57421875" style="149" customWidth="1"/>
    <col min="9" max="10" width="9.140625" style="149" hidden="1" customWidth="1"/>
    <col min="11" max="11" width="9.8515625" style="149" hidden="1" customWidth="1"/>
    <col min="12" max="12" width="10.140625" style="149" customWidth="1"/>
    <col min="13" max="16384" width="9.140625" style="149" customWidth="1"/>
  </cols>
  <sheetData>
    <row r="1" spans="2:9" ht="18.75">
      <c r="B1" s="156"/>
      <c r="C1" s="156"/>
      <c r="D1" s="156"/>
      <c r="E1" s="156"/>
      <c r="F1" s="156"/>
      <c r="G1" s="841" t="s">
        <v>448</v>
      </c>
      <c r="H1" s="841"/>
      <c r="I1" s="191" t="s">
        <v>19</v>
      </c>
    </row>
    <row r="2" spans="2:9" ht="18.75">
      <c r="B2" s="156"/>
      <c r="C2" s="156"/>
      <c r="D2" s="156"/>
      <c r="E2" s="156"/>
      <c r="F2" s="156"/>
      <c r="G2" s="841" t="s">
        <v>11</v>
      </c>
      <c r="H2" s="841"/>
      <c r="I2" s="192" t="s">
        <v>11</v>
      </c>
    </row>
    <row r="3" spans="2:9" ht="18.75">
      <c r="B3" s="156"/>
      <c r="C3" s="156"/>
      <c r="D3" s="156"/>
      <c r="E3" s="156"/>
      <c r="F3" s="156"/>
      <c r="G3" s="193" t="s">
        <v>570</v>
      </c>
      <c r="H3" s="193"/>
      <c r="I3" s="192"/>
    </row>
    <row r="4" spans="2:9" ht="18.75">
      <c r="B4" s="156"/>
      <c r="C4" s="156"/>
      <c r="D4" s="156"/>
      <c r="E4" s="156"/>
      <c r="F4" s="156"/>
      <c r="G4" s="193" t="s">
        <v>571</v>
      </c>
      <c r="H4" s="193"/>
      <c r="I4" s="192" t="s">
        <v>21</v>
      </c>
    </row>
    <row r="5" spans="2:9" ht="18.75">
      <c r="B5" s="156"/>
      <c r="C5" s="156"/>
      <c r="D5" s="156"/>
      <c r="E5" s="156"/>
      <c r="F5" s="156"/>
      <c r="G5" s="193" t="s">
        <v>573</v>
      </c>
      <c r="H5" s="193"/>
      <c r="I5" s="192" t="s">
        <v>23</v>
      </c>
    </row>
    <row r="6" spans="2:9" ht="18.75">
      <c r="B6" s="156"/>
      <c r="C6" s="156"/>
      <c r="D6" s="156"/>
      <c r="E6" s="156"/>
      <c r="F6" s="156"/>
      <c r="G6" s="193" t="s">
        <v>572</v>
      </c>
      <c r="H6" s="193"/>
      <c r="I6" s="192"/>
    </row>
    <row r="7" spans="2:9" ht="18.75">
      <c r="B7" s="156"/>
      <c r="C7" s="156"/>
      <c r="D7" s="156"/>
      <c r="E7" s="156"/>
      <c r="F7" s="156"/>
      <c r="G7" s="193" t="s">
        <v>565</v>
      </c>
      <c r="H7" s="193"/>
      <c r="I7" s="192" t="s">
        <v>24</v>
      </c>
    </row>
    <row r="8" spans="2:9" ht="15.75">
      <c r="B8" s="156"/>
      <c r="C8" s="156"/>
      <c r="D8" s="156"/>
      <c r="E8" s="156"/>
      <c r="F8" s="156"/>
      <c r="G8" s="156" t="s">
        <v>651</v>
      </c>
      <c r="H8" s="156"/>
      <c r="I8" s="156"/>
    </row>
    <row r="9" spans="1:9" ht="36.75" customHeight="1">
      <c r="A9" s="842" t="s">
        <v>527</v>
      </c>
      <c r="B9" s="842"/>
      <c r="C9" s="842"/>
      <c r="D9" s="842"/>
      <c r="E9" s="842"/>
      <c r="F9" s="842"/>
      <c r="G9" s="842"/>
      <c r="H9" s="842"/>
      <c r="I9" s="156"/>
    </row>
    <row r="10" spans="2:9" ht="15.75">
      <c r="B10" s="156"/>
      <c r="C10" s="156"/>
      <c r="D10" s="843"/>
      <c r="E10" s="843"/>
      <c r="F10" s="843"/>
      <c r="G10" s="156"/>
      <c r="H10" s="416" t="s">
        <v>426</v>
      </c>
      <c r="I10" s="156"/>
    </row>
    <row r="11" spans="1:9" ht="18.75">
      <c r="A11" s="835" t="s">
        <v>32</v>
      </c>
      <c r="B11" s="835" t="s">
        <v>12</v>
      </c>
      <c r="C11" s="835" t="s">
        <v>13</v>
      </c>
      <c r="D11" s="835" t="s">
        <v>397</v>
      </c>
      <c r="E11" s="839" t="s">
        <v>9</v>
      </c>
      <c r="F11" s="839"/>
      <c r="G11" s="840"/>
      <c r="H11" s="834" t="s">
        <v>15</v>
      </c>
      <c r="I11" s="156"/>
    </row>
    <row r="12" spans="1:9" ht="15.75" customHeight="1">
      <c r="A12" s="837"/>
      <c r="B12" s="837"/>
      <c r="C12" s="837"/>
      <c r="D12" s="837"/>
      <c r="E12" s="835" t="s">
        <v>430</v>
      </c>
      <c r="F12" s="835" t="s">
        <v>403</v>
      </c>
      <c r="G12" s="834" t="s">
        <v>425</v>
      </c>
      <c r="H12" s="834"/>
      <c r="I12" s="156"/>
    </row>
    <row r="13" spans="1:9" ht="26.25" customHeight="1">
      <c r="A13" s="836"/>
      <c r="B13" s="836"/>
      <c r="C13" s="836"/>
      <c r="D13" s="836"/>
      <c r="E13" s="836"/>
      <c r="F13" s="836"/>
      <c r="G13" s="834"/>
      <c r="H13" s="834"/>
      <c r="I13" s="156"/>
    </row>
    <row r="14" spans="1:9" ht="35.25" customHeight="1">
      <c r="A14" s="830">
        <v>1</v>
      </c>
      <c r="B14" s="779" t="s">
        <v>189</v>
      </c>
      <c r="C14" s="222" t="s">
        <v>16</v>
      </c>
      <c r="D14" s="231">
        <f aca="true" t="shared" si="0" ref="D14:D28">E14+F14+G14</f>
        <v>30500.9</v>
      </c>
      <c r="E14" s="232">
        <v>15200.9</v>
      </c>
      <c r="F14" s="232">
        <v>15300</v>
      </c>
      <c r="G14" s="232"/>
      <c r="H14" s="830" t="s">
        <v>55</v>
      </c>
      <c r="I14" s="156"/>
    </row>
    <row r="15" spans="1:9" ht="18.75">
      <c r="A15" s="831"/>
      <c r="B15" s="780"/>
      <c r="C15" s="222" t="s">
        <v>539</v>
      </c>
      <c r="D15" s="231">
        <f t="shared" si="0"/>
        <v>15300</v>
      </c>
      <c r="E15" s="232"/>
      <c r="F15" s="232"/>
      <c r="G15" s="232">
        <f>15400-100</f>
        <v>15300</v>
      </c>
      <c r="H15" s="831"/>
      <c r="I15" s="156"/>
    </row>
    <row r="16" spans="1:11" ht="33.75" customHeight="1">
      <c r="A16" s="830">
        <v>2</v>
      </c>
      <c r="B16" s="818" t="s">
        <v>187</v>
      </c>
      <c r="C16" s="222" t="s">
        <v>16</v>
      </c>
      <c r="D16" s="231">
        <f t="shared" si="0"/>
        <v>11.9</v>
      </c>
      <c r="E16" s="232">
        <v>3</v>
      </c>
      <c r="F16" s="232">
        <f>3.5+5.4</f>
        <v>8.9</v>
      </c>
      <c r="G16" s="232"/>
      <c r="H16" s="830" t="s">
        <v>31</v>
      </c>
      <c r="I16" s="156"/>
      <c r="K16" s="149">
        <v>441</v>
      </c>
    </row>
    <row r="17" spans="1:9" ht="18.75">
      <c r="A17" s="831"/>
      <c r="B17" s="819"/>
      <c r="C17" s="222" t="s">
        <v>539</v>
      </c>
      <c r="D17" s="231">
        <f t="shared" si="0"/>
        <v>13</v>
      </c>
      <c r="E17" s="232"/>
      <c r="F17" s="232"/>
      <c r="G17" s="232">
        <f>10+3</f>
        <v>13</v>
      </c>
      <c r="H17" s="831"/>
      <c r="I17" s="156"/>
    </row>
    <row r="18" spans="1:9" ht="35.25" customHeight="1">
      <c r="A18" s="830">
        <v>3</v>
      </c>
      <c r="B18" s="818" t="s">
        <v>115</v>
      </c>
      <c r="C18" s="222" t="s">
        <v>16</v>
      </c>
      <c r="D18" s="231">
        <f t="shared" si="0"/>
        <v>9900.2</v>
      </c>
      <c r="E18" s="232">
        <v>4800.2</v>
      </c>
      <c r="F18" s="232">
        <v>5100</v>
      </c>
      <c r="G18" s="232"/>
      <c r="H18" s="830" t="s">
        <v>186</v>
      </c>
      <c r="I18" s="156"/>
    </row>
    <row r="19" spans="1:9" ht="18.75">
      <c r="A19" s="831"/>
      <c r="B19" s="819"/>
      <c r="C19" s="222" t="s">
        <v>539</v>
      </c>
      <c r="D19" s="231">
        <f t="shared" si="0"/>
        <v>5200</v>
      </c>
      <c r="E19" s="232"/>
      <c r="F19" s="232"/>
      <c r="G19" s="232">
        <v>5200</v>
      </c>
      <c r="H19" s="831"/>
      <c r="I19" s="156"/>
    </row>
    <row r="20" spans="1:9" ht="33.75" customHeight="1">
      <c r="A20" s="830">
        <v>4</v>
      </c>
      <c r="B20" s="818" t="s">
        <v>116</v>
      </c>
      <c r="C20" s="222" t="s">
        <v>16</v>
      </c>
      <c r="D20" s="231">
        <f t="shared" si="0"/>
        <v>355</v>
      </c>
      <c r="E20" s="232">
        <v>175</v>
      </c>
      <c r="F20" s="232">
        <v>180</v>
      </c>
      <c r="G20" s="232"/>
      <c r="H20" s="830" t="s">
        <v>55</v>
      </c>
      <c r="I20" s="156"/>
    </row>
    <row r="21" spans="1:9" ht="18.75">
      <c r="A21" s="831"/>
      <c r="B21" s="819"/>
      <c r="C21" s="222" t="s">
        <v>539</v>
      </c>
      <c r="D21" s="231">
        <f t="shared" si="0"/>
        <v>185</v>
      </c>
      <c r="E21" s="232"/>
      <c r="F21" s="232"/>
      <c r="G21" s="232">
        <v>185</v>
      </c>
      <c r="H21" s="831"/>
      <c r="I21" s="156"/>
    </row>
    <row r="22" spans="1:9" ht="44.25" customHeight="1">
      <c r="A22" s="830">
        <v>5</v>
      </c>
      <c r="B22" s="818" t="s">
        <v>117</v>
      </c>
      <c r="C22" s="222" t="s">
        <v>16</v>
      </c>
      <c r="D22" s="231">
        <f t="shared" si="0"/>
        <v>811.6</v>
      </c>
      <c r="E22" s="232">
        <v>401.6</v>
      </c>
      <c r="F22" s="232">
        <v>410</v>
      </c>
      <c r="G22" s="232"/>
      <c r="H22" s="830" t="s">
        <v>118</v>
      </c>
      <c r="I22" s="156"/>
    </row>
    <row r="23" spans="1:9" ht="28.5" customHeight="1">
      <c r="A23" s="831"/>
      <c r="B23" s="819"/>
      <c r="C23" s="222" t="s">
        <v>539</v>
      </c>
      <c r="D23" s="231">
        <f t="shared" si="0"/>
        <v>415</v>
      </c>
      <c r="E23" s="232"/>
      <c r="F23" s="232"/>
      <c r="G23" s="232">
        <v>415</v>
      </c>
      <c r="H23" s="831"/>
      <c r="I23" s="156"/>
    </row>
    <row r="24" spans="1:9" ht="23.25" customHeight="1">
      <c r="A24" s="830">
        <v>6</v>
      </c>
      <c r="B24" s="818" t="s">
        <v>645</v>
      </c>
      <c r="C24" s="222" t="s">
        <v>237</v>
      </c>
      <c r="D24" s="231">
        <f t="shared" si="0"/>
        <v>459</v>
      </c>
      <c r="E24" s="232">
        <v>116</v>
      </c>
      <c r="F24" s="232">
        <f>120+98</f>
        <v>218</v>
      </c>
      <c r="G24" s="232">
        <v>125</v>
      </c>
      <c r="H24" s="830" t="s">
        <v>55</v>
      </c>
      <c r="I24" s="156"/>
    </row>
    <row r="25" spans="1:9" ht="29.25" customHeight="1">
      <c r="A25" s="832"/>
      <c r="B25" s="821"/>
      <c r="C25" s="222" t="s">
        <v>16</v>
      </c>
      <c r="D25" s="231">
        <f t="shared" si="0"/>
        <v>334</v>
      </c>
      <c r="E25" s="232">
        <v>116</v>
      </c>
      <c r="F25" s="232">
        <f>120+98</f>
        <v>218</v>
      </c>
      <c r="G25" s="232"/>
      <c r="H25" s="832"/>
      <c r="I25" s="156"/>
    </row>
    <row r="26" spans="1:9" ht="39" customHeight="1">
      <c r="A26" s="831"/>
      <c r="B26" s="819"/>
      <c r="C26" s="222" t="s">
        <v>539</v>
      </c>
      <c r="D26" s="231">
        <f t="shared" si="0"/>
        <v>125</v>
      </c>
      <c r="E26" s="232"/>
      <c r="F26" s="232"/>
      <c r="G26" s="232">
        <v>125</v>
      </c>
      <c r="H26" s="831"/>
      <c r="I26" s="156"/>
    </row>
    <row r="27" spans="1:9" ht="34.5" customHeight="1">
      <c r="A27" s="830">
        <v>7</v>
      </c>
      <c r="B27" s="818" t="s">
        <v>188</v>
      </c>
      <c r="C27" s="222" t="s">
        <v>16</v>
      </c>
      <c r="D27" s="231">
        <f t="shared" si="0"/>
        <v>2500</v>
      </c>
      <c r="E27" s="232">
        <v>1000</v>
      </c>
      <c r="F27" s="232">
        <v>1500</v>
      </c>
      <c r="G27" s="232"/>
      <c r="H27" s="830" t="s">
        <v>55</v>
      </c>
      <c r="I27" s="156"/>
    </row>
    <row r="28" spans="1:9" ht="18.75">
      <c r="A28" s="831"/>
      <c r="B28" s="819"/>
      <c r="C28" s="222" t="s">
        <v>539</v>
      </c>
      <c r="D28" s="231">
        <f t="shared" si="0"/>
        <v>2000</v>
      </c>
      <c r="E28" s="232"/>
      <c r="F28" s="232"/>
      <c r="G28" s="232">
        <v>2000</v>
      </c>
      <c r="H28" s="831"/>
      <c r="I28" s="156"/>
    </row>
    <row r="29" spans="1:9" ht="56.25" customHeight="1">
      <c r="A29" s="194">
        <v>8</v>
      </c>
      <c r="B29" s="221" t="s">
        <v>483</v>
      </c>
      <c r="C29" s="222" t="s">
        <v>539</v>
      </c>
      <c r="D29" s="231">
        <f>E29+F29+G29</f>
        <v>1600</v>
      </c>
      <c r="E29" s="232"/>
      <c r="F29" s="232"/>
      <c r="G29" s="232">
        <f>1500+100</f>
        <v>1600</v>
      </c>
      <c r="H29" s="194" t="s">
        <v>55</v>
      </c>
      <c r="I29" s="156"/>
    </row>
    <row r="30" spans="1:9" ht="18.75">
      <c r="A30" s="195"/>
      <c r="B30" s="233" t="s">
        <v>5</v>
      </c>
      <c r="C30" s="234"/>
      <c r="D30" s="231">
        <f>E30+F30+G30</f>
        <v>69710.6</v>
      </c>
      <c r="E30" s="231">
        <f>E27+E25+E24+E22+E20+E18+E16+E14</f>
        <v>21812.699999999997</v>
      </c>
      <c r="F30" s="231">
        <f>F27+F25+F24+F22+F20+F18+F16+F14</f>
        <v>22934.9</v>
      </c>
      <c r="G30" s="231">
        <f>G27+G25+G24+G22+G20+G18+G16+G14+G29+G15+G17+G19+G21+G23+G26+G28</f>
        <v>24963</v>
      </c>
      <c r="H30" s="196"/>
      <c r="I30" s="156"/>
    </row>
    <row r="31" spans="1:9" ht="15.75">
      <c r="A31" s="197"/>
      <c r="B31" s="198"/>
      <c r="C31" s="198"/>
      <c r="D31" s="199"/>
      <c r="E31" s="199"/>
      <c r="F31" s="199"/>
      <c r="G31" s="199"/>
      <c r="H31" s="200"/>
      <c r="I31" s="156"/>
    </row>
    <row r="32" spans="1:9" ht="15.75">
      <c r="A32" s="197"/>
      <c r="B32" s="198"/>
      <c r="C32" s="198"/>
      <c r="D32" s="199"/>
      <c r="E32" s="199"/>
      <c r="F32" s="199"/>
      <c r="G32" s="199"/>
      <c r="H32" s="200"/>
      <c r="I32" s="156"/>
    </row>
    <row r="33" spans="1:9" ht="15.75">
      <c r="A33" s="197"/>
      <c r="B33" s="198"/>
      <c r="C33" s="198"/>
      <c r="D33" s="199"/>
      <c r="E33" s="199"/>
      <c r="F33" s="199"/>
      <c r="G33" s="199"/>
      <c r="H33" s="200"/>
      <c r="I33" s="156"/>
    </row>
    <row r="34" spans="2:9" ht="15.75">
      <c r="B34" s="198"/>
      <c r="C34" s="198"/>
      <c r="D34" s="199"/>
      <c r="E34" s="199"/>
      <c r="F34" s="199"/>
      <c r="G34" s="199"/>
      <c r="H34" s="200"/>
      <c r="I34" s="156"/>
    </row>
    <row r="35" spans="2:9" ht="18.75">
      <c r="B35" s="838" t="s">
        <v>18</v>
      </c>
      <c r="C35" s="838"/>
      <c r="D35" s="383"/>
      <c r="E35" s="201"/>
      <c r="F35" s="201"/>
      <c r="G35" s="152"/>
      <c r="H35" s="152" t="s">
        <v>30</v>
      </c>
      <c r="I35" s="152"/>
    </row>
    <row r="36" spans="2:9" ht="18.75">
      <c r="B36" s="150"/>
      <c r="C36" s="150"/>
      <c r="D36" s="150"/>
      <c r="E36" s="201"/>
      <c r="F36" s="201"/>
      <c r="G36" s="152"/>
      <c r="H36" s="202"/>
      <c r="I36" s="152"/>
    </row>
    <row r="37" spans="2:9" ht="18.75">
      <c r="B37" s="150"/>
      <c r="C37" s="150"/>
      <c r="D37" s="150"/>
      <c r="E37" s="201"/>
      <c r="F37" s="201"/>
      <c r="G37" s="152"/>
      <c r="H37" s="202"/>
      <c r="I37" s="152"/>
    </row>
    <row r="38" spans="2:8" ht="18.75">
      <c r="B38" s="833" t="s">
        <v>558</v>
      </c>
      <c r="C38" s="833"/>
      <c r="D38" s="154"/>
      <c r="E38" s="155"/>
      <c r="F38" s="155"/>
      <c r="G38" s="156"/>
      <c r="H38" s="156"/>
    </row>
    <row r="39" spans="2:10" ht="15.75">
      <c r="B39" s="157" t="s">
        <v>10</v>
      </c>
      <c r="C39" s="157"/>
      <c r="D39" s="155"/>
      <c r="E39" s="155"/>
      <c r="F39" s="155"/>
      <c r="G39" s="156"/>
      <c r="H39" s="156"/>
      <c r="J39" s="192"/>
    </row>
    <row r="40" spans="2:8" ht="15.75">
      <c r="B40" s="203"/>
      <c r="C40" s="204"/>
      <c r="D40" s="205"/>
      <c r="E40" s="155"/>
      <c r="F40" s="155"/>
      <c r="G40" s="156"/>
      <c r="H40" s="156"/>
    </row>
    <row r="41" spans="3:7" ht="15.75">
      <c r="C41" s="205"/>
      <c r="D41" s="155"/>
      <c r="E41" s="155"/>
      <c r="F41" s="155"/>
      <c r="G41" s="155"/>
    </row>
    <row r="42" spans="3:7" ht="15.75">
      <c r="C42" s="206"/>
      <c r="D42" s="155"/>
      <c r="E42" s="155"/>
      <c r="F42" s="155"/>
      <c r="G42" s="155"/>
    </row>
  </sheetData>
  <sheetProtection/>
  <mergeCells count="36">
    <mergeCell ref="G1:H1"/>
    <mergeCell ref="G2:H2"/>
    <mergeCell ref="A9:H9"/>
    <mergeCell ref="D10:F10"/>
    <mergeCell ref="A11:A13"/>
    <mergeCell ref="B18:B19"/>
    <mergeCell ref="H18:H19"/>
    <mergeCell ref="B35:C35"/>
    <mergeCell ref="D11:D13"/>
    <mergeCell ref="E11:G11"/>
    <mergeCell ref="G12:G13"/>
    <mergeCell ref="A14:A15"/>
    <mergeCell ref="A16:A17"/>
    <mergeCell ref="A18:A19"/>
    <mergeCell ref="A20:A21"/>
    <mergeCell ref="B20:B21"/>
    <mergeCell ref="A27:A28"/>
    <mergeCell ref="B38:C38"/>
    <mergeCell ref="H11:H13"/>
    <mergeCell ref="E12:E13"/>
    <mergeCell ref="F12:F13"/>
    <mergeCell ref="B11:B13"/>
    <mergeCell ref="C11:C13"/>
    <mergeCell ref="B14:B15"/>
    <mergeCell ref="H14:H15"/>
    <mergeCell ref="B16:B17"/>
    <mergeCell ref="H16:H17"/>
    <mergeCell ref="B27:B28"/>
    <mergeCell ref="H27:H28"/>
    <mergeCell ref="H20:H21"/>
    <mergeCell ref="A22:A23"/>
    <mergeCell ref="B22:B23"/>
    <mergeCell ref="H22:H23"/>
    <mergeCell ref="A24:A26"/>
    <mergeCell ref="B24:B26"/>
    <mergeCell ref="H24:H26"/>
  </mergeCells>
  <printOptions horizontalCentered="1"/>
  <pageMargins left="0" right="0" top="1.1811023622047245" bottom="0" header="0" footer="0"/>
  <pageSetup fitToHeight="1" fitToWidth="1"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tabColor theme="2" tint="-0.24997000396251678"/>
  </sheetPr>
  <dimension ref="A1:L44"/>
  <sheetViews>
    <sheetView view="pageBreakPreview" zoomScale="87" zoomScaleSheetLayoutView="87" zoomScalePageLayoutView="0" workbookViewId="0" topLeftCell="A15">
      <selection activeCell="A1" sqref="A1:L41"/>
    </sheetView>
  </sheetViews>
  <sheetFormatPr defaultColWidth="9.140625" defaultRowHeight="12.75" outlineLevelCol="1"/>
  <cols>
    <col min="1" max="1" width="6.7109375" style="149" customWidth="1"/>
    <col min="2" max="2" width="50.00390625" style="149" customWidth="1"/>
    <col min="3" max="3" width="20.140625" style="149" customWidth="1"/>
    <col min="4" max="4" width="18.8515625" style="149" customWidth="1"/>
    <col min="5" max="5" width="17.140625" style="149" customWidth="1"/>
    <col min="6" max="6" width="16.421875" style="149" customWidth="1"/>
    <col min="7" max="7" width="17.7109375" style="149" customWidth="1"/>
    <col min="8" max="8" width="55.57421875" style="149" customWidth="1"/>
    <col min="9" max="10" width="9.140625" style="149" hidden="1" customWidth="1"/>
    <col min="11" max="11" width="9.8515625" style="149" hidden="1" customWidth="1"/>
    <col min="12" max="12" width="10.140625" style="149" hidden="1" customWidth="1" outlineLevel="1"/>
    <col min="13" max="15" width="0" style="149" hidden="1" customWidth="1" outlineLevel="1"/>
    <col min="16" max="16" width="9.140625" style="149" customWidth="1" collapsed="1"/>
    <col min="17" max="16384" width="9.140625" style="149" customWidth="1"/>
  </cols>
  <sheetData>
    <row r="1" spans="2:9" ht="15.75">
      <c r="B1" s="156"/>
      <c r="C1" s="156"/>
      <c r="D1" s="156"/>
      <c r="E1" s="156"/>
      <c r="F1" s="156"/>
      <c r="G1" s="1" t="s">
        <v>780</v>
      </c>
      <c r="H1" s="513"/>
      <c r="I1" s="191" t="s">
        <v>19</v>
      </c>
    </row>
    <row r="2" spans="2:12" ht="15.75">
      <c r="B2" s="156"/>
      <c r="C2" s="156"/>
      <c r="D2" s="156"/>
      <c r="E2" s="156"/>
      <c r="F2" s="156"/>
      <c r="G2" s="12" t="s">
        <v>11</v>
      </c>
      <c r="H2" s="12"/>
      <c r="I2" s="15"/>
      <c r="J2" s="12"/>
      <c r="K2" s="12"/>
      <c r="L2" s="12"/>
    </row>
    <row r="3" spans="2:12" ht="15.75">
      <c r="B3" s="156"/>
      <c r="C3" s="156"/>
      <c r="D3" s="156"/>
      <c r="E3" s="156"/>
      <c r="F3" s="156"/>
      <c r="G3" s="12" t="s">
        <v>566</v>
      </c>
      <c r="H3" s="12"/>
      <c r="I3" s="15"/>
      <c r="J3" s="12"/>
      <c r="K3" s="12"/>
      <c r="L3" s="12"/>
    </row>
    <row r="4" spans="2:12" ht="15.75">
      <c r="B4" s="156"/>
      <c r="C4" s="156"/>
      <c r="D4" s="156"/>
      <c r="E4" s="156"/>
      <c r="F4" s="156"/>
      <c r="G4" s="17" t="s">
        <v>567</v>
      </c>
      <c r="H4" s="17"/>
      <c r="I4" s="15"/>
      <c r="J4" s="12"/>
      <c r="K4" s="12"/>
      <c r="L4" s="12"/>
    </row>
    <row r="5" spans="2:12" ht="15.75">
      <c r="B5" s="156"/>
      <c r="C5" s="156"/>
      <c r="D5" s="156"/>
      <c r="E5" s="156"/>
      <c r="F5" s="156"/>
      <c r="G5" s="17" t="s">
        <v>907</v>
      </c>
      <c r="H5" s="17"/>
      <c r="I5" s="15"/>
      <c r="J5" s="12"/>
      <c r="K5" s="12"/>
      <c r="L5" s="12"/>
    </row>
    <row r="6" spans="2:12" ht="15.75">
      <c r="B6" s="156"/>
      <c r="C6" s="156"/>
      <c r="D6" s="156"/>
      <c r="E6" s="156"/>
      <c r="F6" s="156"/>
      <c r="G6" s="17" t="s">
        <v>924</v>
      </c>
      <c r="H6" s="17"/>
      <c r="I6" s="327"/>
      <c r="J6" s="12"/>
      <c r="K6" s="12"/>
      <c r="L6" s="12"/>
    </row>
    <row r="7" spans="2:12" ht="15.75" customHeight="1">
      <c r="B7" s="156"/>
      <c r="C7" s="156"/>
      <c r="D7" s="156"/>
      <c r="E7" s="156"/>
      <c r="F7" s="156"/>
      <c r="G7" s="768" t="s">
        <v>920</v>
      </c>
      <c r="H7" s="768"/>
      <c r="I7" s="768"/>
      <c r="J7" s="768"/>
      <c r="K7" s="768"/>
      <c r="L7" s="768"/>
    </row>
    <row r="8" spans="2:12" ht="15.75" customHeight="1">
      <c r="B8" s="156"/>
      <c r="C8" s="156"/>
      <c r="D8" s="156"/>
      <c r="E8" s="156"/>
      <c r="F8" s="156"/>
      <c r="G8" s="768" t="s">
        <v>941</v>
      </c>
      <c r="H8" s="768"/>
      <c r="I8" s="730"/>
      <c r="J8" s="730"/>
      <c r="K8" s="730"/>
      <c r="L8" s="730"/>
    </row>
    <row r="9" spans="2:9" ht="15.75">
      <c r="B9" s="156"/>
      <c r="C9" s="156"/>
      <c r="D9" s="156"/>
      <c r="E9" s="156"/>
      <c r="F9" s="156"/>
      <c r="G9" s="156"/>
      <c r="H9" s="156"/>
      <c r="I9" s="156"/>
    </row>
    <row r="10" spans="1:9" ht="36.75" customHeight="1">
      <c r="A10" s="842" t="s">
        <v>929</v>
      </c>
      <c r="B10" s="842"/>
      <c r="C10" s="842"/>
      <c r="D10" s="842"/>
      <c r="E10" s="842"/>
      <c r="F10" s="842"/>
      <c r="G10" s="842"/>
      <c r="H10" s="842"/>
      <c r="I10" s="156"/>
    </row>
    <row r="11" spans="2:9" ht="15.75">
      <c r="B11" s="156"/>
      <c r="C11" s="156"/>
      <c r="D11" s="843"/>
      <c r="E11" s="843"/>
      <c r="F11" s="843"/>
      <c r="G11" s="156"/>
      <c r="H11" s="416" t="s">
        <v>426</v>
      </c>
      <c r="I11" s="156"/>
    </row>
    <row r="12" spans="1:9" ht="18.75">
      <c r="A12" s="835" t="s">
        <v>32</v>
      </c>
      <c r="B12" s="835" t="s">
        <v>12</v>
      </c>
      <c r="C12" s="835" t="s">
        <v>13</v>
      </c>
      <c r="D12" s="835" t="s">
        <v>397</v>
      </c>
      <c r="E12" s="839" t="s">
        <v>9</v>
      </c>
      <c r="F12" s="839"/>
      <c r="G12" s="840"/>
      <c r="H12" s="834" t="s">
        <v>15</v>
      </c>
      <c r="I12" s="156"/>
    </row>
    <row r="13" spans="1:9" ht="15.75" customHeight="1">
      <c r="A13" s="837"/>
      <c r="B13" s="837"/>
      <c r="C13" s="837"/>
      <c r="D13" s="837"/>
      <c r="E13" s="835">
        <v>2021</v>
      </c>
      <c r="F13" s="835">
        <v>2022</v>
      </c>
      <c r="G13" s="834">
        <v>2023</v>
      </c>
      <c r="H13" s="834"/>
      <c r="I13" s="156"/>
    </row>
    <row r="14" spans="1:9" ht="26.25" customHeight="1">
      <c r="A14" s="836"/>
      <c r="B14" s="836"/>
      <c r="C14" s="836"/>
      <c r="D14" s="836"/>
      <c r="E14" s="836"/>
      <c r="F14" s="836"/>
      <c r="G14" s="834"/>
      <c r="H14" s="834"/>
      <c r="I14" s="156"/>
    </row>
    <row r="15" spans="1:9" ht="43.5" customHeight="1">
      <c r="A15" s="684">
        <v>1</v>
      </c>
      <c r="B15" s="541" t="s">
        <v>879</v>
      </c>
      <c r="C15" s="531" t="s">
        <v>746</v>
      </c>
      <c r="D15" s="529">
        <f>E15+F15+G15</f>
        <v>49298.4</v>
      </c>
      <c r="E15" s="682">
        <f>11754.8+983.7+80+1501.7+1095.1</f>
        <v>15415.300000000001</v>
      </c>
      <c r="F15" s="682">
        <v>16448.1</v>
      </c>
      <c r="G15" s="682">
        <v>17435</v>
      </c>
      <c r="H15" s="830" t="s">
        <v>245</v>
      </c>
      <c r="I15" s="156"/>
    </row>
    <row r="16" spans="1:9" ht="27.75" customHeight="1" hidden="1">
      <c r="A16" s="693" t="s">
        <v>248</v>
      </c>
      <c r="B16" s="552" t="s">
        <v>875</v>
      </c>
      <c r="C16" s="844" t="s">
        <v>746</v>
      </c>
      <c r="D16" s="694">
        <f>E16+F16+G16</f>
        <v>3837.6000000000004</v>
      </c>
      <c r="E16" s="695">
        <v>1200</v>
      </c>
      <c r="F16" s="695">
        <v>1280.4</v>
      </c>
      <c r="G16" s="695">
        <v>1357.2</v>
      </c>
      <c r="H16" s="832"/>
      <c r="I16" s="156"/>
    </row>
    <row r="17" spans="1:9" ht="30.75" customHeight="1" hidden="1">
      <c r="A17" s="693" t="s">
        <v>260</v>
      </c>
      <c r="B17" s="552" t="s">
        <v>876</v>
      </c>
      <c r="C17" s="845"/>
      <c r="D17" s="694">
        <f>E17+F17+G17</f>
        <v>3198</v>
      </c>
      <c r="E17" s="695">
        <v>1000</v>
      </c>
      <c r="F17" s="695">
        <v>1067</v>
      </c>
      <c r="G17" s="695">
        <v>1131</v>
      </c>
      <c r="H17" s="832"/>
      <c r="I17" s="156"/>
    </row>
    <row r="18" spans="1:9" ht="29.25" customHeight="1" hidden="1">
      <c r="A18" s="693" t="s">
        <v>262</v>
      </c>
      <c r="B18" s="552" t="s">
        <v>877</v>
      </c>
      <c r="C18" s="845"/>
      <c r="D18" s="694">
        <f>E18+F18+G18</f>
        <v>3837.6000000000004</v>
      </c>
      <c r="E18" s="695">
        <v>1200</v>
      </c>
      <c r="F18" s="695">
        <v>1280.4</v>
      </c>
      <c r="G18" s="695">
        <v>1357.2</v>
      </c>
      <c r="H18" s="832"/>
      <c r="I18" s="156"/>
    </row>
    <row r="19" spans="1:9" ht="30" customHeight="1" hidden="1">
      <c r="A19" s="693" t="s">
        <v>263</v>
      </c>
      <c r="B19" s="552" t="s">
        <v>878</v>
      </c>
      <c r="C19" s="846"/>
      <c r="D19" s="694">
        <f>E19+F19+G19</f>
        <v>3837.6000000000004</v>
      </c>
      <c r="E19" s="695">
        <v>1200</v>
      </c>
      <c r="F19" s="695">
        <v>1280.4</v>
      </c>
      <c r="G19" s="695">
        <v>1357.2</v>
      </c>
      <c r="H19" s="831"/>
      <c r="I19" s="156"/>
    </row>
    <row r="20" spans="1:12" ht="52.5" customHeight="1">
      <c r="A20" s="530">
        <v>2</v>
      </c>
      <c r="B20" s="681" t="s">
        <v>189</v>
      </c>
      <c r="C20" s="531" t="s">
        <v>746</v>
      </c>
      <c r="D20" s="529">
        <f aca="true" t="shared" si="0" ref="D20:D31">E20+F20+G20</f>
        <v>14886.999999999998</v>
      </c>
      <c r="E20" s="232">
        <f>400.8+235+66.1+104.1+1587.3+144+74.2+550.6+51.8+47.5+223.3+175.7+468.5+75+70.9+250+50+50+50</f>
        <v>4674.799999999999</v>
      </c>
      <c r="F20" s="232">
        <f>452.5+265.4+74.7+117.5+1792+162.6+83.8+621.6+58.5+53.7+252.1+198.4+529+84.7+80</f>
        <v>4826.499999999999</v>
      </c>
      <c r="G20" s="232">
        <f>505.9+296.7+83.5+131.4+2003.5+181.8+93.7+695+63.4+60+281.9+221.8+591.4+94.7+81</f>
        <v>5385.699999999999</v>
      </c>
      <c r="H20" s="830" t="s">
        <v>245</v>
      </c>
      <c r="I20" s="156"/>
      <c r="L20" s="149" t="s">
        <v>880</v>
      </c>
    </row>
    <row r="21" spans="1:9" ht="27.75" customHeight="1" hidden="1">
      <c r="A21" s="693" t="s">
        <v>356</v>
      </c>
      <c r="B21" s="552" t="s">
        <v>875</v>
      </c>
      <c r="C21" s="844" t="s">
        <v>746</v>
      </c>
      <c r="D21" s="694">
        <f t="shared" si="0"/>
        <v>160</v>
      </c>
      <c r="E21" s="696">
        <v>50</v>
      </c>
      <c r="F21" s="696">
        <v>53.4</v>
      </c>
      <c r="G21" s="696">
        <v>56.6</v>
      </c>
      <c r="H21" s="832"/>
      <c r="I21" s="156"/>
    </row>
    <row r="22" spans="1:9" ht="29.25" customHeight="1" hidden="1">
      <c r="A22" s="693" t="s">
        <v>388</v>
      </c>
      <c r="B22" s="552" t="s">
        <v>876</v>
      </c>
      <c r="C22" s="845"/>
      <c r="D22" s="694">
        <f t="shared" si="0"/>
        <v>1599</v>
      </c>
      <c r="E22" s="696">
        <v>500</v>
      </c>
      <c r="F22" s="696">
        <v>533.5</v>
      </c>
      <c r="G22" s="696">
        <v>565.5</v>
      </c>
      <c r="H22" s="832"/>
      <c r="I22" s="156"/>
    </row>
    <row r="23" spans="1:9" ht="24.75" customHeight="1" hidden="1">
      <c r="A23" s="693" t="s">
        <v>413</v>
      </c>
      <c r="B23" s="552" t="s">
        <v>877</v>
      </c>
      <c r="C23" s="845"/>
      <c r="D23" s="694">
        <f t="shared" si="0"/>
        <v>480</v>
      </c>
      <c r="E23" s="696">
        <v>150</v>
      </c>
      <c r="F23" s="696">
        <v>160</v>
      </c>
      <c r="G23" s="696">
        <v>170</v>
      </c>
      <c r="H23" s="832"/>
      <c r="I23" s="156"/>
    </row>
    <row r="24" spans="1:9" ht="27" customHeight="1" hidden="1">
      <c r="A24" s="693" t="s">
        <v>414</v>
      </c>
      <c r="B24" s="552" t="s">
        <v>878</v>
      </c>
      <c r="C24" s="846"/>
      <c r="D24" s="694">
        <f t="shared" si="0"/>
        <v>480</v>
      </c>
      <c r="E24" s="696">
        <v>150</v>
      </c>
      <c r="F24" s="696">
        <v>160</v>
      </c>
      <c r="G24" s="696">
        <v>170</v>
      </c>
      <c r="H24" s="831"/>
      <c r="I24" s="156"/>
    </row>
    <row r="25" spans="1:9" ht="60.75" customHeight="1">
      <c r="A25" s="530">
        <v>3</v>
      </c>
      <c r="B25" s="532" t="s">
        <v>115</v>
      </c>
      <c r="C25" s="531" t="s">
        <v>746</v>
      </c>
      <c r="D25" s="529">
        <f t="shared" si="0"/>
        <v>17808.3</v>
      </c>
      <c r="E25" s="232">
        <v>5251.3</v>
      </c>
      <c r="F25" s="232">
        <v>5928.7</v>
      </c>
      <c r="G25" s="232">
        <v>6628.3</v>
      </c>
      <c r="H25" s="530" t="s">
        <v>245</v>
      </c>
      <c r="I25" s="156"/>
    </row>
    <row r="26" spans="1:9" ht="45.75" customHeight="1">
      <c r="A26" s="530">
        <v>4</v>
      </c>
      <c r="B26" s="532" t="s">
        <v>116</v>
      </c>
      <c r="C26" s="531" t="s">
        <v>746</v>
      </c>
      <c r="D26" s="529">
        <f t="shared" si="0"/>
        <v>1219.8</v>
      </c>
      <c r="E26" s="232">
        <v>359.7</v>
      </c>
      <c r="F26" s="232">
        <v>406.1</v>
      </c>
      <c r="G26" s="232">
        <v>454</v>
      </c>
      <c r="H26" s="530" t="s">
        <v>245</v>
      </c>
      <c r="I26" s="156"/>
    </row>
    <row r="27" spans="1:9" ht="56.25" customHeight="1">
      <c r="A27" s="530">
        <v>5</v>
      </c>
      <c r="B27" s="532" t="s">
        <v>752</v>
      </c>
      <c r="C27" s="531" t="s">
        <v>746</v>
      </c>
      <c r="D27" s="529">
        <f t="shared" si="0"/>
        <v>191.8</v>
      </c>
      <c r="E27" s="232">
        <f>22.5+8.5+8.2+20.8</f>
        <v>60</v>
      </c>
      <c r="F27" s="232">
        <f>24+9+8.8+22.2</f>
        <v>64</v>
      </c>
      <c r="G27" s="232">
        <f>25.4+9.6+9.3+23.5</f>
        <v>67.8</v>
      </c>
      <c r="H27" s="530" t="s">
        <v>245</v>
      </c>
      <c r="I27" s="156"/>
    </row>
    <row r="28" spans="1:9" ht="42.75" customHeight="1">
      <c r="A28" s="830">
        <v>6</v>
      </c>
      <c r="B28" s="847" t="s">
        <v>645</v>
      </c>
      <c r="C28" s="222" t="s">
        <v>237</v>
      </c>
      <c r="D28" s="529">
        <f t="shared" si="0"/>
        <v>100</v>
      </c>
      <c r="E28" s="232">
        <v>50</v>
      </c>
      <c r="F28" s="232">
        <v>50</v>
      </c>
      <c r="G28" s="232"/>
      <c r="H28" s="830" t="s">
        <v>245</v>
      </c>
      <c r="I28" s="156"/>
    </row>
    <row r="29" spans="1:9" ht="41.25" customHeight="1">
      <c r="A29" s="832"/>
      <c r="B29" s="848"/>
      <c r="C29" s="531" t="s">
        <v>746</v>
      </c>
      <c r="D29" s="551">
        <f>E29+F29+G29</f>
        <v>100</v>
      </c>
      <c r="E29" s="232">
        <v>50</v>
      </c>
      <c r="F29" s="232">
        <v>50</v>
      </c>
      <c r="G29" s="232"/>
      <c r="H29" s="832"/>
      <c r="I29" s="156"/>
    </row>
    <row r="30" spans="1:9" ht="56.25" customHeight="1">
      <c r="A30" s="194">
        <v>7</v>
      </c>
      <c r="B30" s="221" t="s">
        <v>753</v>
      </c>
      <c r="C30" s="531" t="s">
        <v>746</v>
      </c>
      <c r="D30" s="529">
        <f t="shared" si="0"/>
        <v>280</v>
      </c>
      <c r="E30" s="232">
        <v>280</v>
      </c>
      <c r="F30" s="232"/>
      <c r="G30" s="232"/>
      <c r="H30" s="530" t="s">
        <v>245</v>
      </c>
      <c r="I30" s="156"/>
    </row>
    <row r="31" spans="1:9" ht="56.25" customHeight="1">
      <c r="A31" s="194">
        <v>8</v>
      </c>
      <c r="B31" s="698" t="s">
        <v>913</v>
      </c>
      <c r="C31" s="531" t="s">
        <v>746</v>
      </c>
      <c r="D31" s="529">
        <f t="shared" si="0"/>
        <v>150</v>
      </c>
      <c r="E31" s="232">
        <v>150</v>
      </c>
      <c r="F31" s="232"/>
      <c r="G31" s="232"/>
      <c r="H31" s="530" t="s">
        <v>245</v>
      </c>
      <c r="I31" s="156"/>
    </row>
    <row r="32" spans="1:9" ht="24" customHeight="1">
      <c r="A32" s="195"/>
      <c r="B32" s="233" t="s">
        <v>5</v>
      </c>
      <c r="C32" s="234"/>
      <c r="D32" s="231">
        <f>E32+F32+G32</f>
        <v>84035.29999999999</v>
      </c>
      <c r="E32" s="231">
        <f>E15+E20+E25+E26+E27+E28+E29+E30+E31</f>
        <v>26291.1</v>
      </c>
      <c r="F32" s="231">
        <f>F15+F20+F25+F26+F27+F28+F29+F30</f>
        <v>27773.399999999998</v>
      </c>
      <c r="G32" s="231">
        <f>G15+G20+G25+G26+G27+G28+G29+G30</f>
        <v>29970.799999999996</v>
      </c>
      <c r="H32" s="196"/>
      <c r="I32" s="156"/>
    </row>
    <row r="33" spans="1:9" ht="10.5" customHeight="1">
      <c r="A33" s="197"/>
      <c r="B33" s="198"/>
      <c r="C33" s="198"/>
      <c r="D33" s="199"/>
      <c r="E33" s="199"/>
      <c r="F33" s="199"/>
      <c r="G33" s="199"/>
      <c r="H33" s="200"/>
      <c r="I33" s="156"/>
    </row>
    <row r="34" spans="1:9" ht="15.75" hidden="1">
      <c r="A34" s="197"/>
      <c r="B34" s="198"/>
      <c r="C34" s="198"/>
      <c r="D34" s="199"/>
      <c r="E34" s="199"/>
      <c r="F34" s="199"/>
      <c r="G34" s="199"/>
      <c r="H34" s="200"/>
      <c r="I34" s="156"/>
    </row>
    <row r="35" spans="1:9" ht="15.75" hidden="1">
      <c r="A35" s="197"/>
      <c r="B35" s="198"/>
      <c r="C35" s="198"/>
      <c r="D35" s="199"/>
      <c r="E35" s="199"/>
      <c r="F35" s="199"/>
      <c r="G35" s="199"/>
      <c r="H35" s="200"/>
      <c r="I35" s="156"/>
    </row>
    <row r="36" spans="2:9" ht="15.75">
      <c r="B36" s="198"/>
      <c r="C36" s="198"/>
      <c r="D36" s="199"/>
      <c r="E36" s="199"/>
      <c r="F36" s="199"/>
      <c r="G36" s="199"/>
      <c r="H36" s="200"/>
      <c r="I36" s="156"/>
    </row>
    <row r="37" spans="2:9" ht="18.75">
      <c r="B37" s="838" t="s">
        <v>18</v>
      </c>
      <c r="C37" s="838"/>
      <c r="D37" s="383"/>
      <c r="E37" s="713"/>
      <c r="F37" s="713"/>
      <c r="G37" s="713"/>
      <c r="H37" s="152" t="s">
        <v>30</v>
      </c>
      <c r="I37" s="152"/>
    </row>
    <row r="38" spans="2:9" ht="6" customHeight="1">
      <c r="B38" s="150"/>
      <c r="C38" s="150"/>
      <c r="D38" s="150"/>
      <c r="E38" s="201"/>
      <c r="F38" s="201"/>
      <c r="G38" s="152"/>
      <c r="H38" s="202"/>
      <c r="I38" s="152"/>
    </row>
    <row r="39" spans="2:9" ht="8.25" customHeight="1">
      <c r="B39" s="150"/>
      <c r="C39" s="150"/>
      <c r="D39" s="150"/>
      <c r="E39" s="201"/>
      <c r="F39" s="201"/>
      <c r="G39" s="152"/>
      <c r="H39" s="202"/>
      <c r="I39" s="152"/>
    </row>
    <row r="40" spans="2:8" ht="18.75">
      <c r="B40" s="833" t="s">
        <v>558</v>
      </c>
      <c r="C40" s="833"/>
      <c r="D40" s="154"/>
      <c r="E40" s="155"/>
      <c r="F40" s="155"/>
      <c r="G40" s="156"/>
      <c r="H40" s="156"/>
    </row>
    <row r="41" spans="2:10" ht="15.75">
      <c r="B41" s="157" t="s">
        <v>10</v>
      </c>
      <c r="C41" s="157"/>
      <c r="D41" s="155"/>
      <c r="E41" s="155"/>
      <c r="F41" s="155"/>
      <c r="G41" s="156"/>
      <c r="H41" s="156"/>
      <c r="J41" s="192"/>
    </row>
    <row r="42" spans="2:8" ht="15.75">
      <c r="B42" s="203"/>
      <c r="C42" s="204"/>
      <c r="D42" s="205"/>
      <c r="E42" s="155"/>
      <c r="F42" s="155"/>
      <c r="G42" s="156"/>
      <c r="H42" s="156"/>
    </row>
    <row r="43" spans="3:7" ht="15.75">
      <c r="C43" s="205"/>
      <c r="D43" s="155"/>
      <c r="E43" s="155"/>
      <c r="F43" s="155"/>
      <c r="G43" s="155"/>
    </row>
    <row r="44" spans="3:7" ht="15.75">
      <c r="C44" s="206"/>
      <c r="D44" s="155"/>
      <c r="E44" s="155"/>
      <c r="F44" s="155"/>
      <c r="G44" s="155"/>
    </row>
  </sheetData>
  <sheetProtection/>
  <mergeCells count="22">
    <mergeCell ref="A28:A29"/>
    <mergeCell ref="B28:B29"/>
    <mergeCell ref="H28:H29"/>
    <mergeCell ref="D12:D14"/>
    <mergeCell ref="E12:G12"/>
    <mergeCell ref="H12:H14"/>
    <mergeCell ref="E13:E14"/>
    <mergeCell ref="F13:F14"/>
    <mergeCell ref="G13:G14"/>
    <mergeCell ref="B37:C37"/>
    <mergeCell ref="C12:C14"/>
    <mergeCell ref="H15:H19"/>
    <mergeCell ref="H20:H24"/>
    <mergeCell ref="C21:C24"/>
    <mergeCell ref="B40:C40"/>
    <mergeCell ref="C16:C19"/>
    <mergeCell ref="G8:H8"/>
    <mergeCell ref="G7:L7"/>
    <mergeCell ref="A10:H10"/>
    <mergeCell ref="D11:F11"/>
    <mergeCell ref="A12:A14"/>
    <mergeCell ref="B12:B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7">
      <selection activeCell="A1" sqref="A1:O34"/>
    </sheetView>
  </sheetViews>
  <sheetFormatPr defaultColWidth="9.140625" defaultRowHeight="12.75"/>
  <cols>
    <col min="1" max="1" width="6.7109375" style="14" customWidth="1"/>
    <col min="2" max="2" width="49.7109375" style="14" customWidth="1"/>
    <col min="3" max="3" width="15.8515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19</v>
      </c>
      <c r="J1" s="1" t="s">
        <v>318</v>
      </c>
      <c r="K1" s="513"/>
      <c r="L1" s="13" t="s">
        <v>19</v>
      </c>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566</v>
      </c>
      <c r="K3" s="12"/>
      <c r="L3" s="15"/>
      <c r="M3" s="12"/>
      <c r="N3" s="12"/>
      <c r="O3" s="12"/>
    </row>
    <row r="4" spans="2:15" ht="15.75">
      <c r="B4" s="15"/>
      <c r="C4" s="15"/>
      <c r="D4" s="15"/>
      <c r="E4" s="15"/>
      <c r="F4" s="15"/>
      <c r="G4" s="15"/>
      <c r="H4" s="15"/>
      <c r="I4" s="12" t="s">
        <v>21</v>
      </c>
      <c r="J4" s="17" t="s">
        <v>567</v>
      </c>
      <c r="K4" s="17"/>
      <c r="L4" s="15"/>
      <c r="M4" s="12"/>
      <c r="N4" s="12"/>
      <c r="O4" s="12"/>
    </row>
    <row r="5" spans="2:15" ht="15.75">
      <c r="B5" s="15"/>
      <c r="C5" s="15"/>
      <c r="D5" s="15"/>
      <c r="E5" s="15"/>
      <c r="F5" s="15"/>
      <c r="G5" s="15"/>
      <c r="H5" s="15"/>
      <c r="I5" s="12" t="s">
        <v>23</v>
      </c>
      <c r="J5" s="17" t="s">
        <v>907</v>
      </c>
      <c r="K5" s="17"/>
      <c r="L5" s="15"/>
      <c r="M5" s="12"/>
      <c r="N5" s="12"/>
      <c r="O5" s="12"/>
    </row>
    <row r="6" spans="2:15" ht="15.75">
      <c r="B6" s="15"/>
      <c r="C6" s="15"/>
      <c r="D6" s="15"/>
      <c r="E6" s="15"/>
      <c r="F6" s="15"/>
      <c r="G6" s="15"/>
      <c r="H6" s="15"/>
      <c r="I6" s="12"/>
      <c r="J6" s="17" t="s">
        <v>927</v>
      </c>
      <c r="K6" s="17"/>
      <c r="L6" s="327"/>
      <c r="M6" s="12"/>
      <c r="N6" s="12"/>
      <c r="O6" s="12"/>
    </row>
    <row r="7" spans="2:15" ht="15.75">
      <c r="B7" s="15"/>
      <c r="C7" s="15"/>
      <c r="D7" s="15"/>
      <c r="E7" s="15"/>
      <c r="F7" s="15"/>
      <c r="G7" s="15"/>
      <c r="H7" s="15"/>
      <c r="I7" s="12"/>
      <c r="J7" s="17" t="s">
        <v>928</v>
      </c>
      <c r="K7" s="17"/>
      <c r="L7" s="327"/>
      <c r="M7" s="12"/>
      <c r="N7" s="12"/>
      <c r="O7" s="12"/>
    </row>
    <row r="8" spans="2:15" ht="15.75" customHeight="1">
      <c r="B8" s="15"/>
      <c r="C8" s="15"/>
      <c r="D8" s="15"/>
      <c r="E8" s="15"/>
      <c r="F8" s="15"/>
      <c r="G8" s="15"/>
      <c r="H8" s="15"/>
      <c r="I8" s="12"/>
      <c r="J8" s="768" t="s">
        <v>920</v>
      </c>
      <c r="K8" s="768"/>
      <c r="L8" s="768"/>
      <c r="M8" s="768"/>
      <c r="N8" s="768"/>
      <c r="O8" s="768"/>
    </row>
    <row r="9" spans="2:12" ht="15.75">
      <c r="B9" s="15"/>
      <c r="C9" s="15"/>
      <c r="D9" s="15"/>
      <c r="E9" s="15"/>
      <c r="F9" s="15"/>
      <c r="G9" s="15"/>
      <c r="H9" s="15"/>
      <c r="I9" s="12"/>
      <c r="J9" s="12" t="s">
        <v>941</v>
      </c>
      <c r="K9" s="12"/>
      <c r="L9" s="12"/>
    </row>
    <row r="10" spans="2:12" ht="15.75">
      <c r="B10" s="15"/>
      <c r="C10" s="15"/>
      <c r="D10" s="15"/>
      <c r="E10" s="15"/>
      <c r="F10" s="15"/>
      <c r="G10" s="15"/>
      <c r="H10" s="15"/>
      <c r="I10" s="15"/>
      <c r="J10" s="15"/>
      <c r="K10" s="15"/>
      <c r="L10" s="15"/>
    </row>
    <row r="11" spans="2:12" ht="36.75" customHeight="1">
      <c r="B11" s="769" t="s">
        <v>770</v>
      </c>
      <c r="C11" s="769"/>
      <c r="D11" s="769"/>
      <c r="E11" s="769"/>
      <c r="F11" s="769"/>
      <c r="G11" s="769"/>
      <c r="H11" s="769"/>
      <c r="I11" s="769"/>
      <c r="J11" s="769"/>
      <c r="K11" s="769"/>
      <c r="L11" s="15"/>
    </row>
    <row r="12" spans="2:12" ht="15.75">
      <c r="B12" s="15"/>
      <c r="C12" s="15"/>
      <c r="D12" s="785"/>
      <c r="E12" s="785"/>
      <c r="F12" s="785"/>
      <c r="G12" s="785"/>
      <c r="H12" s="785"/>
      <c r="I12" s="15"/>
      <c r="J12" s="15"/>
      <c r="K12" s="34" t="s">
        <v>426</v>
      </c>
      <c r="L12" s="15"/>
    </row>
    <row r="13" spans="1:12" ht="15.75" customHeight="1">
      <c r="A13" s="783" t="s">
        <v>32</v>
      </c>
      <c r="B13" s="770" t="s">
        <v>12</v>
      </c>
      <c r="C13" s="770" t="s">
        <v>13</v>
      </c>
      <c r="D13" s="770" t="s">
        <v>397</v>
      </c>
      <c r="E13" s="786" t="s">
        <v>9</v>
      </c>
      <c r="F13" s="786"/>
      <c r="G13" s="786"/>
      <c r="H13" s="786"/>
      <c r="I13" s="786"/>
      <c r="J13" s="849"/>
      <c r="K13" s="776" t="s">
        <v>15</v>
      </c>
      <c r="L13" s="15"/>
    </row>
    <row r="14" spans="1:12" ht="15.75">
      <c r="A14" s="850"/>
      <c r="B14" s="771"/>
      <c r="C14" s="771"/>
      <c r="D14" s="771"/>
      <c r="E14" s="770">
        <v>2021</v>
      </c>
      <c r="F14" s="770">
        <v>2022</v>
      </c>
      <c r="G14" s="770" t="s">
        <v>27</v>
      </c>
      <c r="H14" s="770" t="s">
        <v>28</v>
      </c>
      <c r="I14" s="770" t="s">
        <v>29</v>
      </c>
      <c r="J14" s="776">
        <v>2023</v>
      </c>
      <c r="K14" s="776"/>
      <c r="L14" s="15"/>
    </row>
    <row r="15" spans="1:12" ht="21" customHeight="1">
      <c r="A15" s="784"/>
      <c r="B15" s="772"/>
      <c r="C15" s="772"/>
      <c r="D15" s="772"/>
      <c r="E15" s="772"/>
      <c r="F15" s="772"/>
      <c r="G15" s="772"/>
      <c r="H15" s="772"/>
      <c r="I15" s="772"/>
      <c r="J15" s="776"/>
      <c r="K15" s="776"/>
      <c r="L15" s="15"/>
    </row>
    <row r="16" spans="1:12" ht="121.5" customHeight="1">
      <c r="A16" s="219">
        <v>1</v>
      </c>
      <c r="B16" s="492" t="s">
        <v>771</v>
      </c>
      <c r="C16" s="35" t="s">
        <v>657</v>
      </c>
      <c r="D16" s="61">
        <f aca="true" t="shared" si="0" ref="D16:D26">E16+F16+J16</f>
        <v>4950.5</v>
      </c>
      <c r="E16" s="63">
        <v>1548</v>
      </c>
      <c r="F16" s="686">
        <v>1651.7</v>
      </c>
      <c r="G16" s="686"/>
      <c r="H16" s="686"/>
      <c r="I16" s="686"/>
      <c r="J16" s="686">
        <v>1750.8</v>
      </c>
      <c r="K16" s="219" t="s">
        <v>245</v>
      </c>
      <c r="L16" s="15"/>
    </row>
    <row r="17" spans="1:14" ht="77.25" customHeight="1">
      <c r="A17" s="219">
        <v>2</v>
      </c>
      <c r="B17" s="685" t="s">
        <v>376</v>
      </c>
      <c r="C17" s="35" t="s">
        <v>657</v>
      </c>
      <c r="D17" s="61">
        <f t="shared" si="0"/>
        <v>19539.9</v>
      </c>
      <c r="E17" s="63">
        <v>6110</v>
      </c>
      <c r="F17" s="686">
        <v>6519.4</v>
      </c>
      <c r="G17" s="686"/>
      <c r="H17" s="686"/>
      <c r="I17" s="686"/>
      <c r="J17" s="686">
        <v>6910.5</v>
      </c>
      <c r="K17" s="219" t="s">
        <v>245</v>
      </c>
      <c r="L17" s="15"/>
      <c r="N17" s="54"/>
    </row>
    <row r="18" spans="1:14" ht="60.75" customHeight="1">
      <c r="A18" s="219">
        <v>3</v>
      </c>
      <c r="B18" s="681" t="s">
        <v>914</v>
      </c>
      <c r="C18" s="35" t="s">
        <v>657</v>
      </c>
      <c r="D18" s="61">
        <f t="shared" si="0"/>
        <v>900</v>
      </c>
      <c r="E18" s="704">
        <v>300</v>
      </c>
      <c r="F18" s="686">
        <v>300</v>
      </c>
      <c r="G18" s="686">
        <v>100</v>
      </c>
      <c r="H18" s="686">
        <v>100</v>
      </c>
      <c r="I18" s="686">
        <v>100</v>
      </c>
      <c r="J18" s="686">
        <v>300</v>
      </c>
      <c r="K18" s="219" t="s">
        <v>245</v>
      </c>
      <c r="L18" s="15"/>
      <c r="N18" s="54"/>
    </row>
    <row r="19" spans="1:14" ht="75.75" customHeight="1">
      <c r="A19" s="219">
        <v>4</v>
      </c>
      <c r="B19" s="681" t="s">
        <v>834</v>
      </c>
      <c r="C19" s="35" t="s">
        <v>657</v>
      </c>
      <c r="D19" s="61">
        <f t="shared" si="0"/>
        <v>750</v>
      </c>
      <c r="E19" s="63">
        <v>200</v>
      </c>
      <c r="F19" s="686">
        <v>250</v>
      </c>
      <c r="G19" s="686"/>
      <c r="H19" s="686"/>
      <c r="I19" s="686"/>
      <c r="J19" s="686">
        <v>300</v>
      </c>
      <c r="K19" s="219" t="s">
        <v>245</v>
      </c>
      <c r="L19" s="15"/>
      <c r="N19" s="54"/>
    </row>
    <row r="20" spans="1:14" ht="73.5" customHeight="1">
      <c r="A20" s="219">
        <v>5</v>
      </c>
      <c r="B20" s="681" t="s">
        <v>772</v>
      </c>
      <c r="C20" s="35" t="s">
        <v>657</v>
      </c>
      <c r="D20" s="61">
        <f t="shared" si="0"/>
        <v>4000</v>
      </c>
      <c r="E20" s="63">
        <v>1000</v>
      </c>
      <c r="F20" s="686">
        <v>1500</v>
      </c>
      <c r="G20" s="686"/>
      <c r="H20" s="686"/>
      <c r="I20" s="686"/>
      <c r="J20" s="686">
        <v>1500</v>
      </c>
      <c r="K20" s="773" t="s">
        <v>245</v>
      </c>
      <c r="L20" s="15"/>
      <c r="N20" s="54"/>
    </row>
    <row r="21" spans="1:14" ht="29.25" customHeight="1" hidden="1">
      <c r="A21" s="690" t="s">
        <v>462</v>
      </c>
      <c r="B21" s="552" t="s">
        <v>875</v>
      </c>
      <c r="C21" s="787" t="s">
        <v>657</v>
      </c>
      <c r="D21" s="697">
        <f>E21+F21+J21</f>
        <v>225</v>
      </c>
      <c r="E21" s="640">
        <v>70</v>
      </c>
      <c r="F21" s="159">
        <v>75</v>
      </c>
      <c r="G21" s="159"/>
      <c r="H21" s="159"/>
      <c r="I21" s="159"/>
      <c r="J21" s="159">
        <v>80</v>
      </c>
      <c r="K21" s="774"/>
      <c r="L21" s="15"/>
      <c r="N21" s="54"/>
    </row>
    <row r="22" spans="1:14" ht="25.5" customHeight="1" hidden="1">
      <c r="A22" s="690" t="s">
        <v>502</v>
      </c>
      <c r="B22" s="552" t="s">
        <v>876</v>
      </c>
      <c r="C22" s="788"/>
      <c r="D22" s="697">
        <f t="shared" si="0"/>
        <v>161</v>
      </c>
      <c r="E22" s="640">
        <v>50</v>
      </c>
      <c r="F22" s="159">
        <v>54</v>
      </c>
      <c r="G22" s="159"/>
      <c r="H22" s="159"/>
      <c r="I22" s="159"/>
      <c r="J22" s="159">
        <v>57</v>
      </c>
      <c r="K22" s="774"/>
      <c r="L22" s="15"/>
      <c r="N22" s="54"/>
    </row>
    <row r="23" spans="1:14" ht="24.75" customHeight="1" hidden="1">
      <c r="A23" s="690" t="s">
        <v>515</v>
      </c>
      <c r="B23" s="552" t="s">
        <v>877</v>
      </c>
      <c r="C23" s="788"/>
      <c r="D23" s="697">
        <f t="shared" si="0"/>
        <v>192</v>
      </c>
      <c r="E23" s="640">
        <v>60</v>
      </c>
      <c r="F23" s="159">
        <v>64</v>
      </c>
      <c r="G23" s="159"/>
      <c r="H23" s="159"/>
      <c r="I23" s="159"/>
      <c r="J23" s="159">
        <v>68</v>
      </c>
      <c r="K23" s="774"/>
      <c r="L23" s="15"/>
      <c r="N23" s="54"/>
    </row>
    <row r="24" spans="1:14" ht="24" customHeight="1" hidden="1">
      <c r="A24" s="690" t="s">
        <v>801</v>
      </c>
      <c r="B24" s="552" t="s">
        <v>878</v>
      </c>
      <c r="C24" s="789"/>
      <c r="D24" s="697">
        <f t="shared" si="0"/>
        <v>129</v>
      </c>
      <c r="E24" s="640">
        <v>40</v>
      </c>
      <c r="F24" s="159">
        <v>43</v>
      </c>
      <c r="G24" s="159"/>
      <c r="H24" s="159"/>
      <c r="I24" s="159"/>
      <c r="J24" s="159">
        <v>46</v>
      </c>
      <c r="K24" s="775"/>
      <c r="L24" s="15"/>
      <c r="N24" s="54"/>
    </row>
    <row r="25" spans="1:14" ht="54.75" customHeight="1">
      <c r="A25" s="219">
        <v>6</v>
      </c>
      <c r="B25" s="681" t="s">
        <v>835</v>
      </c>
      <c r="C25" s="35" t="s">
        <v>657</v>
      </c>
      <c r="D25" s="61">
        <f t="shared" si="0"/>
        <v>2250</v>
      </c>
      <c r="E25" s="63">
        <v>650</v>
      </c>
      <c r="F25" s="686">
        <v>750</v>
      </c>
      <c r="G25" s="686"/>
      <c r="H25" s="686"/>
      <c r="I25" s="686"/>
      <c r="J25" s="686">
        <v>850</v>
      </c>
      <c r="K25" s="219" t="s">
        <v>245</v>
      </c>
      <c r="L25" s="15"/>
      <c r="N25" s="54"/>
    </row>
    <row r="26" spans="1:12" ht="32.25" customHeight="1">
      <c r="A26" s="84"/>
      <c r="B26" s="59" t="s">
        <v>5</v>
      </c>
      <c r="C26" s="687"/>
      <c r="D26" s="61">
        <f t="shared" si="0"/>
        <v>32390.399999999998</v>
      </c>
      <c r="E26" s="61">
        <f aca="true" t="shared" si="1" ref="E26:J26">E16+E17+E18+E19+E20+E25</f>
        <v>9808</v>
      </c>
      <c r="F26" s="61">
        <f t="shared" si="1"/>
        <v>10971.099999999999</v>
      </c>
      <c r="G26" s="61">
        <f t="shared" si="1"/>
        <v>100</v>
      </c>
      <c r="H26" s="61">
        <f t="shared" si="1"/>
        <v>100</v>
      </c>
      <c r="I26" s="61">
        <f t="shared" si="1"/>
        <v>100</v>
      </c>
      <c r="J26" s="61">
        <f t="shared" si="1"/>
        <v>11611.3</v>
      </c>
      <c r="K26" s="35"/>
      <c r="L26" s="15"/>
    </row>
    <row r="27" spans="2:12" ht="15.75">
      <c r="B27" s="18"/>
      <c r="C27" s="161"/>
      <c r="D27" s="19"/>
      <c r="E27" s="19"/>
      <c r="F27" s="19"/>
      <c r="G27" s="19"/>
      <c r="H27" s="19"/>
      <c r="I27" s="19"/>
      <c r="J27" s="19"/>
      <c r="K27" s="162"/>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51"/>
      <c r="C31" s="52"/>
      <c r="E31" s="19"/>
      <c r="F31" s="19"/>
      <c r="G31" s="19"/>
      <c r="H31" s="19"/>
      <c r="I31" s="19"/>
      <c r="J31" s="19"/>
      <c r="K31" s="52"/>
      <c r="L31" s="15"/>
    </row>
    <row r="32" spans="2:12" ht="21.75" customHeight="1">
      <c r="B32" s="809" t="s">
        <v>574</v>
      </c>
      <c r="C32" s="809"/>
      <c r="D32" s="352"/>
      <c r="E32" s="22"/>
      <c r="F32" s="22"/>
      <c r="G32" s="16"/>
      <c r="H32" s="16"/>
      <c r="I32" s="16"/>
      <c r="J32" s="23"/>
      <c r="K32" s="23" t="s">
        <v>30</v>
      </c>
      <c r="L32" s="23"/>
    </row>
    <row r="33" spans="2:12" ht="6.75" customHeight="1">
      <c r="B33" s="352"/>
      <c r="C33" s="352"/>
      <c r="D33" s="352"/>
      <c r="E33" s="22"/>
      <c r="F33" s="22"/>
      <c r="G33" s="16"/>
      <c r="H33" s="16"/>
      <c r="I33" s="16"/>
      <c r="J33" s="23"/>
      <c r="K33" s="23"/>
      <c r="L33" s="23"/>
    </row>
    <row r="34" spans="2:11" ht="18.75">
      <c r="B34" s="777" t="s">
        <v>558</v>
      </c>
      <c r="C34" s="777"/>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19">
    <mergeCell ref="J8:O8"/>
    <mergeCell ref="A13:A15"/>
    <mergeCell ref="B13:B15"/>
    <mergeCell ref="B32:C32"/>
    <mergeCell ref="J14:J15"/>
    <mergeCell ref="B11:K11"/>
    <mergeCell ref="D12:H12"/>
    <mergeCell ref="C21:C24"/>
    <mergeCell ref="K20:K24"/>
    <mergeCell ref="B34:C34"/>
    <mergeCell ref="K13:K15"/>
    <mergeCell ref="E14:E15"/>
    <mergeCell ref="F14:F15"/>
    <mergeCell ref="G14:G15"/>
    <mergeCell ref="H14:H15"/>
    <mergeCell ref="C13:C15"/>
    <mergeCell ref="D13:D15"/>
    <mergeCell ref="E13:J13"/>
    <mergeCell ref="I14:I15"/>
  </mergeCells>
  <printOptions horizontalCentered="1"/>
  <pageMargins left="0" right="0" top="1.1811023622047245" bottom="0" header="0" footer="0"/>
  <pageSetup fitToHeight="0" fitToWidth="1" horizontalDpi="600" verticalDpi="600" orientation="landscape" paperSize="9" scale="86" r:id="rId1"/>
</worksheet>
</file>

<file path=xl/worksheets/sheet14.xml><?xml version="1.0" encoding="utf-8"?>
<worksheet xmlns="http://schemas.openxmlformats.org/spreadsheetml/2006/main" xmlns:r="http://schemas.openxmlformats.org/officeDocument/2006/relationships">
  <sheetPr>
    <tabColor theme="2" tint="-0.24997000396251678"/>
  </sheetPr>
  <dimension ref="A1:CI131"/>
  <sheetViews>
    <sheetView view="pageBreakPreview" zoomScale="74" zoomScaleSheetLayoutView="74" zoomScalePageLayoutView="0" workbookViewId="0" topLeftCell="A20">
      <selection activeCell="A1" sqref="A1:N33"/>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4" hidden="1" customWidth="1"/>
    <col min="7" max="7" width="16.28125" style="14" customWidth="1"/>
    <col min="8" max="8" width="14.8515625" style="14" customWidth="1"/>
    <col min="9" max="9" width="69.8515625" style="14" customWidth="1"/>
    <col min="10" max="10" width="0.2890625" style="14" hidden="1" customWidth="1"/>
    <col min="11" max="11" width="1.1484375" style="14" customWidth="1" outlineLevel="1"/>
    <col min="12" max="12" width="8.8515625" style="14" hidden="1" customWidth="1" outlineLevel="1"/>
    <col min="13" max="13" width="9.140625" style="14" hidden="1" customWidth="1" outlineLevel="1"/>
    <col min="14" max="14" width="0.2890625" style="14" customWidth="1" outlineLevel="1"/>
    <col min="15" max="85" width="9.140625" style="14" customWidth="1" outlineLevel="1"/>
    <col min="86" max="86" width="10.57421875" style="14" customWidth="1" outlineLevel="1"/>
    <col min="87" max="87" width="9.28125" style="14" customWidth="1" outlineLevel="1"/>
    <col min="88" max="88" width="8.8515625" style="14" customWidth="1" outlineLevel="1"/>
    <col min="89" max="89" width="7.28125" style="14" customWidth="1" outlineLevel="1"/>
    <col min="90" max="90" width="9.140625" style="14" customWidth="1"/>
    <col min="91" max="167" width="9.140625" style="14" customWidth="1" outlineLevel="1"/>
    <col min="168" max="16384" width="9.140625" style="14" customWidth="1"/>
  </cols>
  <sheetData>
    <row r="1" spans="9:10" ht="15.75">
      <c r="I1" s="1" t="s">
        <v>781</v>
      </c>
      <c r="J1" s="12"/>
    </row>
    <row r="2" spans="9:12" ht="15.75">
      <c r="I2" s="12" t="s">
        <v>11</v>
      </c>
      <c r="J2" s="12"/>
      <c r="K2" s="12"/>
      <c r="L2" s="12"/>
    </row>
    <row r="3" spans="9:14" ht="15.75">
      <c r="I3" s="12" t="s">
        <v>566</v>
      </c>
      <c r="J3" s="12"/>
      <c r="K3" s="15"/>
      <c r="L3" s="12"/>
      <c r="M3" s="12"/>
      <c r="N3" s="12"/>
    </row>
    <row r="4" spans="9:14" ht="15.75">
      <c r="I4" s="17" t="s">
        <v>567</v>
      </c>
      <c r="J4" s="17"/>
      <c r="K4" s="15"/>
      <c r="L4" s="12"/>
      <c r="M4" s="12"/>
      <c r="N4" s="12"/>
    </row>
    <row r="5" spans="9:14" ht="15.75">
      <c r="I5" s="17" t="s">
        <v>907</v>
      </c>
      <c r="J5" s="17"/>
      <c r="K5" s="15"/>
      <c r="L5" s="12"/>
      <c r="M5" s="12"/>
      <c r="N5" s="12"/>
    </row>
    <row r="6" spans="2:14" ht="15.75">
      <c r="B6" s="15"/>
      <c r="C6" s="15"/>
      <c r="D6" s="15"/>
      <c r="I6" s="17" t="s">
        <v>927</v>
      </c>
      <c r="J6" s="17"/>
      <c r="K6" s="327"/>
      <c r="L6" s="12"/>
      <c r="M6" s="12"/>
      <c r="N6" s="12"/>
    </row>
    <row r="7" spans="2:14" ht="15.75">
      <c r="B7" s="15"/>
      <c r="C7" s="15"/>
      <c r="D7" s="15"/>
      <c r="I7" s="17" t="s">
        <v>928</v>
      </c>
      <c r="J7" s="17"/>
      <c r="K7" s="327"/>
      <c r="L7" s="12"/>
      <c r="M7" s="12"/>
      <c r="N7" s="12"/>
    </row>
    <row r="8" spans="2:14" ht="15.75" customHeight="1">
      <c r="B8" s="15"/>
      <c r="C8" s="15"/>
      <c r="D8" s="15"/>
      <c r="I8" s="768" t="s">
        <v>920</v>
      </c>
      <c r="J8" s="768"/>
      <c r="K8" s="768"/>
      <c r="L8" s="768"/>
      <c r="M8" s="768"/>
      <c r="N8" s="768"/>
    </row>
    <row r="9" spans="2:14" ht="15.75" customHeight="1">
      <c r="B9" s="15"/>
      <c r="C9" s="15"/>
      <c r="D9" s="15"/>
      <c r="I9" s="730" t="s">
        <v>941</v>
      </c>
      <c r="J9" s="730"/>
      <c r="K9" s="730"/>
      <c r="L9" s="730"/>
      <c r="M9" s="730"/>
      <c r="N9" s="730"/>
    </row>
    <row r="10" spans="2:9" ht="20.25" customHeight="1">
      <c r="B10" s="15"/>
      <c r="C10" s="15"/>
      <c r="D10" s="15"/>
      <c r="E10" s="15"/>
      <c r="F10" s="661"/>
      <c r="G10" s="15"/>
      <c r="H10" s="15"/>
      <c r="I10" s="12"/>
    </row>
    <row r="11" spans="2:9" ht="17.25" customHeight="1">
      <c r="B11" s="852" t="s">
        <v>778</v>
      </c>
      <c r="C11" s="852"/>
      <c r="D11" s="852"/>
      <c r="E11" s="852"/>
      <c r="F11" s="852"/>
      <c r="G11" s="852"/>
      <c r="H11" s="852"/>
      <c r="I11" s="852"/>
    </row>
    <row r="12" spans="2:9" ht="16.5" customHeight="1">
      <c r="B12" s="33"/>
      <c r="C12" s="33"/>
      <c r="D12" s="33"/>
      <c r="E12" s="33"/>
      <c r="F12" s="662"/>
      <c r="G12" s="33"/>
      <c r="H12" s="33"/>
      <c r="I12" s="407" t="s">
        <v>426</v>
      </c>
    </row>
    <row r="13" spans="1:9" ht="19.5" customHeight="1">
      <c r="A13" s="770" t="s">
        <v>32</v>
      </c>
      <c r="B13" s="770" t="s">
        <v>12</v>
      </c>
      <c r="C13" s="770" t="s">
        <v>13</v>
      </c>
      <c r="D13" s="770" t="s">
        <v>406</v>
      </c>
      <c r="E13" s="776" t="s">
        <v>9</v>
      </c>
      <c r="F13" s="776"/>
      <c r="G13" s="776"/>
      <c r="H13" s="776"/>
      <c r="I13" s="776" t="s">
        <v>15</v>
      </c>
    </row>
    <row r="14" spans="1:9" ht="15.75" customHeight="1">
      <c r="A14" s="771"/>
      <c r="B14" s="771"/>
      <c r="C14" s="771"/>
      <c r="D14" s="771"/>
      <c r="E14" s="736">
        <v>2021</v>
      </c>
      <c r="F14" s="663"/>
      <c r="G14" s="736">
        <v>2022</v>
      </c>
      <c r="H14" s="736">
        <v>2023</v>
      </c>
      <c r="I14" s="776"/>
    </row>
    <row r="15" spans="1:9" ht="29.25" customHeight="1">
      <c r="A15" s="772"/>
      <c r="B15" s="772"/>
      <c r="C15" s="772"/>
      <c r="D15" s="772"/>
      <c r="E15" s="738"/>
      <c r="F15" s="666"/>
      <c r="G15" s="738"/>
      <c r="H15" s="738"/>
      <c r="I15" s="776"/>
    </row>
    <row r="16" spans="1:9" ht="33.75" customHeight="1" hidden="1">
      <c r="A16" s="65">
        <v>1</v>
      </c>
      <c r="B16" s="60" t="s">
        <v>34</v>
      </c>
      <c r="C16" s="35" t="s">
        <v>16</v>
      </c>
      <c r="D16" s="73" t="e">
        <f>#REF!+E16+G16+H16</f>
        <v>#REF!</v>
      </c>
      <c r="E16" s="107"/>
      <c r="F16" s="660"/>
      <c r="G16" s="107"/>
      <c r="H16" s="107"/>
      <c r="I16" s="35" t="s">
        <v>35</v>
      </c>
    </row>
    <row r="17" spans="1:9" ht="54" customHeight="1">
      <c r="A17" s="544">
        <v>1</v>
      </c>
      <c r="B17" s="547" t="s">
        <v>183</v>
      </c>
      <c r="C17" s="220" t="s">
        <v>657</v>
      </c>
      <c r="D17" s="227">
        <f aca="true" t="shared" si="0" ref="D17:D27">E17+G17+H17</f>
        <v>2267.7</v>
      </c>
      <c r="E17" s="228">
        <f>525.3+152.1</f>
        <v>677.4</v>
      </c>
      <c r="F17" s="660" t="s">
        <v>864</v>
      </c>
      <c r="G17" s="228">
        <f>593+162.3</f>
        <v>755.3</v>
      </c>
      <c r="H17" s="228">
        <f>663+172</f>
        <v>835</v>
      </c>
      <c r="I17" s="544" t="s">
        <v>245</v>
      </c>
    </row>
    <row r="18" spans="1:9" ht="68.25" customHeight="1">
      <c r="A18" s="544">
        <v>2</v>
      </c>
      <c r="B18" s="547" t="s">
        <v>779</v>
      </c>
      <c r="C18" s="220" t="s">
        <v>657</v>
      </c>
      <c r="D18" s="227">
        <f t="shared" si="0"/>
        <v>387.6</v>
      </c>
      <c r="E18" s="228">
        <v>150</v>
      </c>
      <c r="F18" s="660" t="s">
        <v>862</v>
      </c>
      <c r="G18" s="228">
        <v>115.3</v>
      </c>
      <c r="H18" s="228">
        <v>122.3</v>
      </c>
      <c r="I18" s="544" t="s">
        <v>245</v>
      </c>
    </row>
    <row r="19" spans="1:9" ht="50.25" customHeight="1">
      <c r="A19" s="544">
        <v>3</v>
      </c>
      <c r="B19" s="547" t="s">
        <v>838</v>
      </c>
      <c r="C19" s="220" t="s">
        <v>657</v>
      </c>
      <c r="D19" s="227">
        <f t="shared" si="0"/>
        <v>238</v>
      </c>
      <c r="E19" s="228">
        <v>74.4</v>
      </c>
      <c r="F19" s="660" t="s">
        <v>863</v>
      </c>
      <c r="G19" s="228">
        <v>79.4</v>
      </c>
      <c r="H19" s="228">
        <v>84.2</v>
      </c>
      <c r="I19" s="544" t="s">
        <v>245</v>
      </c>
    </row>
    <row r="20" spans="1:87" ht="48" customHeight="1">
      <c r="A20" s="219">
        <v>4</v>
      </c>
      <c r="B20" s="547" t="s">
        <v>184</v>
      </c>
      <c r="C20" s="220" t="s">
        <v>657</v>
      </c>
      <c r="D20" s="227">
        <f t="shared" si="0"/>
        <v>10449.1</v>
      </c>
      <c r="E20" s="228">
        <f>234+223.7+330+35.1+86.5+400+347.2+58.4+850</f>
        <v>2564.9000000000005</v>
      </c>
      <c r="F20" s="660" t="s">
        <v>869</v>
      </c>
      <c r="G20" s="228">
        <f>693.6+124.8+62.4+1106.6+199.2+174.6+249.7+37.5+238.7+400+92.3+370.4+62.3</f>
        <v>3812.1</v>
      </c>
      <c r="H20" s="228">
        <f>735.2+132.3+66.2+1168.1+222.7+183.8+264.7+39.7+253+450+97.8+392.6+66</f>
        <v>4072.1</v>
      </c>
      <c r="I20" s="544" t="s">
        <v>245</v>
      </c>
      <c r="J20" s="14" t="s">
        <v>905</v>
      </c>
      <c r="L20" s="727"/>
      <c r="M20" s="727"/>
      <c r="N20" s="727"/>
      <c r="O20" s="727"/>
      <c r="P20" s="727"/>
      <c r="Q20" s="727"/>
      <c r="R20" s="727"/>
      <c r="S20" s="727"/>
      <c r="T20" s="727"/>
      <c r="U20" s="727"/>
      <c r="V20" s="727"/>
      <c r="W20" s="727"/>
      <c r="X20" s="727"/>
      <c r="Y20" s="727"/>
      <c r="Z20" s="727"/>
      <c r="AA20" s="727"/>
      <c r="AB20" s="727"/>
      <c r="AC20" s="727"/>
      <c r="AD20" s="727"/>
      <c r="AE20" s="727"/>
      <c r="AF20" s="727"/>
      <c r="AG20" s="727"/>
      <c r="AH20" s="727"/>
      <c r="AI20" s="727"/>
      <c r="AJ20" s="727"/>
      <c r="AK20" s="727"/>
      <c r="AL20" s="727"/>
      <c r="AM20" s="727"/>
      <c r="AN20" s="727"/>
      <c r="AO20" s="727"/>
      <c r="AP20" s="727"/>
      <c r="AQ20" s="727"/>
      <c r="AR20" s="727"/>
      <c r="AS20" s="727"/>
      <c r="AT20" s="727"/>
      <c r="AU20" s="727"/>
      <c r="AV20" s="727"/>
      <c r="AW20" s="727"/>
      <c r="AX20" s="727"/>
      <c r="AY20" s="727"/>
      <c r="AZ20" s="727"/>
      <c r="BA20" s="727"/>
      <c r="BB20" s="727"/>
      <c r="BC20" s="727"/>
      <c r="BD20" s="727"/>
      <c r="BE20" s="727"/>
      <c r="BF20" s="727"/>
      <c r="BG20" s="727"/>
      <c r="BH20" s="727"/>
      <c r="BI20" s="727"/>
      <c r="BJ20" s="727"/>
      <c r="BK20" s="727"/>
      <c r="BL20" s="727"/>
      <c r="BM20" s="727"/>
      <c r="BN20" s="727"/>
      <c r="BO20" s="727"/>
      <c r="BP20" s="727"/>
      <c r="BQ20" s="727"/>
      <c r="BR20" s="727"/>
      <c r="BS20" s="727"/>
      <c r="BT20" s="727"/>
      <c r="BU20" s="727"/>
      <c r="BV20" s="727"/>
      <c r="BW20" s="727"/>
      <c r="BX20" s="727"/>
      <c r="BY20" s="727"/>
      <c r="BZ20" s="727"/>
      <c r="CA20" s="727"/>
      <c r="CB20" s="727"/>
      <c r="CC20" s="727"/>
      <c r="CD20" s="727"/>
      <c r="CE20" s="727"/>
      <c r="CF20" s="727"/>
      <c r="CG20" s="727"/>
      <c r="CH20" s="727"/>
      <c r="CI20" s="727"/>
    </row>
    <row r="21" spans="1:9" ht="38.25" customHeight="1">
      <c r="A21" s="219">
        <v>5</v>
      </c>
      <c r="B21" s="547" t="s">
        <v>63</v>
      </c>
      <c r="C21" s="220" t="s">
        <v>657</v>
      </c>
      <c r="D21" s="227">
        <f t="shared" si="0"/>
        <v>6646.4</v>
      </c>
      <c r="E21" s="228">
        <f>280+134.6+189.2+138.3+174.3+58.9+1000+30+30+60+35+10</f>
        <v>2140.2999999999997</v>
      </c>
      <c r="F21" s="660" t="s">
        <v>860</v>
      </c>
      <c r="G21" s="228">
        <f>298.8+143.6+201.9+147.5+186+62.9+32+32+64+37+10.7+1000</f>
        <v>2216.4</v>
      </c>
      <c r="H21" s="228">
        <f>316.7+152.2+214+156.4+197.2+66.6+33.9+33.9+67.9+39.6+11.3+1000</f>
        <v>2289.7</v>
      </c>
      <c r="I21" s="544" t="s">
        <v>245</v>
      </c>
    </row>
    <row r="22" spans="1:9" ht="43.5" customHeight="1">
      <c r="A22" s="219">
        <v>6</v>
      </c>
      <c r="B22" s="547" t="s">
        <v>64</v>
      </c>
      <c r="C22" s="220" t="s">
        <v>657</v>
      </c>
      <c r="D22" s="227">
        <f t="shared" si="0"/>
        <v>1650</v>
      </c>
      <c r="E22" s="228">
        <v>500</v>
      </c>
      <c r="F22" s="660" t="s">
        <v>865</v>
      </c>
      <c r="G22" s="228">
        <v>550</v>
      </c>
      <c r="H22" s="228">
        <v>600</v>
      </c>
      <c r="I22" s="544" t="s">
        <v>245</v>
      </c>
    </row>
    <row r="23" spans="1:9" ht="47.25" customHeight="1">
      <c r="A23" s="219">
        <v>7</v>
      </c>
      <c r="B23" s="611" t="s">
        <v>836</v>
      </c>
      <c r="C23" s="220" t="s">
        <v>657</v>
      </c>
      <c r="D23" s="227">
        <f t="shared" si="0"/>
        <v>7262.9</v>
      </c>
      <c r="E23" s="228">
        <v>2271.1</v>
      </c>
      <c r="F23" s="660" t="s">
        <v>861</v>
      </c>
      <c r="G23" s="228">
        <v>2423.2</v>
      </c>
      <c r="H23" s="228">
        <v>2568.6</v>
      </c>
      <c r="I23" s="544" t="s">
        <v>245</v>
      </c>
    </row>
    <row r="24" spans="1:9" ht="44.25" customHeight="1">
      <c r="A24" s="35">
        <v>8</v>
      </c>
      <c r="B24" s="164" t="s">
        <v>867</v>
      </c>
      <c r="C24" s="220" t="s">
        <v>657</v>
      </c>
      <c r="D24" s="227">
        <f t="shared" si="0"/>
        <v>1050</v>
      </c>
      <c r="E24" s="228">
        <v>350</v>
      </c>
      <c r="F24" s="228">
        <v>350</v>
      </c>
      <c r="G24" s="228">
        <v>350</v>
      </c>
      <c r="H24" s="228">
        <v>350</v>
      </c>
      <c r="I24" s="544" t="s">
        <v>245</v>
      </c>
    </row>
    <row r="25" spans="1:9" ht="44.25" customHeight="1">
      <c r="A25" s="219">
        <v>9</v>
      </c>
      <c r="B25" s="164" t="s">
        <v>837</v>
      </c>
      <c r="C25" s="220" t="s">
        <v>657</v>
      </c>
      <c r="D25" s="227">
        <f t="shared" si="0"/>
        <v>143.9</v>
      </c>
      <c r="E25" s="228">
        <v>45</v>
      </c>
      <c r="F25" s="660" t="s">
        <v>858</v>
      </c>
      <c r="G25" s="228">
        <v>48</v>
      </c>
      <c r="H25" s="228">
        <v>50.9</v>
      </c>
      <c r="I25" s="608" t="s">
        <v>245</v>
      </c>
    </row>
    <row r="26" spans="1:9" ht="44.25" customHeight="1">
      <c r="A26" s="219">
        <v>10</v>
      </c>
      <c r="B26" s="164" t="s">
        <v>117</v>
      </c>
      <c r="C26" s="220" t="s">
        <v>657</v>
      </c>
      <c r="D26" s="227">
        <f t="shared" si="0"/>
        <v>1516.1</v>
      </c>
      <c r="E26" s="228">
        <v>447.1</v>
      </c>
      <c r="F26" s="660" t="s">
        <v>859</v>
      </c>
      <c r="G26" s="228">
        <v>504.7</v>
      </c>
      <c r="H26" s="228">
        <v>564.3</v>
      </c>
      <c r="I26" s="608" t="s">
        <v>245</v>
      </c>
    </row>
    <row r="27" spans="1:10" ht="44.25" customHeight="1">
      <c r="A27" s="219">
        <v>11</v>
      </c>
      <c r="B27" s="164" t="s">
        <v>903</v>
      </c>
      <c r="C27" s="220" t="s">
        <v>657</v>
      </c>
      <c r="D27" s="227">
        <f t="shared" si="0"/>
        <v>341.7</v>
      </c>
      <c r="E27" s="228">
        <f>165.2+176.5</f>
        <v>341.7</v>
      </c>
      <c r="F27" s="660" t="s">
        <v>870</v>
      </c>
      <c r="G27" s="228"/>
      <c r="H27" s="228"/>
      <c r="I27" s="608" t="s">
        <v>245</v>
      </c>
      <c r="J27" s="14" t="s">
        <v>868</v>
      </c>
    </row>
    <row r="28" spans="1:9" ht="44.25" customHeight="1">
      <c r="A28" s="219">
        <v>12</v>
      </c>
      <c r="B28" s="164" t="s">
        <v>644</v>
      </c>
      <c r="C28" s="668" t="s">
        <v>657</v>
      </c>
      <c r="D28" s="227">
        <f>E28+G28+H28</f>
        <v>800</v>
      </c>
      <c r="E28" s="228">
        <v>800</v>
      </c>
      <c r="F28" s="660"/>
      <c r="G28" s="228"/>
      <c r="H28" s="228"/>
      <c r="I28" s="699" t="s">
        <v>245</v>
      </c>
    </row>
    <row r="29" spans="1:9" ht="18.75">
      <c r="A29" s="76"/>
      <c r="B29" s="77" t="s">
        <v>5</v>
      </c>
      <c r="C29" s="77"/>
      <c r="D29" s="101">
        <f>E29+G29+H29</f>
        <v>32753.4</v>
      </c>
      <c r="E29" s="101">
        <f>E17+E18+E19+E20+E21+E22+E23+E24+E25+E26+E27+E28</f>
        <v>10361.900000000001</v>
      </c>
      <c r="F29" s="101" t="e">
        <f>F17+F18+F19+F20+F21+F22+F23+F24+F25+F26+F27+F28</f>
        <v>#VALUE!</v>
      </c>
      <c r="G29" s="101">
        <f>G17+G18+G19+G20+G21+G22+G23+G24+G25+G26+G27+G28</f>
        <v>10854.400000000001</v>
      </c>
      <c r="H29" s="101">
        <f>H17+H18+H19+H20+H21+H22+H23+H24+H25+H26+H27+H28</f>
        <v>11537.099999999999</v>
      </c>
      <c r="I29" s="71"/>
    </row>
    <row r="30" spans="2:9" ht="7.5" customHeight="1">
      <c r="B30" s="230"/>
      <c r="C30" s="15"/>
      <c r="D30" s="15"/>
      <c r="E30" s="15"/>
      <c r="F30" s="661"/>
      <c r="G30" s="15"/>
      <c r="H30" s="15"/>
      <c r="I30" s="15"/>
    </row>
    <row r="31" spans="2:10" ht="22.5" customHeight="1">
      <c r="B31" s="851" t="s">
        <v>18</v>
      </c>
      <c r="C31" s="851"/>
      <c r="D31" s="352"/>
      <c r="E31" s="22"/>
      <c r="F31" s="664"/>
      <c r="G31" s="22"/>
      <c r="H31" s="16"/>
      <c r="I31" s="223" t="s">
        <v>30</v>
      </c>
      <c r="J31" s="24"/>
    </row>
    <row r="32" spans="2:10" ht="12.75" customHeight="1">
      <c r="B32" s="352"/>
      <c r="C32" s="352"/>
      <c r="D32" s="352"/>
      <c r="E32" s="22"/>
      <c r="F32" s="664"/>
      <c r="G32" s="22"/>
      <c r="H32" s="16"/>
      <c r="I32" s="223"/>
      <c r="J32" s="24"/>
    </row>
    <row r="33" spans="2:10" ht="18.75">
      <c r="B33" s="777" t="s">
        <v>558</v>
      </c>
      <c r="C33" s="777"/>
      <c r="D33" s="25"/>
      <c r="E33" s="26"/>
      <c r="F33" s="665"/>
      <c r="G33" s="26"/>
      <c r="H33" s="26"/>
      <c r="I33" s="26"/>
      <c r="J33" s="15"/>
    </row>
    <row r="34" spans="2:10" ht="15.75">
      <c r="B34" s="27"/>
      <c r="C34" s="27"/>
      <c r="D34" s="26"/>
      <c r="E34" s="26"/>
      <c r="F34" s="665"/>
      <c r="G34" s="26"/>
      <c r="H34" s="26"/>
      <c r="I34" s="26"/>
      <c r="J34" s="15"/>
    </row>
    <row r="35" spans="2:9" ht="15.75">
      <c r="B35" s="15"/>
      <c r="C35" s="15"/>
      <c r="D35" s="15"/>
      <c r="E35" s="15"/>
      <c r="F35" s="661"/>
      <c r="G35" s="15"/>
      <c r="H35" s="15"/>
      <c r="I35" s="15"/>
    </row>
    <row r="36" spans="2:9" ht="15.75">
      <c r="B36" s="15"/>
      <c r="C36" s="15"/>
      <c r="D36" s="15"/>
      <c r="E36" s="15"/>
      <c r="F36" s="661"/>
      <c r="G36" s="15"/>
      <c r="H36" s="15"/>
      <c r="I36" s="15"/>
    </row>
    <row r="37" spans="2:9" ht="15.75">
      <c r="B37" s="15"/>
      <c r="C37" s="15"/>
      <c r="D37" s="15"/>
      <c r="E37" s="15"/>
      <c r="F37" s="661"/>
      <c r="G37" s="15"/>
      <c r="H37" s="15"/>
      <c r="I37" s="15"/>
    </row>
    <row r="38" spans="2:9" ht="15.75">
      <c r="B38" s="15"/>
      <c r="C38" s="15"/>
      <c r="D38" s="15"/>
      <c r="E38" s="15"/>
      <c r="F38" s="661"/>
      <c r="G38" s="15"/>
      <c r="H38" s="15"/>
      <c r="I38" s="15"/>
    </row>
    <row r="39" spans="2:9" ht="15.75">
      <c r="B39" s="15"/>
      <c r="C39" s="15"/>
      <c r="D39" s="15"/>
      <c r="E39" s="15"/>
      <c r="F39" s="661"/>
      <c r="G39" s="15"/>
      <c r="H39" s="15"/>
      <c r="I39" s="15"/>
    </row>
    <row r="40" spans="2:9" ht="15.75">
      <c r="B40" s="15"/>
      <c r="C40" s="15"/>
      <c r="D40" s="15"/>
      <c r="E40" s="15"/>
      <c r="F40" s="661"/>
      <c r="G40" s="15"/>
      <c r="H40" s="15"/>
      <c r="I40" s="15"/>
    </row>
    <row r="41" spans="2:9" ht="15.75">
      <c r="B41" s="15"/>
      <c r="C41" s="15"/>
      <c r="D41" s="15"/>
      <c r="E41" s="15"/>
      <c r="F41" s="661"/>
      <c r="G41" s="15"/>
      <c r="H41" s="15"/>
      <c r="I41" s="15"/>
    </row>
    <row r="42" spans="2:9" ht="15.75">
      <c r="B42" s="15"/>
      <c r="C42" s="15"/>
      <c r="D42" s="15"/>
      <c r="E42" s="15"/>
      <c r="F42" s="661"/>
      <c r="G42" s="15"/>
      <c r="H42" s="15"/>
      <c r="I42" s="15"/>
    </row>
    <row r="43" spans="2:9" ht="15.75">
      <c r="B43" s="15"/>
      <c r="C43" s="15"/>
      <c r="D43" s="15"/>
      <c r="E43" s="15"/>
      <c r="F43" s="661"/>
      <c r="G43" s="15"/>
      <c r="H43" s="15"/>
      <c r="I43" s="15"/>
    </row>
    <row r="44" spans="2:9" ht="15.75">
      <c r="B44" s="15"/>
      <c r="C44" s="15"/>
      <c r="D44" s="15"/>
      <c r="E44" s="15"/>
      <c r="F44" s="661"/>
      <c r="G44" s="15"/>
      <c r="H44" s="15"/>
      <c r="I44" s="15"/>
    </row>
    <row r="45" spans="2:9" ht="15.75">
      <c r="B45" s="15"/>
      <c r="C45" s="15"/>
      <c r="D45" s="15"/>
      <c r="E45" s="15"/>
      <c r="F45" s="661"/>
      <c r="G45" s="15"/>
      <c r="H45" s="15"/>
      <c r="I45" s="15"/>
    </row>
    <row r="46" spans="2:9" ht="15.75">
      <c r="B46" s="15"/>
      <c r="C46" s="15"/>
      <c r="D46" s="15"/>
      <c r="E46" s="15"/>
      <c r="F46" s="661"/>
      <c r="G46" s="15"/>
      <c r="H46" s="15"/>
      <c r="I46" s="15"/>
    </row>
    <row r="47" spans="2:9" ht="15.75">
      <c r="B47" s="15"/>
      <c r="C47" s="15"/>
      <c r="D47" s="15"/>
      <c r="E47" s="15"/>
      <c r="F47" s="661"/>
      <c r="G47" s="15"/>
      <c r="H47" s="15"/>
      <c r="I47" s="15"/>
    </row>
    <row r="48" spans="2:9" ht="15.75">
      <c r="B48" s="15"/>
      <c r="C48" s="15"/>
      <c r="D48" s="15"/>
      <c r="E48" s="15"/>
      <c r="F48" s="661"/>
      <c r="G48" s="15"/>
      <c r="H48" s="15"/>
      <c r="I48" s="15"/>
    </row>
    <row r="49" spans="2:9" ht="15.75">
      <c r="B49" s="15"/>
      <c r="C49" s="15"/>
      <c r="D49" s="15"/>
      <c r="E49" s="15"/>
      <c r="F49" s="661"/>
      <c r="G49" s="15"/>
      <c r="H49" s="15"/>
      <c r="I49" s="15"/>
    </row>
    <row r="50" spans="2:9" ht="15.75">
      <c r="B50" s="15"/>
      <c r="C50" s="15"/>
      <c r="D50" s="15"/>
      <c r="E50" s="15"/>
      <c r="F50" s="661"/>
      <c r="G50" s="15"/>
      <c r="H50" s="15"/>
      <c r="I50" s="15"/>
    </row>
    <row r="51" spans="2:9" ht="15.75">
      <c r="B51" s="15"/>
      <c r="C51" s="15"/>
      <c r="D51" s="15"/>
      <c r="E51" s="15"/>
      <c r="F51" s="661"/>
      <c r="G51" s="15"/>
      <c r="H51" s="15"/>
      <c r="I51" s="15"/>
    </row>
    <row r="52" spans="2:9" ht="15.75">
      <c r="B52" s="15"/>
      <c r="C52" s="15"/>
      <c r="D52" s="15"/>
      <c r="E52" s="15"/>
      <c r="F52" s="661"/>
      <c r="G52" s="15"/>
      <c r="H52" s="15"/>
      <c r="I52" s="15"/>
    </row>
    <row r="53" spans="2:9" ht="15.75">
      <c r="B53" s="15"/>
      <c r="C53" s="15"/>
      <c r="D53" s="15"/>
      <c r="E53" s="15"/>
      <c r="F53" s="661"/>
      <c r="G53" s="15"/>
      <c r="H53" s="15"/>
      <c r="I53" s="15"/>
    </row>
    <row r="54" spans="2:9" ht="15.75">
      <c r="B54" s="15"/>
      <c r="C54" s="15"/>
      <c r="D54" s="15"/>
      <c r="E54" s="15"/>
      <c r="F54" s="661"/>
      <c r="G54" s="15"/>
      <c r="H54" s="15"/>
      <c r="I54" s="15"/>
    </row>
    <row r="55" spans="2:9" ht="15.75">
      <c r="B55" s="15"/>
      <c r="C55" s="15"/>
      <c r="D55" s="15"/>
      <c r="E55" s="15"/>
      <c r="F55" s="661"/>
      <c r="G55" s="15"/>
      <c r="H55" s="15"/>
      <c r="I55" s="15"/>
    </row>
    <row r="56" spans="2:9" ht="15.75">
      <c r="B56" s="15"/>
      <c r="C56" s="15"/>
      <c r="D56" s="15"/>
      <c r="E56" s="15"/>
      <c r="F56" s="661"/>
      <c r="G56" s="15"/>
      <c r="H56" s="15"/>
      <c r="I56" s="15"/>
    </row>
    <row r="57" spans="2:9" ht="15.75">
      <c r="B57" s="15"/>
      <c r="C57" s="15"/>
      <c r="D57" s="15"/>
      <c r="E57" s="15"/>
      <c r="F57" s="661"/>
      <c r="G57" s="15"/>
      <c r="H57" s="15"/>
      <c r="I57" s="15"/>
    </row>
    <row r="58" spans="2:9" ht="15.75">
      <c r="B58" s="15"/>
      <c r="C58" s="15"/>
      <c r="D58" s="15"/>
      <c r="E58" s="15"/>
      <c r="F58" s="661"/>
      <c r="G58" s="15"/>
      <c r="H58" s="15"/>
      <c r="I58" s="15"/>
    </row>
    <row r="59" spans="2:9" ht="15.75">
      <c r="B59" s="15"/>
      <c r="C59" s="15"/>
      <c r="D59" s="15"/>
      <c r="E59" s="15"/>
      <c r="F59" s="661"/>
      <c r="G59" s="15"/>
      <c r="H59" s="15"/>
      <c r="I59" s="15"/>
    </row>
    <row r="60" spans="2:9" ht="15.75">
      <c r="B60" s="15"/>
      <c r="C60" s="15"/>
      <c r="D60" s="15"/>
      <c r="E60" s="15"/>
      <c r="F60" s="661"/>
      <c r="G60" s="15"/>
      <c r="H60" s="15"/>
      <c r="I60" s="15"/>
    </row>
    <row r="61" spans="2:9" ht="15.75">
      <c r="B61" s="15"/>
      <c r="C61" s="15"/>
      <c r="D61" s="15"/>
      <c r="E61" s="15"/>
      <c r="F61" s="661"/>
      <c r="G61" s="15"/>
      <c r="H61" s="15"/>
      <c r="I61" s="15"/>
    </row>
    <row r="62" spans="2:9" ht="15.75">
      <c r="B62" s="15"/>
      <c r="C62" s="15"/>
      <c r="D62" s="15"/>
      <c r="E62" s="15"/>
      <c r="F62" s="661"/>
      <c r="G62" s="15"/>
      <c r="H62" s="15"/>
      <c r="I62" s="15"/>
    </row>
    <row r="63" spans="2:9" ht="15.75">
      <c r="B63" s="15"/>
      <c r="C63" s="15"/>
      <c r="D63" s="15"/>
      <c r="E63" s="15"/>
      <c r="F63" s="661"/>
      <c r="G63" s="15"/>
      <c r="H63" s="15"/>
      <c r="I63" s="15"/>
    </row>
    <row r="64" spans="2:9" ht="15.75">
      <c r="B64" s="15"/>
      <c r="C64" s="15"/>
      <c r="D64" s="15"/>
      <c r="E64" s="15"/>
      <c r="F64" s="661"/>
      <c r="G64" s="15"/>
      <c r="H64" s="15"/>
      <c r="I64" s="15"/>
    </row>
    <row r="65" spans="2:9" ht="15.75">
      <c r="B65" s="15"/>
      <c r="C65" s="15"/>
      <c r="D65" s="15"/>
      <c r="E65" s="15"/>
      <c r="F65" s="661"/>
      <c r="G65" s="15"/>
      <c r="H65" s="15"/>
      <c r="I65" s="15"/>
    </row>
    <row r="66" spans="2:9" ht="15.75">
      <c r="B66" s="15"/>
      <c r="C66" s="15"/>
      <c r="D66" s="15"/>
      <c r="E66" s="15"/>
      <c r="F66" s="661"/>
      <c r="G66" s="15"/>
      <c r="H66" s="15"/>
      <c r="I66" s="15"/>
    </row>
    <row r="67" spans="2:9" ht="15.75">
      <c r="B67" s="15"/>
      <c r="C67" s="15"/>
      <c r="D67" s="15"/>
      <c r="E67" s="15"/>
      <c r="F67" s="661"/>
      <c r="G67" s="15"/>
      <c r="H67" s="15"/>
      <c r="I67" s="15"/>
    </row>
    <row r="68" spans="2:9" ht="15.75">
      <c r="B68" s="15"/>
      <c r="C68" s="15"/>
      <c r="D68" s="15"/>
      <c r="E68" s="15"/>
      <c r="F68" s="661"/>
      <c r="G68" s="15"/>
      <c r="H68" s="15"/>
      <c r="I68" s="15"/>
    </row>
    <row r="69" spans="2:9" ht="15.75">
      <c r="B69" s="15"/>
      <c r="C69" s="15"/>
      <c r="D69" s="15"/>
      <c r="E69" s="15"/>
      <c r="F69" s="661"/>
      <c r="G69" s="15"/>
      <c r="H69" s="15"/>
      <c r="I69" s="15"/>
    </row>
    <row r="70" spans="2:9" ht="15.75">
      <c r="B70" s="15"/>
      <c r="C70" s="15"/>
      <c r="D70" s="15"/>
      <c r="E70" s="15"/>
      <c r="F70" s="661"/>
      <c r="G70" s="15"/>
      <c r="H70" s="15"/>
      <c r="I70" s="15"/>
    </row>
    <row r="71" spans="2:9" ht="15.75">
      <c r="B71" s="15"/>
      <c r="C71" s="15"/>
      <c r="D71" s="15"/>
      <c r="E71" s="15"/>
      <c r="F71" s="661"/>
      <c r="G71" s="15"/>
      <c r="H71" s="15"/>
      <c r="I71" s="15"/>
    </row>
    <row r="72" spans="2:9" ht="15.75">
      <c r="B72" s="15"/>
      <c r="C72" s="15"/>
      <c r="D72" s="15"/>
      <c r="E72" s="15"/>
      <c r="F72" s="661"/>
      <c r="G72" s="15"/>
      <c r="H72" s="15"/>
      <c r="I72" s="15"/>
    </row>
    <row r="73" spans="2:9" ht="15.75">
      <c r="B73" s="15"/>
      <c r="C73" s="15"/>
      <c r="D73" s="15"/>
      <c r="E73" s="15"/>
      <c r="F73" s="661"/>
      <c r="G73" s="15"/>
      <c r="H73" s="15"/>
      <c r="I73" s="15"/>
    </row>
    <row r="74" spans="2:9" ht="15.75">
      <c r="B74" s="15"/>
      <c r="C74" s="15"/>
      <c r="D74" s="15"/>
      <c r="E74" s="15"/>
      <c r="F74" s="661"/>
      <c r="G74" s="15"/>
      <c r="H74" s="15"/>
      <c r="I74" s="15"/>
    </row>
    <row r="75" spans="2:9" ht="15.75">
      <c r="B75" s="15"/>
      <c r="C75" s="15"/>
      <c r="D75" s="15"/>
      <c r="E75" s="15"/>
      <c r="F75" s="661"/>
      <c r="G75" s="15"/>
      <c r="H75" s="15"/>
      <c r="I75" s="15"/>
    </row>
    <row r="76" spans="2:9" ht="15.75">
      <c r="B76" s="15"/>
      <c r="C76" s="15"/>
      <c r="D76" s="15"/>
      <c r="E76" s="15"/>
      <c r="F76" s="661"/>
      <c r="G76" s="15"/>
      <c r="H76" s="15"/>
      <c r="I76" s="15"/>
    </row>
    <row r="77" spans="2:9" ht="15.75">
      <c r="B77" s="15"/>
      <c r="C77" s="15"/>
      <c r="D77" s="15"/>
      <c r="E77" s="15"/>
      <c r="F77" s="661"/>
      <c r="G77" s="15"/>
      <c r="H77" s="15"/>
      <c r="I77" s="15"/>
    </row>
    <row r="78" spans="2:9" ht="15.75">
      <c r="B78" s="15"/>
      <c r="C78" s="15"/>
      <c r="D78" s="15"/>
      <c r="E78" s="15"/>
      <c r="F78" s="661"/>
      <c r="G78" s="15"/>
      <c r="H78" s="15"/>
      <c r="I78" s="15"/>
    </row>
    <row r="79" spans="2:9" ht="15.75">
      <c r="B79" s="15"/>
      <c r="C79" s="15"/>
      <c r="D79" s="15"/>
      <c r="E79" s="15"/>
      <c r="F79" s="661"/>
      <c r="G79" s="15"/>
      <c r="H79" s="15"/>
      <c r="I79" s="15"/>
    </row>
    <row r="80" spans="2:9" ht="15.75">
      <c r="B80" s="15"/>
      <c r="C80" s="15"/>
      <c r="D80" s="15"/>
      <c r="E80" s="15"/>
      <c r="F80" s="661"/>
      <c r="G80" s="15"/>
      <c r="H80" s="15"/>
      <c r="I80" s="15"/>
    </row>
    <row r="81" spans="2:9" ht="15.75">
      <c r="B81" s="15"/>
      <c r="C81" s="15"/>
      <c r="D81" s="15"/>
      <c r="E81" s="15"/>
      <c r="F81" s="661"/>
      <c r="G81" s="15"/>
      <c r="H81" s="15"/>
      <c r="I81" s="15"/>
    </row>
    <row r="82" spans="2:9" ht="15.75">
      <c r="B82" s="15"/>
      <c r="C82" s="15"/>
      <c r="D82" s="15"/>
      <c r="E82" s="15"/>
      <c r="F82" s="661"/>
      <c r="G82" s="15"/>
      <c r="H82" s="15"/>
      <c r="I82" s="15"/>
    </row>
    <row r="83" spans="2:9" ht="15.75">
      <c r="B83" s="15"/>
      <c r="C83" s="15"/>
      <c r="D83" s="15"/>
      <c r="E83" s="15"/>
      <c r="F83" s="661"/>
      <c r="G83" s="15"/>
      <c r="H83" s="15"/>
      <c r="I83" s="15"/>
    </row>
    <row r="84" spans="2:9" ht="15.75">
      <c r="B84" s="15"/>
      <c r="C84" s="15"/>
      <c r="D84" s="15"/>
      <c r="E84" s="15"/>
      <c r="F84" s="661"/>
      <c r="G84" s="15"/>
      <c r="H84" s="15"/>
      <c r="I84" s="15"/>
    </row>
    <row r="85" spans="2:9" ht="15.75">
      <c r="B85" s="15"/>
      <c r="C85" s="15"/>
      <c r="D85" s="15"/>
      <c r="E85" s="15"/>
      <c r="F85" s="661"/>
      <c r="G85" s="15"/>
      <c r="H85" s="15"/>
      <c r="I85" s="15"/>
    </row>
    <row r="86" spans="2:9" ht="15.75">
      <c r="B86" s="15"/>
      <c r="C86" s="15"/>
      <c r="D86" s="15"/>
      <c r="E86" s="15"/>
      <c r="F86" s="661"/>
      <c r="G86" s="15"/>
      <c r="H86" s="15"/>
      <c r="I86" s="15"/>
    </row>
    <row r="87" spans="2:9" ht="15.75">
      <c r="B87" s="15"/>
      <c r="C87" s="15"/>
      <c r="D87" s="15"/>
      <c r="E87" s="15"/>
      <c r="F87" s="661"/>
      <c r="G87" s="15"/>
      <c r="H87" s="15"/>
      <c r="I87" s="15"/>
    </row>
    <row r="88" spans="2:9" ht="15.75">
      <c r="B88" s="15"/>
      <c r="C88" s="15"/>
      <c r="D88" s="15"/>
      <c r="E88" s="15"/>
      <c r="F88" s="661"/>
      <c r="G88" s="15"/>
      <c r="H88" s="15"/>
      <c r="I88" s="15"/>
    </row>
    <row r="89" spans="2:9" ht="15.75">
      <c r="B89" s="15"/>
      <c r="C89" s="15"/>
      <c r="D89" s="15"/>
      <c r="E89" s="15"/>
      <c r="F89" s="661"/>
      <c r="G89" s="15"/>
      <c r="H89" s="15"/>
      <c r="I89" s="15"/>
    </row>
    <row r="90" spans="2:9" ht="15.75">
      <c r="B90" s="15"/>
      <c r="C90" s="15"/>
      <c r="D90" s="15"/>
      <c r="E90" s="15"/>
      <c r="F90" s="661"/>
      <c r="G90" s="15"/>
      <c r="H90" s="15"/>
      <c r="I90" s="15"/>
    </row>
    <row r="91" spans="2:9" ht="15.75">
      <c r="B91" s="15"/>
      <c r="C91" s="15"/>
      <c r="D91" s="15"/>
      <c r="E91" s="15"/>
      <c r="F91" s="661"/>
      <c r="G91" s="15"/>
      <c r="H91" s="15"/>
      <c r="I91" s="15"/>
    </row>
    <row r="92" spans="2:9" ht="15.75">
      <c r="B92" s="15"/>
      <c r="C92" s="15"/>
      <c r="D92" s="15"/>
      <c r="E92" s="15"/>
      <c r="F92" s="661"/>
      <c r="G92" s="15"/>
      <c r="H92" s="15"/>
      <c r="I92" s="15"/>
    </row>
    <row r="93" spans="2:9" ht="15.75">
      <c r="B93" s="15"/>
      <c r="C93" s="15"/>
      <c r="D93" s="15"/>
      <c r="E93" s="15"/>
      <c r="F93" s="661"/>
      <c r="G93" s="15"/>
      <c r="H93" s="15"/>
      <c r="I93" s="15"/>
    </row>
    <row r="94" spans="2:9" ht="15.75">
      <c r="B94" s="15"/>
      <c r="C94" s="15"/>
      <c r="D94" s="15"/>
      <c r="E94" s="15"/>
      <c r="F94" s="661"/>
      <c r="G94" s="15"/>
      <c r="H94" s="15"/>
      <c r="I94" s="15"/>
    </row>
    <row r="95" spans="2:9" ht="15.75">
      <c r="B95" s="15"/>
      <c r="C95" s="15"/>
      <c r="D95" s="15"/>
      <c r="E95" s="15"/>
      <c r="F95" s="661"/>
      <c r="G95" s="15"/>
      <c r="H95" s="15"/>
      <c r="I95" s="15"/>
    </row>
    <row r="96" spans="2:9" ht="15.75">
      <c r="B96" s="15"/>
      <c r="C96" s="15"/>
      <c r="D96" s="15"/>
      <c r="E96" s="15"/>
      <c r="F96" s="661"/>
      <c r="G96" s="15"/>
      <c r="H96" s="15"/>
      <c r="I96" s="15"/>
    </row>
    <row r="97" spans="2:9" ht="15.75">
      <c r="B97" s="15"/>
      <c r="C97" s="15"/>
      <c r="D97" s="15"/>
      <c r="E97" s="15"/>
      <c r="F97" s="661"/>
      <c r="G97" s="15"/>
      <c r="H97" s="15"/>
      <c r="I97" s="15"/>
    </row>
    <row r="98" spans="2:9" ht="15.75">
      <c r="B98" s="15"/>
      <c r="C98" s="15"/>
      <c r="D98" s="15"/>
      <c r="E98" s="15"/>
      <c r="F98" s="661"/>
      <c r="G98" s="15"/>
      <c r="H98" s="15"/>
      <c r="I98" s="15"/>
    </row>
    <row r="99" spans="2:9" ht="15.75">
      <c r="B99" s="15"/>
      <c r="C99" s="15"/>
      <c r="D99" s="15"/>
      <c r="E99" s="15"/>
      <c r="F99" s="661"/>
      <c r="G99" s="15"/>
      <c r="H99" s="15"/>
      <c r="I99" s="15"/>
    </row>
    <row r="100" spans="2:9" ht="15.75">
      <c r="B100" s="15"/>
      <c r="C100" s="15"/>
      <c r="D100" s="15"/>
      <c r="E100" s="15"/>
      <c r="F100" s="661"/>
      <c r="G100" s="15"/>
      <c r="H100" s="15"/>
      <c r="I100" s="15"/>
    </row>
    <row r="101" spans="2:9" ht="15.75">
      <c r="B101" s="15"/>
      <c r="C101" s="15"/>
      <c r="D101" s="15"/>
      <c r="E101" s="15"/>
      <c r="F101" s="661"/>
      <c r="G101" s="15"/>
      <c r="H101" s="15"/>
      <c r="I101" s="15"/>
    </row>
    <row r="102" spans="2:9" ht="15.75">
      <c r="B102" s="15"/>
      <c r="C102" s="15"/>
      <c r="D102" s="15"/>
      <c r="E102" s="15"/>
      <c r="F102" s="661"/>
      <c r="G102" s="15"/>
      <c r="H102" s="15"/>
      <c r="I102" s="15"/>
    </row>
    <row r="103" spans="2:9" ht="15.75">
      <c r="B103" s="15"/>
      <c r="C103" s="15"/>
      <c r="D103" s="15"/>
      <c r="E103" s="15"/>
      <c r="F103" s="661"/>
      <c r="G103" s="15"/>
      <c r="H103" s="15"/>
      <c r="I103" s="15"/>
    </row>
    <row r="104" spans="2:9" ht="15.75">
      <c r="B104" s="15"/>
      <c r="C104" s="15"/>
      <c r="D104" s="15"/>
      <c r="E104" s="15"/>
      <c r="F104" s="661"/>
      <c r="G104" s="15"/>
      <c r="H104" s="15"/>
      <c r="I104" s="15"/>
    </row>
    <row r="105" spans="2:9" ht="15.75">
      <c r="B105" s="15"/>
      <c r="C105" s="15"/>
      <c r="D105" s="15"/>
      <c r="E105" s="15"/>
      <c r="F105" s="661"/>
      <c r="G105" s="15"/>
      <c r="H105" s="15"/>
      <c r="I105" s="15"/>
    </row>
    <row r="106" spans="2:9" ht="15.75">
      <c r="B106" s="15"/>
      <c r="C106" s="15"/>
      <c r="D106" s="15"/>
      <c r="E106" s="15"/>
      <c r="F106" s="661"/>
      <c r="G106" s="15"/>
      <c r="H106" s="15"/>
      <c r="I106" s="15"/>
    </row>
    <row r="107" spans="2:9" ht="15.75">
      <c r="B107" s="15"/>
      <c r="C107" s="15"/>
      <c r="D107" s="15"/>
      <c r="E107" s="15"/>
      <c r="F107" s="661"/>
      <c r="G107" s="15"/>
      <c r="H107" s="15"/>
      <c r="I107" s="15"/>
    </row>
    <row r="108" spans="2:9" ht="15.75">
      <c r="B108" s="15"/>
      <c r="C108" s="15"/>
      <c r="D108" s="15"/>
      <c r="E108" s="15"/>
      <c r="F108" s="661"/>
      <c r="G108" s="15"/>
      <c r="H108" s="15"/>
      <c r="I108" s="15"/>
    </row>
    <row r="109" spans="2:9" ht="15.75">
      <c r="B109" s="15"/>
      <c r="C109" s="15"/>
      <c r="D109" s="15"/>
      <c r="E109" s="15"/>
      <c r="F109" s="661"/>
      <c r="G109" s="15"/>
      <c r="H109" s="15"/>
      <c r="I109" s="15"/>
    </row>
    <row r="110" spans="2:9" ht="15.75">
      <c r="B110" s="15"/>
      <c r="C110" s="15"/>
      <c r="D110" s="15"/>
      <c r="E110" s="15"/>
      <c r="F110" s="661"/>
      <c r="G110" s="15"/>
      <c r="H110" s="15"/>
      <c r="I110" s="15"/>
    </row>
    <row r="111" spans="2:9" ht="15.75">
      <c r="B111" s="15"/>
      <c r="C111" s="15"/>
      <c r="D111" s="15"/>
      <c r="E111" s="15"/>
      <c r="F111" s="661"/>
      <c r="G111" s="15"/>
      <c r="H111" s="15"/>
      <c r="I111" s="15"/>
    </row>
    <row r="112" spans="2:9" ht="15.75">
      <c r="B112" s="15"/>
      <c r="C112" s="15"/>
      <c r="D112" s="15"/>
      <c r="E112" s="15"/>
      <c r="F112" s="661"/>
      <c r="G112" s="15"/>
      <c r="H112" s="15"/>
      <c r="I112" s="15"/>
    </row>
    <row r="113" spans="2:9" ht="15.75">
      <c r="B113" s="15"/>
      <c r="C113" s="15"/>
      <c r="D113" s="15"/>
      <c r="E113" s="15"/>
      <c r="F113" s="661"/>
      <c r="G113" s="15"/>
      <c r="H113" s="15"/>
      <c r="I113" s="15"/>
    </row>
    <row r="114" spans="2:9" ht="15.75">
      <c r="B114" s="15"/>
      <c r="C114" s="15"/>
      <c r="D114" s="15"/>
      <c r="E114" s="15"/>
      <c r="F114" s="661"/>
      <c r="G114" s="15"/>
      <c r="H114" s="15"/>
      <c r="I114" s="15"/>
    </row>
    <row r="115" spans="2:9" ht="15.75">
      <c r="B115" s="15"/>
      <c r="C115" s="15"/>
      <c r="D115" s="15"/>
      <c r="E115" s="15"/>
      <c r="F115" s="661"/>
      <c r="G115" s="15"/>
      <c r="H115" s="15"/>
      <c r="I115" s="15"/>
    </row>
    <row r="116" spans="2:9" ht="15.75">
      <c r="B116" s="15"/>
      <c r="C116" s="15"/>
      <c r="D116" s="15"/>
      <c r="E116" s="15"/>
      <c r="F116" s="661"/>
      <c r="G116" s="15"/>
      <c r="H116" s="15"/>
      <c r="I116" s="15"/>
    </row>
    <row r="117" spans="2:9" ht="15.75">
      <c r="B117" s="15"/>
      <c r="C117" s="15"/>
      <c r="D117" s="15"/>
      <c r="E117" s="15"/>
      <c r="F117" s="661"/>
      <c r="G117" s="15"/>
      <c r="H117" s="15"/>
      <c r="I117" s="15"/>
    </row>
    <row r="118" spans="2:9" ht="15.75">
      <c r="B118" s="15"/>
      <c r="C118" s="15"/>
      <c r="D118" s="15"/>
      <c r="E118" s="15"/>
      <c r="F118" s="661"/>
      <c r="G118" s="15"/>
      <c r="H118" s="15"/>
      <c r="I118" s="15"/>
    </row>
    <row r="119" spans="2:9" ht="15.75">
      <c r="B119" s="15"/>
      <c r="C119" s="15"/>
      <c r="D119" s="15"/>
      <c r="E119" s="15"/>
      <c r="F119" s="661"/>
      <c r="G119" s="15"/>
      <c r="H119" s="15"/>
      <c r="I119" s="15"/>
    </row>
    <row r="120" spans="2:9" ht="15.75">
      <c r="B120" s="15"/>
      <c r="C120" s="15"/>
      <c r="D120" s="15"/>
      <c r="E120" s="15"/>
      <c r="F120" s="661"/>
      <c r="G120" s="15"/>
      <c r="H120" s="15"/>
      <c r="I120" s="15"/>
    </row>
    <row r="121" spans="2:9" ht="15.75">
      <c r="B121" s="15"/>
      <c r="C121" s="15"/>
      <c r="D121" s="15"/>
      <c r="E121" s="15"/>
      <c r="F121" s="661"/>
      <c r="G121" s="15"/>
      <c r="H121" s="15"/>
      <c r="I121" s="15"/>
    </row>
    <row r="122" spans="2:9" ht="15.75">
      <c r="B122" s="15"/>
      <c r="C122" s="15"/>
      <c r="D122" s="15"/>
      <c r="E122" s="15"/>
      <c r="F122" s="661"/>
      <c r="G122" s="15"/>
      <c r="H122" s="15"/>
      <c r="I122" s="15"/>
    </row>
    <row r="123" spans="2:9" ht="15.75">
      <c r="B123" s="15"/>
      <c r="C123" s="15"/>
      <c r="D123" s="15"/>
      <c r="E123" s="15"/>
      <c r="F123" s="661"/>
      <c r="G123" s="15"/>
      <c r="H123" s="15"/>
      <c r="I123" s="15"/>
    </row>
    <row r="124" spans="2:9" ht="15.75">
      <c r="B124" s="15"/>
      <c r="C124" s="15"/>
      <c r="D124" s="15"/>
      <c r="E124" s="15"/>
      <c r="F124" s="661"/>
      <c r="G124" s="15"/>
      <c r="H124" s="15"/>
      <c r="I124" s="15"/>
    </row>
    <row r="125" spans="2:9" ht="15.75">
      <c r="B125" s="15"/>
      <c r="C125" s="15"/>
      <c r="D125" s="15"/>
      <c r="E125" s="15"/>
      <c r="F125" s="661"/>
      <c r="G125" s="15"/>
      <c r="H125" s="15"/>
      <c r="I125" s="15"/>
    </row>
    <row r="126" spans="2:9" ht="15.75">
      <c r="B126" s="15"/>
      <c r="C126" s="15"/>
      <c r="D126" s="15"/>
      <c r="E126" s="15"/>
      <c r="F126" s="661"/>
      <c r="G126" s="15"/>
      <c r="H126" s="15"/>
      <c r="I126" s="15"/>
    </row>
    <row r="127" spans="2:9" ht="15.75">
      <c r="B127" s="15"/>
      <c r="C127" s="15"/>
      <c r="D127" s="15"/>
      <c r="E127" s="15"/>
      <c r="F127" s="661"/>
      <c r="G127" s="15"/>
      <c r="H127" s="15"/>
      <c r="I127" s="15"/>
    </row>
    <row r="128" spans="2:9" ht="15.75">
      <c r="B128" s="15"/>
      <c r="C128" s="15"/>
      <c r="D128" s="15"/>
      <c r="E128" s="15"/>
      <c r="F128" s="661"/>
      <c r="G128" s="15"/>
      <c r="H128" s="15"/>
      <c r="I128" s="15"/>
    </row>
    <row r="129" spans="2:9" ht="15.75">
      <c r="B129" s="15"/>
      <c r="C129" s="15"/>
      <c r="D129" s="15"/>
      <c r="E129" s="15"/>
      <c r="F129" s="661"/>
      <c r="G129" s="15"/>
      <c r="H129" s="15"/>
      <c r="I129" s="15"/>
    </row>
    <row r="130" spans="2:9" ht="15.75">
      <c r="B130" s="15"/>
      <c r="C130" s="15"/>
      <c r="D130" s="15"/>
      <c r="E130" s="15"/>
      <c r="F130" s="661"/>
      <c r="G130" s="15"/>
      <c r="H130" s="15"/>
      <c r="I130" s="15"/>
    </row>
    <row r="131" spans="2:9" ht="15.75">
      <c r="B131" s="15"/>
      <c r="C131" s="15"/>
      <c r="D131" s="15"/>
      <c r="E131" s="15"/>
      <c r="F131" s="661"/>
      <c r="G131" s="15"/>
      <c r="H131" s="15"/>
      <c r="I131" s="15"/>
    </row>
  </sheetData>
  <sheetProtection/>
  <mergeCells count="13">
    <mergeCell ref="I8:N8"/>
    <mergeCell ref="A13:A15"/>
    <mergeCell ref="B13:B15"/>
    <mergeCell ref="C13:C15"/>
    <mergeCell ref="D13:D15"/>
    <mergeCell ref="E13:H13"/>
    <mergeCell ref="I13:I15"/>
    <mergeCell ref="E14:E15"/>
    <mergeCell ref="G14:G15"/>
    <mergeCell ref="H14:H15"/>
    <mergeCell ref="B31:C31"/>
    <mergeCell ref="B33:C33"/>
    <mergeCell ref="B11:I11"/>
  </mergeCells>
  <printOptions horizontalCentered="1"/>
  <pageMargins left="0" right="0" top="1.1811023622047245" bottom="0" header="0" footer="0"/>
  <pageSetup fitToHeight="2" horizontalDpi="600" verticalDpi="600" orientation="landscape" paperSize="9" scale="56"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82" zoomScaleSheetLayoutView="82" zoomScalePageLayoutView="0" workbookViewId="0" topLeftCell="A1">
      <selection activeCell="A1" sqref="A1:O23"/>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19</v>
      </c>
      <c r="J1" s="1" t="s">
        <v>765</v>
      </c>
      <c r="K1" s="513"/>
      <c r="L1" s="2" t="s">
        <v>19</v>
      </c>
    </row>
    <row r="2" spans="2:15" ht="15.75">
      <c r="B2" s="1"/>
      <c r="C2" s="1"/>
      <c r="D2" s="1"/>
      <c r="E2" s="1"/>
      <c r="F2" s="1"/>
      <c r="G2" s="1"/>
      <c r="H2" s="1"/>
      <c r="I2" s="3" t="s">
        <v>11</v>
      </c>
      <c r="J2" s="12" t="s">
        <v>11</v>
      </c>
      <c r="K2" s="12"/>
      <c r="L2" s="15"/>
      <c r="M2" s="12"/>
      <c r="N2" s="12"/>
      <c r="O2" s="12"/>
    </row>
    <row r="3" spans="2:15" ht="15.75">
      <c r="B3" s="1"/>
      <c r="C3" s="1"/>
      <c r="D3" s="1"/>
      <c r="E3" s="1"/>
      <c r="F3" s="1"/>
      <c r="G3" s="1"/>
      <c r="H3" s="1"/>
      <c r="I3" s="3"/>
      <c r="J3" s="12" t="s">
        <v>566</v>
      </c>
      <c r="K3" s="12"/>
      <c r="L3" s="15"/>
      <c r="M3" s="12"/>
      <c r="N3" s="12"/>
      <c r="O3" s="12"/>
    </row>
    <row r="4" spans="2:15" ht="15.75">
      <c r="B4" s="1"/>
      <c r="C4" s="1"/>
      <c r="D4" s="1"/>
      <c r="E4" s="1"/>
      <c r="F4" s="1"/>
      <c r="G4" s="1"/>
      <c r="H4" s="1"/>
      <c r="I4" s="3" t="s">
        <v>21</v>
      </c>
      <c r="J4" s="17" t="s">
        <v>567</v>
      </c>
      <c r="K4" s="17"/>
      <c r="L4" s="15"/>
      <c r="M4" s="12"/>
      <c r="N4" s="12"/>
      <c r="O4" s="12"/>
    </row>
    <row r="5" spans="2:15" ht="15.75">
      <c r="B5" s="1"/>
      <c r="C5" s="1"/>
      <c r="D5" s="1"/>
      <c r="E5" s="1"/>
      <c r="F5" s="1"/>
      <c r="G5" s="1"/>
      <c r="H5" s="1"/>
      <c r="I5" s="3" t="s">
        <v>23</v>
      </c>
      <c r="J5" s="17" t="s">
        <v>907</v>
      </c>
      <c r="K5" s="17"/>
      <c r="L5" s="15"/>
      <c r="M5" s="12"/>
      <c r="N5" s="12"/>
      <c r="O5" s="12"/>
    </row>
    <row r="6" spans="2:15" ht="15.75">
      <c r="B6" s="1"/>
      <c r="C6" s="1"/>
      <c r="D6" s="1"/>
      <c r="E6" s="1"/>
      <c r="F6" s="1"/>
      <c r="G6" s="1"/>
      <c r="H6" s="1"/>
      <c r="I6" s="3"/>
      <c r="J6" s="17" t="s">
        <v>927</v>
      </c>
      <c r="K6" s="17"/>
      <c r="L6" s="327"/>
      <c r="M6" s="12"/>
      <c r="N6" s="12"/>
      <c r="O6" s="12"/>
    </row>
    <row r="7" spans="2:15" ht="15.75" customHeight="1">
      <c r="B7" s="1"/>
      <c r="C7" s="1"/>
      <c r="D7" s="1"/>
      <c r="E7" s="1"/>
      <c r="F7" s="1"/>
      <c r="G7" s="1"/>
      <c r="H7" s="9"/>
      <c r="I7" s="3" t="s">
        <v>24</v>
      </c>
      <c r="J7" s="17" t="s">
        <v>928</v>
      </c>
      <c r="K7" s="17"/>
      <c r="L7" s="327"/>
      <c r="M7" s="12"/>
      <c r="N7" s="12"/>
      <c r="O7" s="12"/>
    </row>
    <row r="8" spans="2:15" ht="15.75">
      <c r="B8" s="1"/>
      <c r="C8" s="1"/>
      <c r="D8" s="1"/>
      <c r="E8" s="1"/>
      <c r="F8" s="1"/>
      <c r="G8" s="1"/>
      <c r="H8" s="9"/>
      <c r="I8" s="3"/>
      <c r="J8" s="768" t="s">
        <v>920</v>
      </c>
      <c r="K8" s="768"/>
      <c r="L8" s="768"/>
      <c r="M8" s="768"/>
      <c r="N8" s="768"/>
      <c r="O8" s="768"/>
    </row>
    <row r="9" spans="2:15" ht="16.5" customHeight="1">
      <c r="B9" s="1"/>
      <c r="C9" s="1"/>
      <c r="D9" s="1"/>
      <c r="E9" s="1"/>
      <c r="F9" s="1"/>
      <c r="G9" s="1"/>
      <c r="H9" s="1"/>
      <c r="I9" s="1"/>
      <c r="J9" s="768" t="s">
        <v>941</v>
      </c>
      <c r="K9" s="768"/>
      <c r="L9" s="730"/>
      <c r="M9" s="730"/>
      <c r="N9" s="730"/>
      <c r="O9" s="730"/>
    </row>
    <row r="10" spans="2:12" ht="35.25" customHeight="1">
      <c r="B10" s="747" t="s">
        <v>817</v>
      </c>
      <c r="C10" s="747"/>
      <c r="D10" s="747"/>
      <c r="E10" s="747"/>
      <c r="F10" s="747"/>
      <c r="G10" s="747"/>
      <c r="H10" s="747"/>
      <c r="I10" s="747"/>
      <c r="J10" s="747"/>
      <c r="K10" s="747"/>
      <c r="L10" s="1"/>
    </row>
    <row r="11" spans="2:12" ht="15.75">
      <c r="B11" s="1"/>
      <c r="C11" s="1"/>
      <c r="D11" s="857"/>
      <c r="E11" s="857"/>
      <c r="F11" s="857"/>
      <c r="G11" s="857"/>
      <c r="H11" s="857"/>
      <c r="I11" s="1"/>
      <c r="J11" s="1"/>
      <c r="K11" s="45" t="s">
        <v>434</v>
      </c>
      <c r="L11" s="1"/>
    </row>
    <row r="12" spans="1:12" ht="25.5" customHeight="1">
      <c r="A12" s="805" t="s">
        <v>32</v>
      </c>
      <c r="B12" s="805" t="s">
        <v>12</v>
      </c>
      <c r="C12" s="805" t="s">
        <v>13</v>
      </c>
      <c r="D12" s="805" t="s">
        <v>406</v>
      </c>
      <c r="E12" s="855" t="s">
        <v>9</v>
      </c>
      <c r="F12" s="855"/>
      <c r="G12" s="855"/>
      <c r="H12" s="855"/>
      <c r="I12" s="855"/>
      <c r="J12" s="856"/>
      <c r="K12" s="816" t="s">
        <v>15</v>
      </c>
      <c r="L12" s="1"/>
    </row>
    <row r="13" spans="1:12" ht="15.75">
      <c r="A13" s="854"/>
      <c r="B13" s="854"/>
      <c r="C13" s="854"/>
      <c r="D13" s="854"/>
      <c r="E13" s="805">
        <v>2021</v>
      </c>
      <c r="F13" s="805">
        <v>2022</v>
      </c>
      <c r="G13" s="805" t="s">
        <v>27</v>
      </c>
      <c r="H13" s="805" t="s">
        <v>28</v>
      </c>
      <c r="I13" s="805" t="s">
        <v>29</v>
      </c>
      <c r="J13" s="816">
        <v>2023</v>
      </c>
      <c r="K13" s="816"/>
      <c r="L13" s="1"/>
    </row>
    <row r="14" spans="1:12" ht="15.75">
      <c r="A14" s="806"/>
      <c r="B14" s="806"/>
      <c r="C14" s="806"/>
      <c r="D14" s="806"/>
      <c r="E14" s="806"/>
      <c r="F14" s="806"/>
      <c r="G14" s="806"/>
      <c r="H14" s="806"/>
      <c r="I14" s="806"/>
      <c r="J14" s="816"/>
      <c r="K14" s="816"/>
      <c r="L14" s="1"/>
    </row>
    <row r="15" spans="1:12" ht="70.5" customHeight="1">
      <c r="A15" s="450">
        <v>1</v>
      </c>
      <c r="B15" s="619" t="s">
        <v>224</v>
      </c>
      <c r="C15" s="222" t="s">
        <v>657</v>
      </c>
      <c r="D15" s="555">
        <f>E15+F15+J15</f>
        <v>5677.5</v>
      </c>
      <c r="E15" s="556">
        <v>1775.3</v>
      </c>
      <c r="F15" s="557">
        <v>1894.3</v>
      </c>
      <c r="G15" s="558"/>
      <c r="H15" s="558"/>
      <c r="I15" s="558"/>
      <c r="J15" s="558">
        <v>2007.9</v>
      </c>
      <c r="K15" s="450" t="s">
        <v>245</v>
      </c>
      <c r="L15" s="1"/>
    </row>
    <row r="16" spans="1:12" ht="32.25" customHeight="1">
      <c r="A16" s="81"/>
      <c r="B16" s="56" t="s">
        <v>5</v>
      </c>
      <c r="C16" s="57"/>
      <c r="D16" s="555">
        <f>E16+F16+J16</f>
        <v>5677.5</v>
      </c>
      <c r="E16" s="555">
        <f aca="true" t="shared" si="0" ref="E16:J16">E15</f>
        <v>1775.3</v>
      </c>
      <c r="F16" s="555">
        <f t="shared" si="0"/>
        <v>1894.3</v>
      </c>
      <c r="G16" s="555">
        <f t="shared" si="0"/>
        <v>0</v>
      </c>
      <c r="H16" s="555">
        <f t="shared" si="0"/>
        <v>0</v>
      </c>
      <c r="I16" s="555">
        <f t="shared" si="0"/>
        <v>0</v>
      </c>
      <c r="J16" s="555">
        <f t="shared" si="0"/>
        <v>2007.9</v>
      </c>
      <c r="K16" s="80"/>
      <c r="L16" s="1"/>
    </row>
    <row r="17" spans="2:12" ht="15.75">
      <c r="B17" s="4"/>
      <c r="C17" s="4"/>
      <c r="D17" s="6"/>
      <c r="E17" s="6"/>
      <c r="F17" s="6"/>
      <c r="G17" s="6"/>
      <c r="H17" s="6"/>
      <c r="I17" s="6"/>
      <c r="J17" s="6"/>
      <c r="K17" s="41"/>
      <c r="L17" s="1"/>
    </row>
    <row r="18" spans="2:12" ht="15.75" hidden="1">
      <c r="B18" s="4"/>
      <c r="C18" s="4"/>
      <c r="D18" s="6"/>
      <c r="E18" s="6"/>
      <c r="F18" s="6"/>
      <c r="G18" s="6"/>
      <c r="H18" s="6"/>
      <c r="I18" s="6"/>
      <c r="J18" s="6"/>
      <c r="K18" s="41"/>
      <c r="L18" s="1"/>
    </row>
    <row r="19" spans="2:12" ht="18.75">
      <c r="B19" s="147"/>
      <c r="C19" s="148"/>
      <c r="E19" s="6"/>
      <c r="F19" s="6"/>
      <c r="G19" s="6"/>
      <c r="H19" s="6"/>
      <c r="I19" s="6"/>
      <c r="J19" s="6"/>
      <c r="K19" s="148"/>
      <c r="L19" s="1"/>
    </row>
    <row r="20" spans="2:12" ht="48" customHeight="1">
      <c r="B20" s="851" t="s">
        <v>523</v>
      </c>
      <c r="C20" s="851"/>
      <c r="D20" s="362"/>
      <c r="E20" s="8"/>
      <c r="F20" s="8"/>
      <c r="G20" s="9"/>
      <c r="H20" s="9"/>
      <c r="I20" s="9"/>
      <c r="J20" s="47"/>
      <c r="K20" s="417" t="s">
        <v>30</v>
      </c>
      <c r="L20" s="47"/>
    </row>
    <row r="21" spans="2:12" ht="9.75" customHeight="1">
      <c r="B21" s="143"/>
      <c r="C21" s="143"/>
      <c r="D21" s="11"/>
      <c r="E21" s="8"/>
      <c r="F21" s="8"/>
      <c r="J21" s="47"/>
      <c r="K21" s="167"/>
      <c r="L21" s="47"/>
    </row>
    <row r="22" spans="2:12" ht="12.75" customHeight="1">
      <c r="B22" s="143"/>
      <c r="C22" s="143"/>
      <c r="D22" s="11"/>
      <c r="E22" s="8"/>
      <c r="F22" s="8"/>
      <c r="J22" s="47"/>
      <c r="K22" s="167"/>
      <c r="L22" s="47"/>
    </row>
    <row r="23" spans="2:11" ht="18.75">
      <c r="B23" s="853" t="s">
        <v>558</v>
      </c>
      <c r="C23" s="853"/>
      <c r="D23" s="48"/>
      <c r="E23" s="7"/>
      <c r="F23" s="7"/>
      <c r="G23" s="7"/>
      <c r="H23" s="7"/>
      <c r="I23" s="7"/>
      <c r="J23" s="1"/>
      <c r="K23" s="1"/>
    </row>
    <row r="24" spans="2:13" ht="15.75">
      <c r="B24" s="49"/>
      <c r="C24" s="49"/>
      <c r="D24" s="7"/>
      <c r="E24" s="7"/>
      <c r="F24" s="7"/>
      <c r="G24" s="7"/>
      <c r="H24" s="7"/>
      <c r="I24" s="7"/>
      <c r="J24" s="1"/>
      <c r="K24" s="1"/>
      <c r="M24" s="3"/>
    </row>
    <row r="25" spans="2:11" ht="15.75">
      <c r="B25" s="42"/>
      <c r="C25" s="10"/>
      <c r="D25" s="43"/>
      <c r="E25" s="7"/>
      <c r="F25" s="7"/>
      <c r="G25" s="7"/>
      <c r="H25" s="7"/>
      <c r="I25" s="7"/>
      <c r="J25" s="1"/>
      <c r="K25" s="1"/>
    </row>
    <row r="26" spans="3:10" ht="15.75">
      <c r="C26" s="43"/>
      <c r="D26" s="7"/>
      <c r="E26" s="7"/>
      <c r="F26" s="7"/>
      <c r="G26" s="7"/>
      <c r="H26" s="7"/>
      <c r="I26" s="7"/>
      <c r="J26" s="7"/>
    </row>
    <row r="27" spans="3:10" ht="15.75">
      <c r="C27" s="44"/>
      <c r="D27" s="7"/>
      <c r="E27" s="7"/>
      <c r="F27" s="7"/>
      <c r="G27" s="7"/>
      <c r="H27" s="7"/>
      <c r="I27" s="7"/>
      <c r="J27" s="7"/>
    </row>
    <row r="29" ht="12.75">
      <c r="H29" s="5"/>
    </row>
  </sheetData>
  <sheetProtection/>
  <mergeCells count="18">
    <mergeCell ref="J8:O8"/>
    <mergeCell ref="A12:A14"/>
    <mergeCell ref="B12:B14"/>
    <mergeCell ref="E12:J12"/>
    <mergeCell ref="J13:J14"/>
    <mergeCell ref="B10:K10"/>
    <mergeCell ref="D11:H11"/>
    <mergeCell ref="I13:I14"/>
    <mergeCell ref="C12:C14"/>
    <mergeCell ref="J9:K9"/>
    <mergeCell ref="B20:C20"/>
    <mergeCell ref="B23:C23"/>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A1" sqref="A1:O21"/>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19</v>
      </c>
      <c r="J1" s="1" t="s">
        <v>302</v>
      </c>
      <c r="K1" s="513"/>
    </row>
    <row r="2" spans="2:12" ht="15.75">
      <c r="B2" s="15"/>
      <c r="C2" s="15"/>
      <c r="D2" s="15"/>
      <c r="E2" s="15"/>
      <c r="F2" s="15"/>
      <c r="G2" s="15"/>
      <c r="H2" s="15"/>
      <c r="I2" s="12" t="s">
        <v>11</v>
      </c>
      <c r="J2" s="12" t="s">
        <v>11</v>
      </c>
      <c r="K2" s="12"/>
      <c r="L2" s="12"/>
    </row>
    <row r="3" spans="2:15" ht="15.75">
      <c r="B3" s="15"/>
      <c r="C3" s="15"/>
      <c r="D3" s="15"/>
      <c r="E3" s="15"/>
      <c r="F3" s="15"/>
      <c r="G3" s="15"/>
      <c r="H3" s="15"/>
      <c r="I3" s="12"/>
      <c r="J3" s="12" t="s">
        <v>566</v>
      </c>
      <c r="K3" s="12"/>
      <c r="L3" s="15"/>
      <c r="M3" s="12"/>
      <c r="N3" s="12"/>
      <c r="O3" s="12"/>
    </row>
    <row r="4" spans="2:15" ht="15.75">
      <c r="B4" s="15"/>
      <c r="C4" s="15"/>
      <c r="D4" s="15"/>
      <c r="E4" s="15"/>
      <c r="F4" s="15"/>
      <c r="G4" s="15"/>
      <c r="H4" s="15"/>
      <c r="I4" s="12" t="s">
        <v>21</v>
      </c>
      <c r="J4" s="17" t="s">
        <v>567</v>
      </c>
      <c r="K4" s="17"/>
      <c r="L4" s="15"/>
      <c r="M4" s="12"/>
      <c r="N4" s="12"/>
      <c r="O4" s="12"/>
    </row>
    <row r="5" spans="2:15" ht="15.75">
      <c r="B5" s="15"/>
      <c r="C5" s="15"/>
      <c r="D5" s="15"/>
      <c r="E5" s="15"/>
      <c r="F5" s="15"/>
      <c r="G5" s="15"/>
      <c r="H5" s="15"/>
      <c r="I5" s="12" t="s">
        <v>23</v>
      </c>
      <c r="J5" s="17" t="s">
        <v>907</v>
      </c>
      <c r="K5" s="17"/>
      <c r="L5" s="15"/>
      <c r="M5" s="12"/>
      <c r="N5" s="12"/>
      <c r="O5" s="12"/>
    </row>
    <row r="6" spans="2:15" ht="15.75">
      <c r="B6" s="15"/>
      <c r="C6" s="15"/>
      <c r="D6" s="15"/>
      <c r="E6" s="15"/>
      <c r="F6" s="15"/>
      <c r="G6" s="15"/>
      <c r="H6" s="15"/>
      <c r="I6" s="12"/>
      <c r="J6" s="17" t="s">
        <v>927</v>
      </c>
      <c r="K6" s="17"/>
      <c r="L6" s="327"/>
      <c r="M6" s="12"/>
      <c r="N6" s="12"/>
      <c r="O6" s="12"/>
    </row>
    <row r="7" spans="2:15" ht="15.75" customHeight="1">
      <c r="B7" s="15"/>
      <c r="C7" s="15"/>
      <c r="D7" s="15"/>
      <c r="E7" s="15"/>
      <c r="F7" s="15"/>
      <c r="G7" s="15"/>
      <c r="H7" s="15"/>
      <c r="I7" s="12"/>
      <c r="J7" s="17" t="s">
        <v>928</v>
      </c>
      <c r="K7" s="17"/>
      <c r="L7" s="327"/>
      <c r="M7" s="12"/>
      <c r="N7" s="12"/>
      <c r="O7" s="12"/>
    </row>
    <row r="8" spans="2:15" ht="15.75">
      <c r="B8" s="15"/>
      <c r="C8" s="15"/>
      <c r="D8" s="15"/>
      <c r="E8" s="15"/>
      <c r="F8" s="15"/>
      <c r="G8" s="15"/>
      <c r="H8" s="16"/>
      <c r="I8" s="12" t="s">
        <v>24</v>
      </c>
      <c r="J8" s="768" t="s">
        <v>920</v>
      </c>
      <c r="K8" s="768"/>
      <c r="L8" s="768"/>
      <c r="M8" s="768"/>
      <c r="N8" s="768"/>
      <c r="O8" s="768"/>
    </row>
    <row r="9" spans="2:15" ht="15.75">
      <c r="B9" s="15"/>
      <c r="C9" s="15"/>
      <c r="D9" s="15"/>
      <c r="E9" s="15"/>
      <c r="F9" s="15"/>
      <c r="G9" s="15"/>
      <c r="H9" s="15"/>
      <c r="I9" s="15"/>
      <c r="J9" s="768" t="s">
        <v>941</v>
      </c>
      <c r="K9" s="768"/>
      <c r="L9" s="730"/>
      <c r="M9" s="730"/>
      <c r="N9" s="730"/>
      <c r="O9" s="730"/>
    </row>
    <row r="10" spans="2:11" ht="42" customHeight="1">
      <c r="B10" s="769" t="s">
        <v>819</v>
      </c>
      <c r="C10" s="769"/>
      <c r="D10" s="769"/>
      <c r="E10" s="769"/>
      <c r="F10" s="769"/>
      <c r="G10" s="769"/>
      <c r="H10" s="769"/>
      <c r="I10" s="769"/>
      <c r="J10" s="769"/>
      <c r="K10" s="769"/>
    </row>
    <row r="11" spans="2:11" ht="37.5" customHeight="1">
      <c r="B11" s="15"/>
      <c r="C11" s="15"/>
      <c r="D11" s="785"/>
      <c r="E11" s="785"/>
      <c r="F11" s="785"/>
      <c r="G11" s="785"/>
      <c r="H11" s="785"/>
      <c r="I11" s="15"/>
      <c r="J11" s="15"/>
      <c r="K11" s="418" t="s">
        <v>426</v>
      </c>
    </row>
    <row r="12" spans="1:11" ht="15.75" customHeight="1">
      <c r="A12" s="770" t="s">
        <v>6</v>
      </c>
      <c r="B12" s="770" t="s">
        <v>12</v>
      </c>
      <c r="C12" s="770" t="s">
        <v>13</v>
      </c>
      <c r="D12" s="770" t="s">
        <v>406</v>
      </c>
      <c r="E12" s="786" t="s">
        <v>9</v>
      </c>
      <c r="F12" s="786"/>
      <c r="G12" s="786"/>
      <c r="H12" s="786"/>
      <c r="I12" s="786"/>
      <c r="J12" s="849"/>
      <c r="K12" s="776" t="s">
        <v>15</v>
      </c>
    </row>
    <row r="13" spans="1:11" ht="12.75">
      <c r="A13" s="771"/>
      <c r="B13" s="771"/>
      <c r="C13" s="771"/>
      <c r="D13" s="771"/>
      <c r="E13" s="770">
        <v>2021</v>
      </c>
      <c r="F13" s="770">
        <v>2022</v>
      </c>
      <c r="G13" s="770" t="s">
        <v>27</v>
      </c>
      <c r="H13" s="770" t="s">
        <v>28</v>
      </c>
      <c r="I13" s="770" t="s">
        <v>29</v>
      </c>
      <c r="J13" s="776">
        <v>2023</v>
      </c>
      <c r="K13" s="776"/>
    </row>
    <row r="14" spans="1:11" ht="21.75" customHeight="1">
      <c r="A14" s="772"/>
      <c r="B14" s="772"/>
      <c r="C14" s="772"/>
      <c r="D14" s="772"/>
      <c r="E14" s="772"/>
      <c r="F14" s="772"/>
      <c r="G14" s="772"/>
      <c r="H14" s="772"/>
      <c r="I14" s="772"/>
      <c r="J14" s="776"/>
      <c r="K14" s="776"/>
    </row>
    <row r="15" spans="1:12" ht="60" customHeight="1">
      <c r="A15" s="35">
        <v>1</v>
      </c>
      <c r="B15" s="60" t="s">
        <v>906</v>
      </c>
      <c r="C15" s="226" t="s">
        <v>657</v>
      </c>
      <c r="D15" s="61">
        <f>SUM(E15:J15)</f>
        <v>63278.200000000004</v>
      </c>
      <c r="E15" s="62">
        <f>526.7+3000+1700+300+2000+7100+1800+300+100+2960</f>
        <v>19786.7</v>
      </c>
      <c r="F15" s="63">
        <v>21112.4</v>
      </c>
      <c r="G15" s="62"/>
      <c r="H15" s="62"/>
      <c r="I15" s="62"/>
      <c r="J15" s="126">
        <v>22379.1</v>
      </c>
      <c r="K15" s="219" t="s">
        <v>245</v>
      </c>
      <c r="L15" s="14" t="s">
        <v>871</v>
      </c>
    </row>
    <row r="16" spans="1:11" ht="27.75" customHeight="1">
      <c r="A16" s="69"/>
      <c r="B16" s="59" t="s">
        <v>5</v>
      </c>
      <c r="C16" s="70"/>
      <c r="D16" s="61">
        <f>E16+F16+J16</f>
        <v>63278.200000000004</v>
      </c>
      <c r="E16" s="61">
        <f aca="true" t="shared" si="0" ref="E16:J16">E15</f>
        <v>19786.7</v>
      </c>
      <c r="F16" s="61">
        <f t="shared" si="0"/>
        <v>21112.4</v>
      </c>
      <c r="G16" s="61">
        <f t="shared" si="0"/>
        <v>0</v>
      </c>
      <c r="H16" s="61">
        <f t="shared" si="0"/>
        <v>0</v>
      </c>
      <c r="I16" s="61">
        <f t="shared" si="0"/>
        <v>0</v>
      </c>
      <c r="J16" s="61">
        <f t="shared" si="0"/>
        <v>22379.1</v>
      </c>
      <c r="K16" s="71"/>
    </row>
    <row r="17" spans="1:11" ht="17.25" customHeight="1">
      <c r="A17" s="38"/>
      <c r="B17" s="18"/>
      <c r="C17" s="18"/>
      <c r="D17" s="39"/>
      <c r="E17" s="39"/>
      <c r="F17" s="39"/>
      <c r="G17" s="39"/>
      <c r="H17" s="39"/>
      <c r="I17" s="39"/>
      <c r="J17" s="39"/>
      <c r="K17" s="20"/>
    </row>
    <row r="18" spans="1:11" ht="53.25" customHeight="1">
      <c r="A18" s="38"/>
      <c r="C18" s="18"/>
      <c r="D18" s="19"/>
      <c r="E18" s="19"/>
      <c r="F18" s="19"/>
      <c r="G18" s="19"/>
      <c r="H18" s="19"/>
      <c r="I18" s="19"/>
      <c r="J18" s="19"/>
      <c r="K18" s="20"/>
    </row>
    <row r="19" spans="2:11" s="600" customFormat="1" ht="36.75" customHeight="1">
      <c r="B19" s="587" t="s">
        <v>18</v>
      </c>
      <c r="C19" s="587"/>
      <c r="D19" s="587"/>
      <c r="E19" s="589"/>
      <c r="F19" s="589"/>
      <c r="J19" s="602"/>
      <c r="K19" s="602" t="s">
        <v>30</v>
      </c>
    </row>
    <row r="20" spans="2:11" ht="15" customHeight="1">
      <c r="B20" s="21"/>
      <c r="C20" s="21"/>
      <c r="D20" s="21"/>
      <c r="E20" s="22"/>
      <c r="F20" s="22"/>
      <c r="J20" s="23"/>
      <c r="K20" s="24"/>
    </row>
    <row r="21" spans="2:11" ht="18.75">
      <c r="B21" s="389" t="s">
        <v>558</v>
      </c>
      <c r="C21" s="53"/>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6">
    <mergeCell ref="D11:H11"/>
    <mergeCell ref="A12:A14"/>
    <mergeCell ref="B12:B14"/>
    <mergeCell ref="C12:C14"/>
    <mergeCell ref="D12:D14"/>
    <mergeCell ref="E12:J12"/>
    <mergeCell ref="B10:K10"/>
    <mergeCell ref="K12:K14"/>
    <mergeCell ref="E13:E14"/>
    <mergeCell ref="F13:F14"/>
    <mergeCell ref="J8:O8"/>
    <mergeCell ref="J9:K9"/>
    <mergeCell ref="H13:H14"/>
    <mergeCell ref="I13:I14"/>
    <mergeCell ref="J13:J14"/>
    <mergeCell ref="G13:G14"/>
  </mergeCells>
  <printOptions horizontalCentered="1"/>
  <pageMargins left="0" right="0" top="1.1811023622047245" bottom="0" header="0" footer="0"/>
  <pageSetup fitToHeight="1" fitToWidth="1"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K45"/>
  <sheetViews>
    <sheetView view="pageBreakPreview" zoomScale="82" zoomScaleSheetLayoutView="82" zoomScalePageLayoutView="0" workbookViewId="0" topLeftCell="A7">
      <selection activeCell="K15" sqref="K15"/>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6384" width="9.140625" style="14" customWidth="1"/>
  </cols>
  <sheetData>
    <row r="1" spans="2:11" ht="18.75">
      <c r="B1" s="15"/>
      <c r="C1" s="15"/>
      <c r="D1" s="15"/>
      <c r="E1" s="15"/>
      <c r="F1" s="15"/>
      <c r="G1" s="15"/>
      <c r="H1" s="15"/>
      <c r="I1" s="13" t="s">
        <v>19</v>
      </c>
      <c r="J1" s="778" t="s">
        <v>449</v>
      </c>
      <c r="K1" s="778"/>
    </row>
    <row r="2" spans="2:11" ht="18.75">
      <c r="B2" s="15"/>
      <c r="C2" s="15"/>
      <c r="D2" s="15"/>
      <c r="E2" s="15"/>
      <c r="F2" s="15"/>
      <c r="G2" s="15"/>
      <c r="H2" s="15"/>
      <c r="I2" s="12" t="s">
        <v>11</v>
      </c>
      <c r="J2" s="778" t="s">
        <v>11</v>
      </c>
      <c r="K2" s="778"/>
    </row>
    <row r="3" spans="2:11" ht="18.75">
      <c r="B3" s="15"/>
      <c r="C3" s="15"/>
      <c r="D3" s="15"/>
      <c r="E3" s="15"/>
      <c r="F3" s="15"/>
      <c r="G3" s="15"/>
      <c r="H3" s="15"/>
      <c r="I3" s="12"/>
      <c r="J3" s="58" t="s">
        <v>291</v>
      </c>
      <c r="K3" s="58"/>
    </row>
    <row r="4" spans="2:11" ht="18.75">
      <c r="B4" s="15"/>
      <c r="C4" s="15"/>
      <c r="D4" s="15"/>
      <c r="E4" s="15"/>
      <c r="F4" s="15"/>
      <c r="G4" s="15"/>
      <c r="H4" s="15"/>
      <c r="I4" s="12" t="s">
        <v>21</v>
      </c>
      <c r="J4" s="58" t="s">
        <v>561</v>
      </c>
      <c r="K4" s="58"/>
    </row>
    <row r="5" spans="2:11" ht="18.75">
      <c r="B5" s="15"/>
      <c r="C5" s="15"/>
      <c r="D5" s="15"/>
      <c r="E5" s="15"/>
      <c r="F5" s="15"/>
      <c r="G5" s="15"/>
      <c r="H5" s="15"/>
      <c r="I5" s="12" t="s">
        <v>23</v>
      </c>
      <c r="J5" s="58" t="s">
        <v>576</v>
      </c>
      <c r="K5" s="58"/>
    </row>
    <row r="6" spans="2:11" ht="18.75">
      <c r="B6" s="15"/>
      <c r="C6" s="15"/>
      <c r="D6" s="15"/>
      <c r="E6" s="15"/>
      <c r="F6" s="15"/>
      <c r="G6" s="15"/>
      <c r="H6" s="15"/>
      <c r="I6" s="12"/>
      <c r="J6" s="58" t="s">
        <v>563</v>
      </c>
      <c r="K6" s="58"/>
    </row>
    <row r="7" spans="2:11" ht="18.75">
      <c r="B7" s="15"/>
      <c r="C7" s="15"/>
      <c r="D7" s="15"/>
      <c r="E7" s="15"/>
      <c r="F7" s="15"/>
      <c r="G7" s="15"/>
      <c r="H7" s="15"/>
      <c r="I7" s="12"/>
      <c r="J7" s="58" t="s">
        <v>564</v>
      </c>
      <c r="K7" s="58"/>
    </row>
    <row r="8" spans="2:11" ht="18.75">
      <c r="B8" s="15"/>
      <c r="C8" s="15"/>
      <c r="D8" s="15"/>
      <c r="E8" s="15"/>
      <c r="F8" s="15"/>
      <c r="G8" s="15"/>
      <c r="H8" s="16"/>
      <c r="I8" s="12" t="s">
        <v>24</v>
      </c>
      <c r="J8" s="58" t="s">
        <v>565</v>
      </c>
      <c r="K8" s="58"/>
    </row>
    <row r="9" spans="2:11" ht="15.75">
      <c r="B9" s="15"/>
      <c r="C9" s="15"/>
      <c r="D9" s="15"/>
      <c r="E9" s="15"/>
      <c r="F9" s="15"/>
      <c r="G9" s="15"/>
      <c r="H9" s="15"/>
      <c r="I9" s="15"/>
      <c r="J9" s="15" t="s">
        <v>651</v>
      </c>
      <c r="K9" s="15"/>
    </row>
    <row r="10" spans="2:11" ht="18.75">
      <c r="B10" s="769" t="s">
        <v>528</v>
      </c>
      <c r="C10" s="769"/>
      <c r="D10" s="769"/>
      <c r="E10" s="769"/>
      <c r="F10" s="769"/>
      <c r="G10" s="769"/>
      <c r="H10" s="769"/>
      <c r="I10" s="769"/>
      <c r="J10" s="769"/>
      <c r="K10" s="769"/>
    </row>
    <row r="11" spans="2:11" ht="18.75">
      <c r="B11" s="15"/>
      <c r="C11" s="15"/>
      <c r="D11" s="785"/>
      <c r="E11" s="785"/>
      <c r="F11" s="785"/>
      <c r="G11" s="785"/>
      <c r="H11" s="785"/>
      <c r="I11" s="15"/>
      <c r="J11" s="15"/>
      <c r="K11" s="418" t="s">
        <v>426</v>
      </c>
    </row>
    <row r="12" spans="1:11" ht="18.75">
      <c r="A12" s="867" t="s">
        <v>6</v>
      </c>
      <c r="B12" s="770" t="s">
        <v>12</v>
      </c>
      <c r="C12" s="770" t="s">
        <v>13</v>
      </c>
      <c r="D12" s="770" t="s">
        <v>435</v>
      </c>
      <c r="E12" s="786" t="s">
        <v>9</v>
      </c>
      <c r="F12" s="786"/>
      <c r="G12" s="786"/>
      <c r="H12" s="786"/>
      <c r="I12" s="786"/>
      <c r="J12" s="849"/>
      <c r="K12" s="776" t="s">
        <v>15</v>
      </c>
    </row>
    <row r="13" spans="1:11" ht="17.25" customHeight="1">
      <c r="A13" s="868"/>
      <c r="B13" s="771"/>
      <c r="C13" s="771"/>
      <c r="D13" s="771"/>
      <c r="E13" s="770" t="s">
        <v>430</v>
      </c>
      <c r="F13" s="770" t="s">
        <v>436</v>
      </c>
      <c r="G13" s="770" t="s">
        <v>27</v>
      </c>
      <c r="H13" s="770" t="s">
        <v>28</v>
      </c>
      <c r="I13" s="770" t="s">
        <v>29</v>
      </c>
      <c r="J13" s="776" t="s">
        <v>409</v>
      </c>
      <c r="K13" s="776"/>
    </row>
    <row r="14" spans="1:11" ht="27" customHeight="1">
      <c r="A14" s="869"/>
      <c r="B14" s="772"/>
      <c r="C14" s="772"/>
      <c r="D14" s="772"/>
      <c r="E14" s="772"/>
      <c r="F14" s="772"/>
      <c r="G14" s="772"/>
      <c r="H14" s="772"/>
      <c r="I14" s="772"/>
      <c r="J14" s="776"/>
      <c r="K14" s="776"/>
    </row>
    <row r="15" spans="1:11" ht="40.5" customHeight="1">
      <c r="A15" s="273"/>
      <c r="B15" s="270" t="s">
        <v>247</v>
      </c>
      <c r="C15" s="271"/>
      <c r="D15" s="284">
        <f>SUM(E15:J15)</f>
        <v>169972.1</v>
      </c>
      <c r="E15" s="284">
        <f>45960+1522+245.7+8354+675.6</f>
        <v>56757.299999999996</v>
      </c>
      <c r="F15" s="284">
        <f>48000+742.6+5339.3+4663.3+4487-170</f>
        <v>63062.200000000004</v>
      </c>
      <c r="G15" s="284"/>
      <c r="H15" s="284"/>
      <c r="I15" s="284"/>
      <c r="J15" s="284">
        <f>50000+152.6+0.8-0.8</f>
        <v>50152.6</v>
      </c>
      <c r="K15" s="269"/>
    </row>
    <row r="16" spans="1:11" ht="33" customHeight="1">
      <c r="A16" s="858" t="s">
        <v>248</v>
      </c>
      <c r="B16" s="779" t="s">
        <v>249</v>
      </c>
      <c r="C16" s="220" t="s">
        <v>16</v>
      </c>
      <c r="D16" s="225">
        <f>E16+F16+J16</f>
        <v>94372.6</v>
      </c>
      <c r="E16" s="63">
        <f>45000+800</f>
        <v>45800</v>
      </c>
      <c r="F16" s="126">
        <f>48000+742.6-170</f>
        <v>48572.6</v>
      </c>
      <c r="G16" s="126"/>
      <c r="H16" s="126"/>
      <c r="I16" s="126"/>
      <c r="J16" s="126"/>
      <c r="K16" s="779" t="s">
        <v>36</v>
      </c>
    </row>
    <row r="17" spans="1:11" ht="18.75">
      <c r="A17" s="859"/>
      <c r="B17" s="780"/>
      <c r="C17" s="220" t="s">
        <v>539</v>
      </c>
      <c r="D17" s="225">
        <f>E17+F17+J17</f>
        <v>49999.2</v>
      </c>
      <c r="E17" s="63"/>
      <c r="F17" s="126"/>
      <c r="G17" s="126"/>
      <c r="H17" s="126"/>
      <c r="I17" s="126"/>
      <c r="J17" s="126">
        <f>50000-0.8</f>
        <v>49999.2</v>
      </c>
      <c r="K17" s="780"/>
    </row>
    <row r="18" spans="1:11" ht="75">
      <c r="A18" s="345" t="s">
        <v>260</v>
      </c>
      <c r="B18" s="283" t="s">
        <v>310</v>
      </c>
      <c r="C18" s="220" t="s">
        <v>62</v>
      </c>
      <c r="D18" s="225">
        <f aca="true" t="shared" si="0" ref="D18:D30">E18+F18+J18</f>
        <v>160</v>
      </c>
      <c r="E18" s="126">
        <f>160</f>
        <v>160</v>
      </c>
      <c r="F18" s="126">
        <v>0</v>
      </c>
      <c r="G18" s="126"/>
      <c r="H18" s="126"/>
      <c r="I18" s="126"/>
      <c r="J18" s="126">
        <v>0</v>
      </c>
      <c r="K18" s="282" t="s">
        <v>36</v>
      </c>
    </row>
    <row r="19" spans="1:11" ht="51.75" customHeight="1">
      <c r="A19" s="858" t="s">
        <v>262</v>
      </c>
      <c r="B19" s="864" t="s">
        <v>311</v>
      </c>
      <c r="C19" s="220" t="s">
        <v>62</v>
      </c>
      <c r="D19" s="225">
        <f t="shared" si="0"/>
        <v>548</v>
      </c>
      <c r="E19" s="126">
        <v>548</v>
      </c>
      <c r="F19" s="126">
        <v>0</v>
      </c>
      <c r="G19" s="126"/>
      <c r="H19" s="126"/>
      <c r="I19" s="126"/>
      <c r="J19" s="126">
        <v>0</v>
      </c>
      <c r="K19" s="779" t="s">
        <v>36</v>
      </c>
    </row>
    <row r="20" spans="1:11" ht="24" customHeight="1">
      <c r="A20" s="859"/>
      <c r="B20" s="865"/>
      <c r="C20" s="220" t="s">
        <v>16</v>
      </c>
      <c r="D20" s="225">
        <f t="shared" si="0"/>
        <v>16.5</v>
      </c>
      <c r="E20" s="126">
        <v>16.5</v>
      </c>
      <c r="F20" s="126">
        <v>0</v>
      </c>
      <c r="G20" s="126"/>
      <c r="H20" s="126"/>
      <c r="I20" s="126"/>
      <c r="J20" s="126">
        <v>0</v>
      </c>
      <c r="K20" s="780"/>
    </row>
    <row r="21" spans="1:11" ht="34.5" customHeight="1">
      <c r="A21" s="858" t="s">
        <v>263</v>
      </c>
      <c r="B21" s="862" t="s">
        <v>313</v>
      </c>
      <c r="C21" s="220" t="s">
        <v>62</v>
      </c>
      <c r="D21" s="225">
        <f t="shared" si="0"/>
        <v>389.2</v>
      </c>
      <c r="E21" s="126">
        <v>344</v>
      </c>
      <c r="F21" s="126">
        <v>45.2</v>
      </c>
      <c r="G21" s="126"/>
      <c r="H21" s="126"/>
      <c r="I21" s="126"/>
      <c r="J21" s="126">
        <v>0</v>
      </c>
      <c r="K21" s="779" t="s">
        <v>36</v>
      </c>
    </row>
    <row r="22" spans="1:11" ht="20.25" customHeight="1">
      <c r="A22" s="859"/>
      <c r="B22" s="863"/>
      <c r="C22" s="220" t="s">
        <v>16</v>
      </c>
      <c r="D22" s="225">
        <f t="shared" si="0"/>
        <v>233.9</v>
      </c>
      <c r="E22" s="126">
        <v>210.3</v>
      </c>
      <c r="F22" s="126">
        <v>23.6</v>
      </c>
      <c r="G22" s="126"/>
      <c r="H22" s="126"/>
      <c r="I22" s="126"/>
      <c r="J22" s="126">
        <v>0</v>
      </c>
      <c r="K22" s="780"/>
    </row>
    <row r="23" spans="1:11" ht="47.25" customHeight="1">
      <c r="A23" s="858" t="s">
        <v>265</v>
      </c>
      <c r="B23" s="862" t="s">
        <v>312</v>
      </c>
      <c r="C23" s="220" t="s">
        <v>62</v>
      </c>
      <c r="D23" s="225">
        <f t="shared" si="0"/>
        <v>1251.1</v>
      </c>
      <c r="E23" s="126">
        <v>630</v>
      </c>
      <c r="F23" s="126">
        <v>621.1</v>
      </c>
      <c r="G23" s="126"/>
      <c r="H23" s="126"/>
      <c r="I23" s="126"/>
      <c r="J23" s="126">
        <v>0</v>
      </c>
      <c r="K23" s="779" t="s">
        <v>36</v>
      </c>
    </row>
    <row r="24" spans="1:11" ht="24.75" customHeight="1">
      <c r="A24" s="859"/>
      <c r="B24" s="863"/>
      <c r="C24" s="220" t="s">
        <v>16</v>
      </c>
      <c r="D24" s="225">
        <f t="shared" si="0"/>
        <v>37.5</v>
      </c>
      <c r="E24" s="126">
        <v>18.9</v>
      </c>
      <c r="F24" s="126">
        <v>18.6</v>
      </c>
      <c r="G24" s="126"/>
      <c r="H24" s="126"/>
      <c r="I24" s="126"/>
      <c r="J24" s="126">
        <v>0</v>
      </c>
      <c r="K24" s="780"/>
    </row>
    <row r="25" spans="1:11" ht="44.25" customHeight="1">
      <c r="A25" s="858" t="s">
        <v>267</v>
      </c>
      <c r="B25" s="862" t="s">
        <v>366</v>
      </c>
      <c r="C25" s="220" t="s">
        <v>62</v>
      </c>
      <c r="D25" s="225">
        <f>E25+F25+J25</f>
        <v>23614.899999999998</v>
      </c>
      <c r="E25" s="126">
        <f>0+8354</f>
        <v>8354</v>
      </c>
      <c r="F25" s="126">
        <f>4673+4663.3+4487+990+295</f>
        <v>15108.3</v>
      </c>
      <c r="G25" s="126"/>
      <c r="H25" s="126"/>
      <c r="I25" s="126"/>
      <c r="J25" s="126">
        <v>152.6</v>
      </c>
      <c r="K25" s="779" t="s">
        <v>36</v>
      </c>
    </row>
    <row r="26" spans="1:11" ht="33" customHeight="1">
      <c r="A26" s="859"/>
      <c r="B26" s="863"/>
      <c r="C26" s="220" t="s">
        <v>16</v>
      </c>
      <c r="D26" s="225">
        <f t="shared" si="0"/>
        <v>826.4</v>
      </c>
      <c r="E26" s="126">
        <f>0+675.6</f>
        <v>675.6</v>
      </c>
      <c r="F26" s="126">
        <v>150</v>
      </c>
      <c r="G26" s="126"/>
      <c r="H26" s="126"/>
      <c r="I26" s="126"/>
      <c r="J26" s="126">
        <v>0.8</v>
      </c>
      <c r="K26" s="780"/>
    </row>
    <row r="27" spans="1:11" ht="31.5" customHeight="1">
      <c r="A27" s="858">
        <v>2</v>
      </c>
      <c r="B27" s="779" t="s">
        <v>250</v>
      </c>
      <c r="C27" s="220" t="s">
        <v>16</v>
      </c>
      <c r="D27" s="225">
        <f t="shared" si="0"/>
        <v>29000</v>
      </c>
      <c r="E27" s="126">
        <v>15000</v>
      </c>
      <c r="F27" s="126">
        <v>14000</v>
      </c>
      <c r="G27" s="126"/>
      <c r="H27" s="126"/>
      <c r="I27" s="126"/>
      <c r="J27" s="126"/>
      <c r="K27" s="779" t="s">
        <v>36</v>
      </c>
    </row>
    <row r="28" spans="1:11" ht="18.75">
      <c r="A28" s="859"/>
      <c r="B28" s="780"/>
      <c r="C28" s="220" t="s">
        <v>539</v>
      </c>
      <c r="D28" s="225">
        <f t="shared" si="0"/>
        <v>13000</v>
      </c>
      <c r="E28" s="126"/>
      <c r="F28" s="126"/>
      <c r="G28" s="126"/>
      <c r="H28" s="126"/>
      <c r="I28" s="126"/>
      <c r="J28" s="126">
        <v>13000</v>
      </c>
      <c r="K28" s="780"/>
    </row>
    <row r="29" spans="1:11" ht="24.75" customHeight="1">
      <c r="A29" s="858">
        <v>3</v>
      </c>
      <c r="B29" s="860" t="s">
        <v>646</v>
      </c>
      <c r="C29" s="220" t="s">
        <v>16</v>
      </c>
      <c r="D29" s="225">
        <f t="shared" si="0"/>
        <v>11000</v>
      </c>
      <c r="E29" s="126">
        <v>5000</v>
      </c>
      <c r="F29" s="126">
        <v>6000</v>
      </c>
      <c r="G29" s="126"/>
      <c r="H29" s="126"/>
      <c r="I29" s="126"/>
      <c r="J29" s="126"/>
      <c r="K29" s="779" t="s">
        <v>69</v>
      </c>
    </row>
    <row r="30" spans="1:11" ht="18.75">
      <c r="A30" s="859"/>
      <c r="B30" s="861"/>
      <c r="C30" s="220" t="s">
        <v>539</v>
      </c>
      <c r="D30" s="225">
        <f t="shared" si="0"/>
        <v>7000</v>
      </c>
      <c r="E30" s="126"/>
      <c r="F30" s="126"/>
      <c r="G30" s="126"/>
      <c r="H30" s="126"/>
      <c r="I30" s="126"/>
      <c r="J30" s="126">
        <v>7000</v>
      </c>
      <c r="K30" s="780"/>
    </row>
    <row r="31" spans="1:11" ht="5.25" customHeight="1">
      <c r="A31" s="466"/>
      <c r="B31" s="475"/>
      <c r="C31" s="220"/>
      <c r="D31" s="225"/>
      <c r="E31" s="126"/>
      <c r="F31" s="126"/>
      <c r="G31" s="126"/>
      <c r="H31" s="126"/>
      <c r="I31" s="126"/>
      <c r="J31" s="126"/>
      <c r="K31" s="229"/>
    </row>
    <row r="32" spans="1:11" ht="18.75">
      <c r="A32" s="76"/>
      <c r="B32" s="59" t="s">
        <v>5</v>
      </c>
      <c r="C32" s="59"/>
      <c r="D32" s="61">
        <f>D29+D27+D15+D28+D30+D31</f>
        <v>229972.1</v>
      </c>
      <c r="E32" s="61">
        <f>E29+E27+E15</f>
        <v>76757.29999999999</v>
      </c>
      <c r="F32" s="61">
        <f>F29+F27+F15</f>
        <v>83062.20000000001</v>
      </c>
      <c r="G32" s="61">
        <f>G29+G27+G15</f>
        <v>0</v>
      </c>
      <c r="H32" s="61">
        <f>H29+H27+H15</f>
        <v>0</v>
      </c>
      <c r="I32" s="61">
        <f>I29+I27+I15</f>
        <v>0</v>
      </c>
      <c r="J32" s="61">
        <f>J29+J27+J15+J28+J30+J31</f>
        <v>70152.6</v>
      </c>
      <c r="K32" s="229"/>
    </row>
    <row r="33" spans="1:11" ht="18.75">
      <c r="A33" s="90"/>
      <c r="B33" s="141"/>
      <c r="C33" s="18"/>
      <c r="D33" s="19"/>
      <c r="E33" s="19"/>
      <c r="F33" s="19"/>
      <c r="G33" s="19"/>
      <c r="H33" s="19"/>
      <c r="I33" s="19"/>
      <c r="J33" s="19"/>
      <c r="K33" s="93"/>
    </row>
    <row r="34" spans="1:11" ht="0.75" customHeight="1">
      <c r="A34" s="90"/>
      <c r="B34" s="18"/>
      <c r="C34" s="18"/>
      <c r="D34" s="19"/>
      <c r="E34" s="19"/>
      <c r="F34" s="19"/>
      <c r="G34" s="19"/>
      <c r="H34" s="19"/>
      <c r="I34" s="19"/>
      <c r="J34" s="19"/>
      <c r="K34" s="98"/>
    </row>
    <row r="35" spans="1:11" ht="3" customHeight="1">
      <c r="A35" s="90"/>
      <c r="B35" s="18"/>
      <c r="C35" s="18"/>
      <c r="D35" s="19"/>
      <c r="E35" s="19"/>
      <c r="F35" s="19"/>
      <c r="G35" s="19"/>
      <c r="H35" s="19"/>
      <c r="I35" s="19"/>
      <c r="J35" s="19"/>
      <c r="K35" s="98"/>
    </row>
    <row r="36" spans="2:11" ht="18.75">
      <c r="B36" s="51"/>
      <c r="C36" s="52"/>
      <c r="E36" s="19"/>
      <c r="F36" s="19"/>
      <c r="G36" s="19"/>
      <c r="H36" s="19"/>
      <c r="I36" s="19"/>
      <c r="J36" s="19"/>
      <c r="K36" s="15"/>
    </row>
    <row r="37" spans="2:10" ht="35.25" customHeight="1">
      <c r="B37" s="357" t="s">
        <v>18</v>
      </c>
      <c r="C37" s="357"/>
      <c r="D37" s="90"/>
      <c r="E37" s="357"/>
      <c r="F37" s="866" t="s">
        <v>30</v>
      </c>
      <c r="G37" s="866"/>
      <c r="H37" s="866"/>
      <c r="I37" s="866"/>
      <c r="J37" s="866"/>
    </row>
    <row r="38" spans="2:10" ht="18.75">
      <c r="B38" s="357"/>
      <c r="C38" s="357"/>
      <c r="D38" s="90"/>
      <c r="E38" s="357"/>
      <c r="F38" s="358"/>
      <c r="G38" s="358"/>
      <c r="H38" s="358"/>
      <c r="I38" s="358"/>
      <c r="J38" s="358"/>
    </row>
    <row r="39" spans="2:10" ht="18.75">
      <c r="B39" s="95" t="s">
        <v>558</v>
      </c>
      <c r="C39" s="95"/>
      <c r="D39" s="90"/>
      <c r="E39" s="96"/>
      <c r="F39" s="97"/>
      <c r="G39" s="97"/>
      <c r="H39" s="97"/>
      <c r="I39" s="97"/>
      <c r="J39" s="97"/>
    </row>
    <row r="40" spans="2:10" ht="15.75">
      <c r="B40" s="99" t="s">
        <v>10</v>
      </c>
      <c r="C40" s="90"/>
      <c r="D40" s="99"/>
      <c r="E40" s="97"/>
      <c r="F40" s="97"/>
      <c r="G40" s="97"/>
      <c r="H40" s="97"/>
      <c r="I40" s="97"/>
      <c r="J40" s="97"/>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8">
    <mergeCell ref="A25:A26"/>
    <mergeCell ref="B25:B26"/>
    <mergeCell ref="F37:J37"/>
    <mergeCell ref="B12:B14"/>
    <mergeCell ref="C12:C14"/>
    <mergeCell ref="D12:D14"/>
    <mergeCell ref="E12:J12"/>
    <mergeCell ref="H13:H14"/>
    <mergeCell ref="A12:A14"/>
    <mergeCell ref="G13:G14"/>
    <mergeCell ref="J1:K1"/>
    <mergeCell ref="J2:K2"/>
    <mergeCell ref="B10:K10"/>
    <mergeCell ref="D11:H11"/>
    <mergeCell ref="I13:I14"/>
    <mergeCell ref="J13:J14"/>
    <mergeCell ref="K12:K14"/>
    <mergeCell ref="E13:E14"/>
    <mergeCell ref="F13:F14"/>
    <mergeCell ref="K23:K24"/>
    <mergeCell ref="A23:A24"/>
    <mergeCell ref="B23:B24"/>
    <mergeCell ref="A19:A20"/>
    <mergeCell ref="B19:B20"/>
    <mergeCell ref="K19:K20"/>
    <mergeCell ref="A21:A22"/>
    <mergeCell ref="B21:B22"/>
    <mergeCell ref="K21:K22"/>
    <mergeCell ref="A29:A30"/>
    <mergeCell ref="B29:B30"/>
    <mergeCell ref="K29:K30"/>
    <mergeCell ref="A16:A17"/>
    <mergeCell ref="B16:B17"/>
    <mergeCell ref="K16:K17"/>
    <mergeCell ref="A27:A28"/>
    <mergeCell ref="B27:B28"/>
    <mergeCell ref="K27:K28"/>
    <mergeCell ref="K25:K26"/>
  </mergeCells>
  <printOptions horizontalCentered="1"/>
  <pageMargins left="0" right="0" top="1.1811023622047245" bottom="0" header="0" footer="0"/>
  <pageSetup fitToHeight="1" fitToWidth="1" horizontalDpi="600" verticalDpi="600" orientation="landscape" paperSize="9" scale="53"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N74"/>
  <sheetViews>
    <sheetView view="pageBreakPreview" zoomScale="80" zoomScaleSheetLayoutView="80" zoomScalePageLayoutView="0" workbookViewId="0" topLeftCell="A19">
      <selection activeCell="B31" sqref="B31:B32"/>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875" t="s">
        <v>363</v>
      </c>
      <c r="K1" s="875"/>
      <c r="L1" s="13" t="s">
        <v>19</v>
      </c>
    </row>
    <row r="2" spans="2:12" ht="18.75">
      <c r="B2" s="15"/>
      <c r="C2" s="15"/>
      <c r="D2" s="15"/>
      <c r="E2" s="15"/>
      <c r="F2" s="15"/>
      <c r="G2" s="15"/>
      <c r="H2" s="15"/>
      <c r="I2" s="12" t="s">
        <v>11</v>
      </c>
      <c r="J2" s="778" t="s">
        <v>11</v>
      </c>
      <c r="K2" s="778"/>
      <c r="L2" s="12" t="s">
        <v>11</v>
      </c>
    </row>
    <row r="3" spans="2:12" ht="18.75">
      <c r="B3" s="15"/>
      <c r="C3" s="15"/>
      <c r="D3" s="15"/>
      <c r="E3" s="15"/>
      <c r="F3" s="15"/>
      <c r="G3" s="15"/>
      <c r="H3" s="15"/>
      <c r="I3" s="12"/>
      <c r="J3" s="58" t="s">
        <v>566</v>
      </c>
      <c r="K3" s="58"/>
      <c r="L3" s="12"/>
    </row>
    <row r="4" spans="2:12" ht="18.75">
      <c r="B4" s="15"/>
      <c r="C4" s="15"/>
      <c r="D4" s="15"/>
      <c r="E4" s="15"/>
      <c r="F4" s="15"/>
      <c r="G4" s="15"/>
      <c r="H4" s="15"/>
      <c r="I4" s="12" t="s">
        <v>21</v>
      </c>
      <c r="J4" s="58" t="s">
        <v>585</v>
      </c>
      <c r="K4" s="58"/>
      <c r="L4" s="12" t="s">
        <v>21</v>
      </c>
    </row>
    <row r="5" spans="2:12" ht="18.75">
      <c r="B5" s="15"/>
      <c r="C5" s="15"/>
      <c r="D5" s="15"/>
      <c r="E5" s="15"/>
      <c r="F5" s="15"/>
      <c r="G5" s="15"/>
      <c r="H5" s="15"/>
      <c r="I5" s="12" t="s">
        <v>23</v>
      </c>
      <c r="J5" s="58" t="s">
        <v>586</v>
      </c>
      <c r="K5" s="58"/>
      <c r="L5" s="12" t="s">
        <v>23</v>
      </c>
    </row>
    <row r="6" spans="2:12" ht="18.75">
      <c r="B6" s="15"/>
      <c r="C6" s="15"/>
      <c r="D6" s="15"/>
      <c r="E6" s="15"/>
      <c r="F6" s="15"/>
      <c r="G6" s="15"/>
      <c r="H6" s="16"/>
      <c r="I6" s="12" t="s">
        <v>24</v>
      </c>
      <c r="J6" s="58" t="s">
        <v>587</v>
      </c>
      <c r="K6" s="58"/>
      <c r="L6" s="12" t="s">
        <v>24</v>
      </c>
    </row>
    <row r="7" spans="2:12" ht="18.75">
      <c r="B7" s="15"/>
      <c r="C7" s="15"/>
      <c r="D7" s="15"/>
      <c r="E7" s="15"/>
      <c r="F7" s="15"/>
      <c r="G7" s="15"/>
      <c r="H7" s="16"/>
      <c r="I7" s="12"/>
      <c r="J7" s="58" t="s">
        <v>568</v>
      </c>
      <c r="K7" s="58"/>
      <c r="L7" s="12"/>
    </row>
    <row r="8" spans="2:12" ht="18.75">
      <c r="B8" s="15"/>
      <c r="C8" s="15"/>
      <c r="D8" s="15"/>
      <c r="E8" s="15"/>
      <c r="F8" s="15"/>
      <c r="G8" s="15"/>
      <c r="H8" s="15"/>
      <c r="I8" s="15"/>
      <c r="J8" s="336" t="s">
        <v>652</v>
      </c>
      <c r="K8" s="336"/>
      <c r="L8" s="15"/>
    </row>
    <row r="9" spans="2:12" ht="36" customHeight="1">
      <c r="B9" s="769" t="s">
        <v>529</v>
      </c>
      <c r="C9" s="769"/>
      <c r="D9" s="769"/>
      <c r="E9" s="769"/>
      <c r="F9" s="769"/>
      <c r="G9" s="769"/>
      <c r="H9" s="769"/>
      <c r="I9" s="769"/>
      <c r="J9" s="769"/>
      <c r="K9" s="769"/>
      <c r="L9" s="15"/>
    </row>
    <row r="10" spans="2:12" ht="18.75">
      <c r="B10" s="15"/>
      <c r="C10" s="15"/>
      <c r="D10" s="785"/>
      <c r="E10" s="785"/>
      <c r="F10" s="785"/>
      <c r="G10" s="785"/>
      <c r="H10" s="785"/>
      <c r="I10" s="15"/>
      <c r="J10" s="15"/>
      <c r="K10" s="418" t="s">
        <v>426</v>
      </c>
      <c r="L10" s="15"/>
    </row>
    <row r="11" spans="1:12" ht="15.75" customHeight="1">
      <c r="A11" s="867" t="s">
        <v>6</v>
      </c>
      <c r="B11" s="770" t="s">
        <v>12</v>
      </c>
      <c r="C11" s="770" t="s">
        <v>13</v>
      </c>
      <c r="D11" s="770" t="s">
        <v>437</v>
      </c>
      <c r="E11" s="786" t="s">
        <v>9</v>
      </c>
      <c r="F11" s="786"/>
      <c r="G11" s="786"/>
      <c r="H11" s="786"/>
      <c r="I11" s="786"/>
      <c r="J11" s="849"/>
      <c r="K11" s="776" t="s">
        <v>15</v>
      </c>
      <c r="L11" s="15"/>
    </row>
    <row r="12" spans="1:12" ht="15.75">
      <c r="A12" s="868"/>
      <c r="B12" s="771"/>
      <c r="C12" s="771"/>
      <c r="D12" s="771"/>
      <c r="E12" s="770" t="s">
        <v>438</v>
      </c>
      <c r="F12" s="770" t="s">
        <v>439</v>
      </c>
      <c r="G12" s="770" t="s">
        <v>27</v>
      </c>
      <c r="H12" s="770" t="s">
        <v>28</v>
      </c>
      <c r="I12" s="770" t="s">
        <v>29</v>
      </c>
      <c r="J12" s="776" t="s">
        <v>440</v>
      </c>
      <c r="K12" s="776"/>
      <c r="L12" s="15"/>
    </row>
    <row r="13" spans="1:12" ht="21.75" customHeight="1">
      <c r="A13" s="869"/>
      <c r="B13" s="772"/>
      <c r="C13" s="772"/>
      <c r="D13" s="772"/>
      <c r="E13" s="772"/>
      <c r="F13" s="772"/>
      <c r="G13" s="772"/>
      <c r="H13" s="772"/>
      <c r="I13" s="772"/>
      <c r="J13" s="776"/>
      <c r="K13" s="776"/>
      <c r="L13" s="15"/>
    </row>
    <row r="14" spans="1:12" ht="28.5" customHeight="1">
      <c r="A14" s="867">
        <v>1</v>
      </c>
      <c r="B14" s="779" t="s">
        <v>240</v>
      </c>
      <c r="C14" s="220" t="s">
        <v>16</v>
      </c>
      <c r="D14" s="225">
        <f>E14+F14+J14</f>
        <v>3716.9</v>
      </c>
      <c r="E14" s="126">
        <v>2000</v>
      </c>
      <c r="F14" s="126">
        <f>2000-272-11.1</f>
        <v>1716.9</v>
      </c>
      <c r="G14" s="126"/>
      <c r="H14" s="126"/>
      <c r="I14" s="126"/>
      <c r="J14" s="126"/>
      <c r="K14" s="779" t="s">
        <v>54</v>
      </c>
      <c r="L14" s="15"/>
    </row>
    <row r="15" spans="1:12" ht="25.5" customHeight="1">
      <c r="A15" s="869"/>
      <c r="B15" s="780"/>
      <c r="C15" s="220" t="s">
        <v>539</v>
      </c>
      <c r="D15" s="225">
        <f>E15+F15+J15</f>
        <v>2000</v>
      </c>
      <c r="E15" s="126"/>
      <c r="F15" s="126"/>
      <c r="G15" s="126"/>
      <c r="H15" s="126"/>
      <c r="I15" s="126"/>
      <c r="J15" s="126">
        <v>2000</v>
      </c>
      <c r="K15" s="780"/>
      <c r="L15" s="15"/>
    </row>
    <row r="16" spans="1:12" ht="31.5" customHeight="1">
      <c r="A16" s="867">
        <v>2</v>
      </c>
      <c r="B16" s="779" t="s">
        <v>56</v>
      </c>
      <c r="C16" s="220" t="s">
        <v>16</v>
      </c>
      <c r="D16" s="225">
        <f aca="true" t="shared" si="0" ref="D16:D54">E16+F16+J16</f>
        <v>1550</v>
      </c>
      <c r="E16" s="126">
        <f>700</f>
        <v>700</v>
      </c>
      <c r="F16" s="126">
        <f>800+50</f>
        <v>850</v>
      </c>
      <c r="G16" s="126"/>
      <c r="H16" s="126"/>
      <c r="I16" s="126"/>
      <c r="J16" s="126"/>
      <c r="K16" s="779" t="s">
        <v>57</v>
      </c>
      <c r="L16" s="15"/>
    </row>
    <row r="17" spans="1:12" ht="21" customHeight="1">
      <c r="A17" s="869"/>
      <c r="B17" s="780"/>
      <c r="C17" s="220" t="s">
        <v>539</v>
      </c>
      <c r="D17" s="225">
        <f t="shared" si="0"/>
        <v>900</v>
      </c>
      <c r="E17" s="126"/>
      <c r="F17" s="126"/>
      <c r="G17" s="126"/>
      <c r="H17" s="126"/>
      <c r="I17" s="126"/>
      <c r="J17" s="126">
        <v>900</v>
      </c>
      <c r="K17" s="780"/>
      <c r="L17" s="15"/>
    </row>
    <row r="18" spans="1:12" ht="30" customHeight="1">
      <c r="A18" s="867">
        <v>3</v>
      </c>
      <c r="B18" s="779" t="s">
        <v>61</v>
      </c>
      <c r="C18" s="220" t="s">
        <v>16</v>
      </c>
      <c r="D18" s="225">
        <f t="shared" si="0"/>
        <v>463</v>
      </c>
      <c r="E18" s="126">
        <f>250-87</f>
        <v>163</v>
      </c>
      <c r="F18" s="126">
        <v>300</v>
      </c>
      <c r="G18" s="126"/>
      <c r="H18" s="126"/>
      <c r="I18" s="126"/>
      <c r="J18" s="126"/>
      <c r="K18" s="779" t="s">
        <v>31</v>
      </c>
      <c r="L18" s="15"/>
    </row>
    <row r="19" spans="1:12" ht="21.75" customHeight="1">
      <c r="A19" s="869"/>
      <c r="B19" s="780"/>
      <c r="C19" s="220" t="s">
        <v>539</v>
      </c>
      <c r="D19" s="225">
        <f t="shared" si="0"/>
        <v>350</v>
      </c>
      <c r="E19" s="126"/>
      <c r="F19" s="126"/>
      <c r="G19" s="126"/>
      <c r="H19" s="126"/>
      <c r="I19" s="126"/>
      <c r="J19" s="126">
        <v>350</v>
      </c>
      <c r="K19" s="780"/>
      <c r="L19" s="15"/>
    </row>
    <row r="20" spans="1:12" ht="33.75" customHeight="1">
      <c r="A20" s="867">
        <v>4</v>
      </c>
      <c r="B20" s="779" t="s">
        <v>364</v>
      </c>
      <c r="C20" s="220" t="s">
        <v>16</v>
      </c>
      <c r="D20" s="225">
        <f t="shared" si="0"/>
        <v>433.075</v>
      </c>
      <c r="E20" s="125">
        <v>209</v>
      </c>
      <c r="F20" s="125">
        <v>224.075</v>
      </c>
      <c r="G20" s="125"/>
      <c r="H20" s="125"/>
      <c r="I20" s="125"/>
      <c r="J20" s="125"/>
      <c r="K20" s="779" t="s">
        <v>59</v>
      </c>
      <c r="L20" s="15"/>
    </row>
    <row r="21" spans="1:12" ht="24.75" customHeight="1">
      <c r="A21" s="869"/>
      <c r="B21" s="780"/>
      <c r="C21" s="220" t="s">
        <v>539</v>
      </c>
      <c r="D21" s="225">
        <f t="shared" si="0"/>
        <v>537.53</v>
      </c>
      <c r="E21" s="125"/>
      <c r="F21" s="125"/>
      <c r="G21" s="125"/>
      <c r="H21" s="125"/>
      <c r="I21" s="125"/>
      <c r="J21" s="125">
        <v>537.53</v>
      </c>
      <c r="K21" s="872"/>
      <c r="L21" s="15"/>
    </row>
    <row r="22" spans="1:12" ht="33" customHeight="1">
      <c r="A22" s="873">
        <v>5</v>
      </c>
      <c r="B22" s="779" t="s">
        <v>58</v>
      </c>
      <c r="C22" s="220" t="s">
        <v>16</v>
      </c>
      <c r="D22" s="225">
        <f t="shared" si="0"/>
        <v>223.07999999999998</v>
      </c>
      <c r="E22" s="125">
        <v>103.38</v>
      </c>
      <c r="F22" s="125">
        <v>119.7</v>
      </c>
      <c r="G22" s="125"/>
      <c r="H22" s="125"/>
      <c r="I22" s="125"/>
      <c r="J22" s="125"/>
      <c r="K22" s="872"/>
      <c r="L22" s="15"/>
    </row>
    <row r="23" spans="1:12" ht="18.75">
      <c r="A23" s="874"/>
      <c r="B23" s="780"/>
      <c r="C23" s="220" t="s">
        <v>539</v>
      </c>
      <c r="D23" s="225">
        <f t="shared" si="0"/>
        <v>127.23</v>
      </c>
      <c r="E23" s="125"/>
      <c r="F23" s="125"/>
      <c r="G23" s="125"/>
      <c r="H23" s="125"/>
      <c r="I23" s="125"/>
      <c r="J23" s="125">
        <v>127.23</v>
      </c>
      <c r="K23" s="872"/>
      <c r="L23" s="15"/>
    </row>
    <row r="24" spans="1:12" ht="37.5" customHeight="1">
      <c r="A24" s="870">
        <v>6</v>
      </c>
      <c r="B24" s="779" t="s">
        <v>182</v>
      </c>
      <c r="C24" s="220" t="s">
        <v>16</v>
      </c>
      <c r="D24" s="225">
        <f t="shared" si="0"/>
        <v>909.54</v>
      </c>
      <c r="E24" s="125">
        <v>428.84</v>
      </c>
      <c r="F24" s="125">
        <v>480.7</v>
      </c>
      <c r="G24" s="125"/>
      <c r="H24" s="125"/>
      <c r="I24" s="125"/>
      <c r="J24" s="125"/>
      <c r="K24" s="872"/>
      <c r="L24" s="15"/>
    </row>
    <row r="25" spans="1:12" ht="88.5" customHeight="1">
      <c r="A25" s="871"/>
      <c r="B25" s="780"/>
      <c r="C25" s="220" t="s">
        <v>539</v>
      </c>
      <c r="D25" s="225">
        <f t="shared" si="0"/>
        <v>509.99</v>
      </c>
      <c r="E25" s="125"/>
      <c r="F25" s="125"/>
      <c r="G25" s="125"/>
      <c r="H25" s="125"/>
      <c r="I25" s="125"/>
      <c r="J25" s="125">
        <v>509.99</v>
      </c>
      <c r="K25" s="872"/>
      <c r="L25" s="15"/>
    </row>
    <row r="26" spans="1:12" ht="53.25" customHeight="1">
      <c r="A26" s="870">
        <v>7</v>
      </c>
      <c r="B26" s="779" t="s">
        <v>181</v>
      </c>
      <c r="C26" s="220" t="s">
        <v>16</v>
      </c>
      <c r="D26" s="225">
        <f t="shared" si="0"/>
        <v>547.2</v>
      </c>
      <c r="E26" s="125">
        <v>264</v>
      </c>
      <c r="F26" s="125">
        <v>283.2</v>
      </c>
      <c r="G26" s="125"/>
      <c r="H26" s="125"/>
      <c r="I26" s="125"/>
      <c r="J26" s="359"/>
      <c r="K26" s="872"/>
      <c r="L26" s="15"/>
    </row>
    <row r="27" spans="1:12" ht="18.75">
      <c r="A27" s="871"/>
      <c r="B27" s="780"/>
      <c r="C27" s="220" t="s">
        <v>539</v>
      </c>
      <c r="D27" s="225">
        <f t="shared" si="0"/>
        <v>300.192</v>
      </c>
      <c r="E27" s="125"/>
      <c r="F27" s="125"/>
      <c r="G27" s="125"/>
      <c r="H27" s="125"/>
      <c r="I27" s="125"/>
      <c r="J27" s="359">
        <v>300.192</v>
      </c>
      <c r="K27" s="780"/>
      <c r="L27" s="15"/>
    </row>
    <row r="28" spans="1:12" ht="93.75">
      <c r="A28" s="86">
        <v>8</v>
      </c>
      <c r="B28" s="360" t="s">
        <v>319</v>
      </c>
      <c r="C28" s="356" t="s">
        <v>16</v>
      </c>
      <c r="D28" s="225">
        <f t="shared" si="0"/>
        <v>250</v>
      </c>
      <c r="E28" s="125">
        <v>150</v>
      </c>
      <c r="F28" s="125">
        <v>100</v>
      </c>
      <c r="G28" s="125"/>
      <c r="H28" s="125"/>
      <c r="I28" s="125"/>
      <c r="J28" s="359">
        <v>0</v>
      </c>
      <c r="K28" s="361" t="s">
        <v>320</v>
      </c>
      <c r="L28" s="15"/>
    </row>
    <row r="29" spans="1:12" ht="42.75" customHeight="1">
      <c r="A29" s="867">
        <v>9</v>
      </c>
      <c r="B29" s="779" t="s">
        <v>60</v>
      </c>
      <c r="C29" s="220" t="s">
        <v>16</v>
      </c>
      <c r="D29" s="225">
        <f t="shared" si="0"/>
        <v>16</v>
      </c>
      <c r="E29" s="126">
        <v>10</v>
      </c>
      <c r="F29" s="126">
        <v>6</v>
      </c>
      <c r="G29" s="126"/>
      <c r="H29" s="126"/>
      <c r="I29" s="126"/>
      <c r="J29" s="126"/>
      <c r="K29" s="779" t="s">
        <v>36</v>
      </c>
      <c r="L29" s="15"/>
    </row>
    <row r="30" spans="1:12" ht="27.75" customHeight="1">
      <c r="A30" s="869"/>
      <c r="B30" s="780"/>
      <c r="C30" s="220" t="s">
        <v>539</v>
      </c>
      <c r="D30" s="225">
        <f t="shared" si="0"/>
        <v>15</v>
      </c>
      <c r="E30" s="126"/>
      <c r="F30" s="126"/>
      <c r="G30" s="126"/>
      <c r="H30" s="126"/>
      <c r="I30" s="126"/>
      <c r="J30" s="126">
        <v>15</v>
      </c>
      <c r="K30" s="780"/>
      <c r="L30" s="15"/>
    </row>
    <row r="31" spans="1:12" ht="34.5" customHeight="1">
      <c r="A31" s="867">
        <v>10</v>
      </c>
      <c r="B31" s="779" t="s">
        <v>180</v>
      </c>
      <c r="C31" s="220" t="s">
        <v>16</v>
      </c>
      <c r="D31" s="225">
        <f t="shared" si="0"/>
        <v>123</v>
      </c>
      <c r="E31" s="126">
        <v>65</v>
      </c>
      <c r="F31" s="126">
        <v>58</v>
      </c>
      <c r="G31" s="126"/>
      <c r="H31" s="126"/>
      <c r="I31" s="126"/>
      <c r="J31" s="126"/>
      <c r="K31" s="779" t="s">
        <v>36</v>
      </c>
      <c r="L31" s="15"/>
    </row>
    <row r="32" spans="1:12" ht="18.75">
      <c r="A32" s="869"/>
      <c r="B32" s="780"/>
      <c r="C32" s="220" t="s">
        <v>539</v>
      </c>
      <c r="D32" s="225">
        <f t="shared" si="0"/>
        <v>75</v>
      </c>
      <c r="E32" s="126"/>
      <c r="F32" s="126"/>
      <c r="G32" s="126"/>
      <c r="H32" s="126"/>
      <c r="I32" s="126"/>
      <c r="J32" s="126">
        <v>75</v>
      </c>
      <c r="K32" s="780"/>
      <c r="L32" s="15"/>
    </row>
    <row r="33" spans="1:12" ht="36.75" customHeight="1">
      <c r="A33" s="867">
        <v>11</v>
      </c>
      <c r="B33" s="779" t="s">
        <v>379</v>
      </c>
      <c r="C33" s="220" t="s">
        <v>16</v>
      </c>
      <c r="D33" s="225">
        <f t="shared" si="0"/>
        <v>274</v>
      </c>
      <c r="E33" s="126">
        <f>42+80+87</f>
        <v>209</v>
      </c>
      <c r="F33" s="126">
        <f>63+2</f>
        <v>65</v>
      </c>
      <c r="G33" s="126"/>
      <c r="H33" s="126"/>
      <c r="I33" s="126"/>
      <c r="J33" s="126"/>
      <c r="K33" s="779" t="s">
        <v>36</v>
      </c>
      <c r="L33" s="15"/>
    </row>
    <row r="34" spans="1:12" ht="29.25" customHeight="1">
      <c r="A34" s="869"/>
      <c r="B34" s="780"/>
      <c r="C34" s="285" t="s">
        <v>539</v>
      </c>
      <c r="D34" s="225">
        <f t="shared" si="0"/>
        <v>75</v>
      </c>
      <c r="E34" s="126"/>
      <c r="F34" s="126"/>
      <c r="G34" s="126"/>
      <c r="H34" s="126"/>
      <c r="I34" s="126"/>
      <c r="J34" s="126">
        <v>75</v>
      </c>
      <c r="K34" s="780"/>
      <c r="L34" s="15"/>
    </row>
    <row r="35" spans="1:12" ht="37.5">
      <c r="A35" s="85">
        <v>12</v>
      </c>
      <c r="B35" s="164" t="s">
        <v>251</v>
      </c>
      <c r="C35" s="285" t="s">
        <v>16</v>
      </c>
      <c r="D35" s="225">
        <f t="shared" si="0"/>
        <v>150</v>
      </c>
      <c r="E35" s="63">
        <v>150</v>
      </c>
      <c r="F35" s="126">
        <v>0</v>
      </c>
      <c r="G35" s="126">
        <v>0</v>
      </c>
      <c r="H35" s="126">
        <v>0</v>
      </c>
      <c r="I35" s="126">
        <v>0</v>
      </c>
      <c r="J35" s="126">
        <v>0</v>
      </c>
      <c r="K35" s="272" t="s">
        <v>36</v>
      </c>
      <c r="L35" s="15"/>
    </row>
    <row r="36" spans="1:12" ht="37.5">
      <c r="A36" s="85">
        <v>13</v>
      </c>
      <c r="B36" s="164" t="s">
        <v>252</v>
      </c>
      <c r="C36" s="285" t="s">
        <v>16</v>
      </c>
      <c r="D36" s="225">
        <f t="shared" si="0"/>
        <v>1</v>
      </c>
      <c r="E36" s="63">
        <v>1</v>
      </c>
      <c r="F36" s="126">
        <v>0</v>
      </c>
      <c r="G36" s="126"/>
      <c r="H36" s="126"/>
      <c r="I36" s="126"/>
      <c r="J36" s="126">
        <v>0</v>
      </c>
      <c r="K36" s="272" t="s">
        <v>36</v>
      </c>
      <c r="L36" s="15"/>
    </row>
    <row r="37" spans="1:12" ht="56.25" customHeight="1">
      <c r="A37" s="867">
        <v>14</v>
      </c>
      <c r="B37" s="779" t="s">
        <v>309</v>
      </c>
      <c r="C37" s="285" t="s">
        <v>16</v>
      </c>
      <c r="D37" s="225">
        <f t="shared" si="0"/>
        <v>85</v>
      </c>
      <c r="E37" s="63">
        <v>34</v>
      </c>
      <c r="F37" s="126">
        <v>51</v>
      </c>
      <c r="G37" s="126"/>
      <c r="H37" s="126"/>
      <c r="I37" s="126"/>
      <c r="J37" s="126"/>
      <c r="K37" s="779" t="s">
        <v>36</v>
      </c>
      <c r="L37" s="15"/>
    </row>
    <row r="38" spans="1:12" ht="18.75">
      <c r="A38" s="869"/>
      <c r="B38" s="780"/>
      <c r="C38" s="285" t="s">
        <v>539</v>
      </c>
      <c r="D38" s="225">
        <f t="shared" si="0"/>
        <v>48.35</v>
      </c>
      <c r="E38" s="63"/>
      <c r="F38" s="126"/>
      <c r="G38" s="126"/>
      <c r="H38" s="126"/>
      <c r="I38" s="126"/>
      <c r="J38" s="126">
        <v>48.35</v>
      </c>
      <c r="K38" s="780"/>
      <c r="L38" s="15"/>
    </row>
    <row r="39" spans="1:12" ht="75">
      <c r="A39" s="85">
        <v>15</v>
      </c>
      <c r="B39" s="164" t="s">
        <v>372</v>
      </c>
      <c r="C39" s="285" t="s">
        <v>16</v>
      </c>
      <c r="D39" s="225">
        <f t="shared" si="0"/>
        <v>250</v>
      </c>
      <c r="E39" s="63">
        <v>0</v>
      </c>
      <c r="F39" s="126">
        <v>250</v>
      </c>
      <c r="G39" s="126"/>
      <c r="H39" s="126"/>
      <c r="I39" s="126"/>
      <c r="J39" s="126">
        <v>0</v>
      </c>
      <c r="K39" s="390" t="s">
        <v>36</v>
      </c>
      <c r="L39" s="15"/>
    </row>
    <row r="40" spans="1:12" ht="37.5">
      <c r="A40" s="85">
        <v>16</v>
      </c>
      <c r="B40" s="164" t="s">
        <v>378</v>
      </c>
      <c r="C40" s="285" t="s">
        <v>16</v>
      </c>
      <c r="D40" s="225">
        <f t="shared" si="0"/>
        <v>200</v>
      </c>
      <c r="E40" s="63">
        <v>0</v>
      </c>
      <c r="F40" s="126">
        <v>200</v>
      </c>
      <c r="G40" s="126"/>
      <c r="H40" s="126"/>
      <c r="I40" s="126"/>
      <c r="J40" s="126">
        <v>0</v>
      </c>
      <c r="K40" s="391" t="s">
        <v>36</v>
      </c>
      <c r="L40" s="15"/>
    </row>
    <row r="41" spans="1:12" ht="86.25" customHeight="1">
      <c r="A41" s="85">
        <v>17</v>
      </c>
      <c r="B41" s="164" t="s">
        <v>380</v>
      </c>
      <c r="C41" s="285" t="s">
        <v>16</v>
      </c>
      <c r="D41" s="225">
        <f t="shared" si="0"/>
        <v>79.7</v>
      </c>
      <c r="E41" s="63">
        <v>0</v>
      </c>
      <c r="F41" s="126">
        <f>0+20+30+16.2+13.5</f>
        <v>79.7</v>
      </c>
      <c r="G41" s="126"/>
      <c r="H41" s="126"/>
      <c r="I41" s="126"/>
      <c r="J41" s="126">
        <v>0</v>
      </c>
      <c r="K41" s="391" t="s">
        <v>36</v>
      </c>
      <c r="L41" s="15"/>
    </row>
    <row r="42" spans="1:12" ht="32.25" customHeight="1">
      <c r="A42" s="867">
        <v>18</v>
      </c>
      <c r="B42" s="779" t="s">
        <v>470</v>
      </c>
      <c r="C42" s="285" t="s">
        <v>16</v>
      </c>
      <c r="D42" s="225">
        <f t="shared" si="0"/>
        <v>15</v>
      </c>
      <c r="E42" s="63">
        <v>0</v>
      </c>
      <c r="F42" s="126">
        <f>0+12+3</f>
        <v>15</v>
      </c>
      <c r="G42" s="126"/>
      <c r="H42" s="126"/>
      <c r="I42" s="126"/>
      <c r="J42" s="126"/>
      <c r="K42" s="779" t="s">
        <v>36</v>
      </c>
      <c r="L42" s="15"/>
    </row>
    <row r="43" spans="1:12" ht="21" customHeight="1">
      <c r="A43" s="869"/>
      <c r="B43" s="780"/>
      <c r="C43" s="285" t="s">
        <v>539</v>
      </c>
      <c r="D43" s="225">
        <f t="shared" si="0"/>
        <v>30</v>
      </c>
      <c r="E43" s="63"/>
      <c r="F43" s="126"/>
      <c r="G43" s="126"/>
      <c r="H43" s="126"/>
      <c r="I43" s="126"/>
      <c r="J43" s="126">
        <v>30</v>
      </c>
      <c r="K43" s="780"/>
      <c r="L43" s="15"/>
    </row>
    <row r="44" spans="1:12" ht="42" customHeight="1">
      <c r="A44" s="85">
        <v>19</v>
      </c>
      <c r="B44" s="422" t="s">
        <v>537</v>
      </c>
      <c r="C44" s="220" t="s">
        <v>16</v>
      </c>
      <c r="D44" s="225">
        <f t="shared" si="0"/>
        <v>200</v>
      </c>
      <c r="E44" s="63"/>
      <c r="F44" s="126">
        <f>0+200</f>
        <v>200</v>
      </c>
      <c r="G44" s="126"/>
      <c r="H44" s="126"/>
      <c r="I44" s="126"/>
      <c r="J44" s="126"/>
      <c r="K44" s="426" t="s">
        <v>36</v>
      </c>
      <c r="L44" s="15"/>
    </row>
    <row r="45" spans="1:12" ht="42" customHeight="1">
      <c r="A45" s="85">
        <v>20</v>
      </c>
      <c r="B45" s="436" t="s">
        <v>479</v>
      </c>
      <c r="C45" s="220" t="s">
        <v>16</v>
      </c>
      <c r="D45" s="225">
        <f t="shared" si="0"/>
        <v>80</v>
      </c>
      <c r="E45" s="63"/>
      <c r="F45" s="126">
        <f>0+80</f>
        <v>80</v>
      </c>
      <c r="G45" s="126"/>
      <c r="H45" s="126"/>
      <c r="I45" s="126"/>
      <c r="J45" s="126"/>
      <c r="K45" s="427" t="s">
        <v>36</v>
      </c>
      <c r="L45" s="15"/>
    </row>
    <row r="46" spans="1:12" ht="42" customHeight="1">
      <c r="A46" s="85">
        <v>21</v>
      </c>
      <c r="B46" s="436" t="s">
        <v>484</v>
      </c>
      <c r="C46" s="220" t="s">
        <v>16</v>
      </c>
      <c r="D46" s="225">
        <f t="shared" si="0"/>
        <v>84</v>
      </c>
      <c r="E46" s="63"/>
      <c r="F46" s="126">
        <v>84</v>
      </c>
      <c r="G46" s="126"/>
      <c r="H46" s="126"/>
      <c r="I46" s="126"/>
      <c r="J46" s="126"/>
      <c r="K46" s="427" t="s">
        <v>36</v>
      </c>
      <c r="L46" s="15"/>
    </row>
    <row r="47" spans="1:12" ht="69" customHeight="1">
      <c r="A47" s="85">
        <v>22</v>
      </c>
      <c r="B47" s="436" t="s">
        <v>485</v>
      </c>
      <c r="C47" s="220" t="s">
        <v>16</v>
      </c>
      <c r="D47" s="225">
        <f t="shared" si="0"/>
        <v>11.1</v>
      </c>
      <c r="E47" s="63"/>
      <c r="F47" s="126">
        <v>11.1</v>
      </c>
      <c r="G47" s="126"/>
      <c r="H47" s="126"/>
      <c r="I47" s="126"/>
      <c r="J47" s="126"/>
      <c r="K47" s="427" t="s">
        <v>36</v>
      </c>
      <c r="L47" s="15"/>
    </row>
    <row r="48" spans="1:12" ht="34.5" customHeight="1">
      <c r="A48" s="85">
        <v>23</v>
      </c>
      <c r="B48" s="436" t="s">
        <v>534</v>
      </c>
      <c r="C48" s="220" t="s">
        <v>16</v>
      </c>
      <c r="D48" s="225">
        <f t="shared" si="0"/>
        <v>96</v>
      </c>
      <c r="E48" s="63"/>
      <c r="F48" s="126">
        <v>96</v>
      </c>
      <c r="G48" s="126"/>
      <c r="H48" s="126"/>
      <c r="I48" s="126"/>
      <c r="J48" s="126"/>
      <c r="K48" s="435" t="s">
        <v>36</v>
      </c>
      <c r="L48" s="15"/>
    </row>
    <row r="49" spans="1:12" ht="54.75" customHeight="1">
      <c r="A49" s="85">
        <v>24</v>
      </c>
      <c r="B49" s="436" t="s">
        <v>486</v>
      </c>
      <c r="C49" s="220" t="s">
        <v>539</v>
      </c>
      <c r="D49" s="225">
        <f t="shared" si="0"/>
        <v>150</v>
      </c>
      <c r="E49" s="63"/>
      <c r="F49" s="126"/>
      <c r="G49" s="126"/>
      <c r="H49" s="126"/>
      <c r="I49" s="126"/>
      <c r="J49" s="126">
        <v>150</v>
      </c>
      <c r="K49" s="447" t="s">
        <v>36</v>
      </c>
      <c r="L49" s="15"/>
    </row>
    <row r="50" spans="1:12" ht="49.5" customHeight="1">
      <c r="A50" s="85">
        <v>25</v>
      </c>
      <c r="B50" s="436" t="s">
        <v>487</v>
      </c>
      <c r="C50" s="220" t="s">
        <v>539</v>
      </c>
      <c r="D50" s="225">
        <f t="shared" si="0"/>
        <v>50</v>
      </c>
      <c r="E50" s="63"/>
      <c r="F50" s="126"/>
      <c r="G50" s="126"/>
      <c r="H50" s="126"/>
      <c r="I50" s="126"/>
      <c r="J50" s="126">
        <v>50</v>
      </c>
      <c r="K50" s="427" t="s">
        <v>36</v>
      </c>
      <c r="L50" s="15"/>
    </row>
    <row r="51" spans="1:12" ht="39.75" customHeight="1">
      <c r="A51" s="85">
        <v>26</v>
      </c>
      <c r="B51" s="436" t="s">
        <v>488</v>
      </c>
      <c r="C51" s="220" t="s">
        <v>539</v>
      </c>
      <c r="D51" s="225">
        <f t="shared" si="0"/>
        <v>85</v>
      </c>
      <c r="E51" s="63"/>
      <c r="F51" s="126"/>
      <c r="G51" s="126"/>
      <c r="H51" s="126"/>
      <c r="I51" s="126"/>
      <c r="J51" s="126">
        <v>85</v>
      </c>
      <c r="K51" s="427" t="s">
        <v>36</v>
      </c>
      <c r="L51" s="15"/>
    </row>
    <row r="52" spans="1:12" ht="38.25" customHeight="1">
      <c r="A52" s="85">
        <v>27</v>
      </c>
      <c r="B52" s="436" t="s">
        <v>489</v>
      </c>
      <c r="C52" s="220" t="s">
        <v>539</v>
      </c>
      <c r="D52" s="225">
        <f t="shared" si="0"/>
        <v>300</v>
      </c>
      <c r="E52" s="63"/>
      <c r="F52" s="126"/>
      <c r="G52" s="126"/>
      <c r="H52" s="126"/>
      <c r="I52" s="126"/>
      <c r="J52" s="126">
        <v>300</v>
      </c>
      <c r="K52" s="427" t="s">
        <v>36</v>
      </c>
      <c r="L52" s="15"/>
    </row>
    <row r="53" spans="1:12" ht="96" customHeight="1">
      <c r="A53" s="85">
        <v>28</v>
      </c>
      <c r="B53" s="436" t="s">
        <v>538</v>
      </c>
      <c r="C53" s="220" t="s">
        <v>539</v>
      </c>
      <c r="D53" s="225">
        <f t="shared" si="0"/>
        <v>60</v>
      </c>
      <c r="E53" s="63"/>
      <c r="F53" s="126"/>
      <c r="G53" s="126"/>
      <c r="H53" s="126"/>
      <c r="I53" s="126"/>
      <c r="J53" s="126">
        <v>60</v>
      </c>
      <c r="K53" s="438" t="s">
        <v>36</v>
      </c>
      <c r="L53" s="15"/>
    </row>
    <row r="54" spans="1:12" ht="39" customHeight="1">
      <c r="A54" s="85">
        <v>29</v>
      </c>
      <c r="B54" s="436" t="s">
        <v>584</v>
      </c>
      <c r="C54" s="220" t="s">
        <v>539</v>
      </c>
      <c r="D54" s="225">
        <f t="shared" si="0"/>
        <v>190</v>
      </c>
      <c r="E54" s="63"/>
      <c r="F54" s="126"/>
      <c r="G54" s="126"/>
      <c r="H54" s="126"/>
      <c r="I54" s="126"/>
      <c r="J54" s="126">
        <v>190</v>
      </c>
      <c r="K54" s="460" t="s">
        <v>36</v>
      </c>
      <c r="L54" s="15"/>
    </row>
    <row r="55" spans="1:12" ht="109.5" customHeight="1">
      <c r="A55" s="85">
        <v>30</v>
      </c>
      <c r="B55" s="436" t="s">
        <v>614</v>
      </c>
      <c r="C55" s="220" t="s">
        <v>539</v>
      </c>
      <c r="D55" s="225">
        <f aca="true" t="shared" si="1" ref="D55:D60">E55+F55+J55</f>
        <v>4.3</v>
      </c>
      <c r="E55" s="63"/>
      <c r="F55" s="126"/>
      <c r="G55" s="126"/>
      <c r="H55" s="126"/>
      <c r="I55" s="126"/>
      <c r="J55" s="126">
        <v>4.3</v>
      </c>
      <c r="K55" s="481" t="s">
        <v>36</v>
      </c>
      <c r="L55" s="15"/>
    </row>
    <row r="56" spans="1:12" ht="54.75" customHeight="1">
      <c r="A56" s="85">
        <v>31</v>
      </c>
      <c r="B56" s="158" t="s">
        <v>620</v>
      </c>
      <c r="C56" s="220" t="s">
        <v>539</v>
      </c>
      <c r="D56" s="225">
        <f t="shared" si="1"/>
        <v>79</v>
      </c>
      <c r="E56" s="63"/>
      <c r="F56" s="126"/>
      <c r="G56" s="126"/>
      <c r="H56" s="126"/>
      <c r="I56" s="126"/>
      <c r="J56" s="126">
        <v>79</v>
      </c>
      <c r="K56" s="481" t="s">
        <v>36</v>
      </c>
      <c r="L56" s="15"/>
    </row>
    <row r="57" spans="1:12" ht="83.25" customHeight="1">
      <c r="A57" s="85">
        <v>32</v>
      </c>
      <c r="B57" s="158" t="s">
        <v>621</v>
      </c>
      <c r="C57" s="220" t="s">
        <v>539</v>
      </c>
      <c r="D57" s="225">
        <f t="shared" si="1"/>
        <v>190</v>
      </c>
      <c r="E57" s="63"/>
      <c r="F57" s="126"/>
      <c r="G57" s="126"/>
      <c r="H57" s="126"/>
      <c r="I57" s="126"/>
      <c r="J57" s="126">
        <v>190</v>
      </c>
      <c r="K57" s="481" t="s">
        <v>36</v>
      </c>
      <c r="L57" s="15"/>
    </row>
    <row r="58" spans="1:12" ht="39" customHeight="1">
      <c r="A58" s="85">
        <v>33</v>
      </c>
      <c r="B58" s="158" t="s">
        <v>622</v>
      </c>
      <c r="C58" s="220" t="s">
        <v>539</v>
      </c>
      <c r="D58" s="225">
        <f t="shared" si="1"/>
        <v>40</v>
      </c>
      <c r="E58" s="63"/>
      <c r="F58" s="126"/>
      <c r="G58" s="126"/>
      <c r="H58" s="126"/>
      <c r="I58" s="126"/>
      <c r="J58" s="126">
        <v>40</v>
      </c>
      <c r="K58" s="481" t="s">
        <v>36</v>
      </c>
      <c r="L58" s="15"/>
    </row>
    <row r="59" spans="1:12" ht="60.75" customHeight="1">
      <c r="A59" s="85">
        <v>34</v>
      </c>
      <c r="B59" s="158" t="s">
        <v>643</v>
      </c>
      <c r="C59" s="220" t="s">
        <v>539</v>
      </c>
      <c r="D59" s="225">
        <f t="shared" si="1"/>
        <v>39</v>
      </c>
      <c r="E59" s="63"/>
      <c r="F59" s="126"/>
      <c r="G59" s="126"/>
      <c r="H59" s="126"/>
      <c r="I59" s="126"/>
      <c r="J59" s="126">
        <v>39</v>
      </c>
      <c r="K59" s="481" t="s">
        <v>36</v>
      </c>
      <c r="L59" s="15"/>
    </row>
    <row r="60" spans="1:12" ht="46.5" customHeight="1">
      <c r="A60" s="85">
        <v>35</v>
      </c>
      <c r="B60" s="158" t="s">
        <v>644</v>
      </c>
      <c r="C60" s="220" t="s">
        <v>539</v>
      </c>
      <c r="D60" s="225">
        <f t="shared" si="1"/>
        <v>450</v>
      </c>
      <c r="E60" s="63"/>
      <c r="F60" s="126"/>
      <c r="G60" s="126"/>
      <c r="H60" s="126"/>
      <c r="I60" s="126"/>
      <c r="J60" s="126">
        <v>450</v>
      </c>
      <c r="K60" s="491" t="s">
        <v>36</v>
      </c>
      <c r="L60" s="15"/>
    </row>
    <row r="61" spans="1:12" ht="21.75" customHeight="1">
      <c r="A61" s="76"/>
      <c r="B61" s="59" t="s">
        <v>5</v>
      </c>
      <c r="C61" s="70"/>
      <c r="D61" s="287">
        <f>D14+D16+D18+D20+D22+D24+D26+D28+D29+D31+D33+D35+D36+D37+D39+D40+D41+D42+D44+D45+D46+D47+D49+D50+D51+D52+D48+D53+D15+D17+D19+D21+D23+D25+D27+D30+D32+D34+D38+D43+D54+D55+D56+D57+D58+D59+D60</f>
        <v>16363.187</v>
      </c>
      <c r="E61" s="287">
        <f>E14+E16+E18+E20+E22+E24+E26+E28+E29+E31+E33+E35+E36+E37+E39+E40</f>
        <v>4487.22</v>
      </c>
      <c r="F61" s="287">
        <f>F14+F16+F18+F20+F22+F24+F26+F28+F29+F31+F33+F35+F36+F37+F39+F40+F41+F42+F44+F45+F46+F47+F48</f>
        <v>5270.374999999999</v>
      </c>
      <c r="G61" s="287">
        <f>G14+G16+G18+G20+G22+G24+G26+G29+G31+G33+G35+G36</f>
        <v>0</v>
      </c>
      <c r="H61" s="287">
        <f>H14+H16+H18+H20+H22+H24+H26+H29+H31+H33+H35+H36</f>
        <v>0</v>
      </c>
      <c r="I61" s="287">
        <f>I14+I16+I18+I20+I22+I24+I26+I29+I31+I33+I35+I36</f>
        <v>0</v>
      </c>
      <c r="J61" s="287">
        <f>J14+J16+J18+J20+J22+J24+J26+J29+J31+J33+J35+J36+J37+J39+J40+J41+J42+J44+J45+J46+J47+J49+J50+J51+J52+J53+J15+J17+J19+J21+J23+J25+J27+J30+J32+J34+J38+J43+J48+J54+J55+J56+J57+J58+J59+J60</f>
        <v>6605.592</v>
      </c>
      <c r="K61" s="71"/>
      <c r="L61" s="15"/>
    </row>
    <row r="62" spans="1:12" ht="15.75">
      <c r="A62" s="40"/>
      <c r="B62" s="18"/>
      <c r="C62" s="18"/>
      <c r="D62" s="89"/>
      <c r="E62" s="89"/>
      <c r="F62" s="89"/>
      <c r="G62" s="89"/>
      <c r="H62" s="89"/>
      <c r="I62" s="89"/>
      <c r="J62" s="89"/>
      <c r="K62" s="20"/>
      <c r="L62" s="15"/>
    </row>
    <row r="63" spans="1:12" ht="15.75" hidden="1">
      <c r="A63" s="40"/>
      <c r="B63" s="18"/>
      <c r="C63" s="18"/>
      <c r="D63" s="89"/>
      <c r="E63" s="89"/>
      <c r="F63" s="89"/>
      <c r="G63" s="89"/>
      <c r="H63" s="89"/>
      <c r="I63" s="89"/>
      <c r="J63" s="89"/>
      <c r="K63" s="20"/>
      <c r="L63" s="15"/>
    </row>
    <row r="64" spans="1:13" s="90" customFormat="1" ht="18.75" customHeight="1">
      <c r="A64" s="14"/>
      <c r="B64" s="18"/>
      <c r="C64" s="18"/>
      <c r="D64" s="19"/>
      <c r="E64" s="19"/>
      <c r="F64" s="19"/>
      <c r="G64" s="19"/>
      <c r="H64" s="19"/>
      <c r="I64" s="19"/>
      <c r="J64" s="19"/>
      <c r="K64" s="20"/>
      <c r="L64" s="94" t="s">
        <v>7</v>
      </c>
      <c r="M64" s="93"/>
    </row>
    <row r="65" spans="1:13" s="90" customFormat="1" ht="18.75" customHeight="1">
      <c r="A65" s="14"/>
      <c r="B65" s="51"/>
      <c r="C65" s="52"/>
      <c r="D65" s="14"/>
      <c r="E65" s="19"/>
      <c r="F65" s="19"/>
      <c r="G65" s="19"/>
      <c r="H65" s="19"/>
      <c r="I65" s="19"/>
      <c r="J65" s="19"/>
      <c r="K65" s="52"/>
      <c r="L65" s="94"/>
      <c r="M65" s="93"/>
    </row>
    <row r="66" spans="2:12" s="90" customFormat="1" ht="33" customHeight="1">
      <c r="B66" s="357" t="s">
        <v>18</v>
      </c>
      <c r="C66" s="357"/>
      <c r="E66" s="357"/>
      <c r="F66" s="866" t="s">
        <v>30</v>
      </c>
      <c r="G66" s="866"/>
      <c r="H66" s="866"/>
      <c r="I66" s="866"/>
      <c r="J66" s="866"/>
      <c r="K66" s="93"/>
      <c r="L66" s="98"/>
    </row>
    <row r="67" spans="2:14" s="90" customFormat="1" ht="13.5" customHeight="1">
      <c r="B67" s="91"/>
      <c r="C67" s="91"/>
      <c r="E67" s="91"/>
      <c r="F67" s="92"/>
      <c r="G67" s="92"/>
      <c r="H67" s="92"/>
      <c r="I67" s="92"/>
      <c r="J67" s="92"/>
      <c r="K67" s="93"/>
      <c r="L67" s="98"/>
      <c r="N67" s="100"/>
    </row>
    <row r="68" spans="1:11" ht="18.75">
      <c r="A68" s="90"/>
      <c r="B68" s="140" t="s">
        <v>558</v>
      </c>
      <c r="C68" s="95"/>
      <c r="D68" s="90"/>
      <c r="E68" s="96"/>
      <c r="F68" s="97"/>
      <c r="G68" s="97"/>
      <c r="H68" s="97"/>
      <c r="I68" s="97"/>
      <c r="J68" s="97"/>
      <c r="K68" s="98"/>
    </row>
    <row r="69" spans="1:11" ht="15.75">
      <c r="A69" s="90"/>
      <c r="B69" s="139"/>
      <c r="C69" s="90"/>
      <c r="D69" s="99"/>
      <c r="E69" s="97"/>
      <c r="F69" s="97"/>
      <c r="G69" s="97"/>
      <c r="H69" s="97"/>
      <c r="I69" s="97"/>
      <c r="J69" s="97"/>
      <c r="K69" s="98"/>
    </row>
    <row r="70" spans="2:11" ht="15.75">
      <c r="B70" s="28"/>
      <c r="C70" s="29"/>
      <c r="D70" s="30"/>
      <c r="E70" s="26"/>
      <c r="F70" s="26"/>
      <c r="G70" s="26"/>
      <c r="H70" s="26"/>
      <c r="I70" s="26"/>
      <c r="J70" s="15"/>
      <c r="K70" s="15"/>
    </row>
    <row r="71" spans="3:10" ht="15.75">
      <c r="C71" s="30"/>
      <c r="D71" s="26"/>
      <c r="E71" s="26"/>
      <c r="F71" s="26"/>
      <c r="G71" s="26"/>
      <c r="H71" s="26"/>
      <c r="I71" s="26"/>
      <c r="J71" s="26"/>
    </row>
    <row r="72" spans="3:10" ht="15.75">
      <c r="C72" s="31"/>
      <c r="D72" s="26"/>
      <c r="E72" s="26"/>
      <c r="F72" s="26"/>
      <c r="G72" s="26"/>
      <c r="H72" s="26"/>
      <c r="I72" s="26"/>
      <c r="J72" s="26"/>
    </row>
    <row r="74" ht="12.75">
      <c r="H74" s="32"/>
    </row>
  </sheetData>
  <sheetProtection/>
  <mergeCells count="50">
    <mergeCell ref="J1:K1"/>
    <mergeCell ref="J2:K2"/>
    <mergeCell ref="B9:K9"/>
    <mergeCell ref="D10:H10"/>
    <mergeCell ref="A11:A13"/>
    <mergeCell ref="B11:B13"/>
    <mergeCell ref="C11:C13"/>
    <mergeCell ref="D11:D13"/>
    <mergeCell ref="E11:J11"/>
    <mergeCell ref="F66:J66"/>
    <mergeCell ref="K11:K13"/>
    <mergeCell ref="E12:E13"/>
    <mergeCell ref="F12:F13"/>
    <mergeCell ref="G12:G13"/>
    <mergeCell ref="H12:H13"/>
    <mergeCell ref="I12:I13"/>
    <mergeCell ref="J12:J13"/>
    <mergeCell ref="A14:A15"/>
    <mergeCell ref="B14:B15"/>
    <mergeCell ref="K14:K15"/>
    <mergeCell ref="A16:A17"/>
    <mergeCell ref="B16:B17"/>
    <mergeCell ref="K16:K17"/>
    <mergeCell ref="A18:A19"/>
    <mergeCell ref="B18:B19"/>
    <mergeCell ref="K18:K19"/>
    <mergeCell ref="A20:A21"/>
    <mergeCell ref="B20:B21"/>
    <mergeCell ref="A22:A23"/>
    <mergeCell ref="B22:B23"/>
    <mergeCell ref="A24:A25"/>
    <mergeCell ref="B24:B25"/>
    <mergeCell ref="A26:A27"/>
    <mergeCell ref="B26:B27"/>
    <mergeCell ref="K20:K27"/>
    <mergeCell ref="A29:A30"/>
    <mergeCell ref="B29:B30"/>
    <mergeCell ref="K29:K30"/>
    <mergeCell ref="A31:A32"/>
    <mergeCell ref="B31:B32"/>
    <mergeCell ref="K31:K32"/>
    <mergeCell ref="A33:A34"/>
    <mergeCell ref="B33:B34"/>
    <mergeCell ref="K33:K34"/>
    <mergeCell ref="A37:A38"/>
    <mergeCell ref="B37:B38"/>
    <mergeCell ref="K37:K38"/>
    <mergeCell ref="A42:A43"/>
    <mergeCell ref="B42:B43"/>
    <mergeCell ref="K42:K43"/>
  </mergeCells>
  <printOptions horizontalCentered="1"/>
  <pageMargins left="0" right="0" top="1.1811023622047245" bottom="0" header="0" footer="0"/>
  <pageSetup fitToHeight="2" fitToWidth="1" horizontalDpi="600" verticalDpi="600" orientation="landscape" paperSize="9" scale="40" r:id="rId1"/>
  <rowBreaks count="1" manualBreakCount="1">
    <brk id="68" max="10" man="1"/>
  </rowBreaks>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K57"/>
  <sheetViews>
    <sheetView zoomScaleSheetLayoutView="83" zoomScalePageLayoutView="75" workbookViewId="0" topLeftCell="A1">
      <selection activeCell="D21" sqref="D21"/>
    </sheetView>
  </sheetViews>
  <sheetFormatPr defaultColWidth="9.140625" defaultRowHeight="12.75"/>
  <cols>
    <col min="1" max="1" width="7.85156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878" t="s">
        <v>450</v>
      </c>
      <c r="K1" s="878"/>
    </row>
    <row r="2" spans="2:11" ht="12.75" customHeight="1">
      <c r="B2" s="1"/>
      <c r="C2" s="1"/>
      <c r="D2" s="1"/>
      <c r="E2" s="1"/>
      <c r="F2" s="1"/>
      <c r="G2" s="1"/>
      <c r="H2" s="1"/>
      <c r="I2" s="3" t="s">
        <v>11</v>
      </c>
      <c r="J2" s="879" t="s">
        <v>11</v>
      </c>
      <c r="K2" s="879"/>
    </row>
    <row r="3" spans="2:11" ht="12.75" customHeight="1">
      <c r="B3" s="1"/>
      <c r="C3" s="1"/>
      <c r="D3" s="1"/>
      <c r="E3" s="1"/>
      <c r="F3" s="1"/>
      <c r="G3" s="1"/>
      <c r="H3" s="1"/>
      <c r="I3" s="3"/>
      <c r="J3" s="3" t="s">
        <v>291</v>
      </c>
      <c r="K3" s="3"/>
    </row>
    <row r="4" spans="2:11" ht="12" customHeight="1">
      <c r="B4" s="1"/>
      <c r="C4" s="1"/>
      <c r="D4" s="1"/>
      <c r="E4" s="1"/>
      <c r="F4" s="1"/>
      <c r="G4" s="1"/>
      <c r="H4" s="1"/>
      <c r="I4" s="3" t="s">
        <v>21</v>
      </c>
      <c r="J4" s="3" t="s">
        <v>575</v>
      </c>
      <c r="K4" s="3"/>
    </row>
    <row r="5" spans="2:11" ht="12.75" customHeight="1">
      <c r="B5" s="1"/>
      <c r="C5" s="1"/>
      <c r="D5" s="1"/>
      <c r="E5" s="1"/>
      <c r="F5" s="1"/>
      <c r="G5" s="1"/>
      <c r="H5" s="1"/>
      <c r="I5" s="3" t="s">
        <v>23</v>
      </c>
      <c r="J5" s="3" t="s">
        <v>569</v>
      </c>
      <c r="K5" s="3"/>
    </row>
    <row r="6" spans="2:11" ht="12.75" customHeight="1">
      <c r="B6" s="1"/>
      <c r="C6" s="1"/>
      <c r="D6" s="1"/>
      <c r="E6" s="1"/>
      <c r="F6" s="1"/>
      <c r="G6" s="1"/>
      <c r="H6" s="1"/>
      <c r="I6" s="3"/>
      <c r="J6" s="3" t="s">
        <v>563</v>
      </c>
      <c r="K6" s="3"/>
    </row>
    <row r="7" spans="9:11" s="388" customFormat="1" ht="15" customHeight="1">
      <c r="I7" s="55" t="s">
        <v>24</v>
      </c>
      <c r="J7" s="879" t="s">
        <v>564</v>
      </c>
      <c r="K7" s="879"/>
    </row>
    <row r="8" spans="9:11" s="388" customFormat="1" ht="15" customHeight="1">
      <c r="I8" s="55"/>
      <c r="J8" s="3" t="s">
        <v>565</v>
      </c>
      <c r="K8" s="3"/>
    </row>
    <row r="9" spans="9:11" s="388" customFormat="1" ht="15" customHeight="1">
      <c r="I9" s="55" t="s">
        <v>25</v>
      </c>
      <c r="J9" s="768" t="s">
        <v>651</v>
      </c>
      <c r="K9" s="879"/>
    </row>
    <row r="10" spans="9:11" s="388" customFormat="1" ht="15.75" customHeight="1">
      <c r="I10" s="55"/>
      <c r="J10" s="768"/>
      <c r="K10" s="768"/>
    </row>
    <row r="11" spans="2:11" ht="15" customHeight="1">
      <c r="B11" s="1"/>
      <c r="C11" s="1"/>
      <c r="D11" s="1"/>
      <c r="E11" s="1"/>
      <c r="F11" s="1"/>
      <c r="G11" s="1"/>
      <c r="H11" s="1"/>
      <c r="I11" s="1"/>
      <c r="J11" s="1"/>
      <c r="K11" s="1"/>
    </row>
    <row r="12" spans="2:11" ht="6" customHeight="1">
      <c r="B12" s="1"/>
      <c r="C12" s="1"/>
      <c r="D12" s="1"/>
      <c r="E12" s="1"/>
      <c r="F12" s="1"/>
      <c r="G12" s="1"/>
      <c r="H12" s="1"/>
      <c r="I12" s="1"/>
      <c r="J12" s="388"/>
      <c r="K12" s="1"/>
    </row>
    <row r="13" spans="2:11" ht="34.5" customHeight="1">
      <c r="B13" s="815" t="s">
        <v>530</v>
      </c>
      <c r="C13" s="815"/>
      <c r="D13" s="815"/>
      <c r="E13" s="815"/>
      <c r="F13" s="815"/>
      <c r="G13" s="815"/>
      <c r="H13" s="815"/>
      <c r="I13" s="815"/>
      <c r="J13" s="815"/>
      <c r="K13" s="815"/>
    </row>
    <row r="14" spans="2:11" ht="15.75">
      <c r="B14" s="1"/>
      <c r="C14" s="1"/>
      <c r="D14" s="857"/>
      <c r="E14" s="857"/>
      <c r="F14" s="857"/>
      <c r="G14" s="857"/>
      <c r="H14" s="857"/>
      <c r="I14" s="1"/>
      <c r="J14" s="1"/>
      <c r="K14" s="45" t="s">
        <v>391</v>
      </c>
    </row>
    <row r="15" spans="1:11" ht="15" customHeight="1">
      <c r="A15" s="770" t="s">
        <v>6</v>
      </c>
      <c r="B15" s="770" t="s">
        <v>12</v>
      </c>
      <c r="C15" s="770" t="s">
        <v>398</v>
      </c>
      <c r="D15" s="770" t="s">
        <v>397</v>
      </c>
      <c r="E15" s="786" t="s">
        <v>9</v>
      </c>
      <c r="F15" s="786"/>
      <c r="G15" s="786"/>
      <c r="H15" s="786"/>
      <c r="I15" s="786"/>
      <c r="J15" s="849"/>
      <c r="K15" s="776" t="s">
        <v>15</v>
      </c>
    </row>
    <row r="16" spans="1:11" ht="12.75">
      <c r="A16" s="771"/>
      <c r="B16" s="771"/>
      <c r="C16" s="771"/>
      <c r="D16" s="771"/>
      <c r="E16" s="770" t="s">
        <v>399</v>
      </c>
      <c r="F16" s="770" t="s">
        <v>400</v>
      </c>
      <c r="G16" s="770" t="s">
        <v>27</v>
      </c>
      <c r="H16" s="770" t="s">
        <v>28</v>
      </c>
      <c r="I16" s="770" t="s">
        <v>29</v>
      </c>
      <c r="J16" s="776" t="s">
        <v>396</v>
      </c>
      <c r="K16" s="776"/>
    </row>
    <row r="17" spans="1:11" ht="18" customHeight="1">
      <c r="A17" s="772"/>
      <c r="B17" s="772"/>
      <c r="C17" s="772"/>
      <c r="D17" s="772"/>
      <c r="E17" s="772"/>
      <c r="F17" s="772"/>
      <c r="G17" s="772"/>
      <c r="H17" s="772"/>
      <c r="I17" s="772"/>
      <c r="J17" s="776"/>
      <c r="K17" s="776"/>
    </row>
    <row r="18" spans="1:11" ht="67.5" customHeight="1">
      <c r="A18" s="35">
        <v>1</v>
      </c>
      <c r="B18" s="164" t="s">
        <v>51</v>
      </c>
      <c r="C18" s="220" t="s">
        <v>16</v>
      </c>
      <c r="D18" s="125">
        <f>SUM(E18:J18)</f>
        <v>70</v>
      </c>
      <c r="E18" s="126">
        <v>70</v>
      </c>
      <c r="F18" s="126"/>
      <c r="G18" s="126"/>
      <c r="H18" s="126"/>
      <c r="I18" s="126"/>
      <c r="J18" s="126"/>
      <c r="K18" s="35" t="s">
        <v>48</v>
      </c>
    </row>
    <row r="19" spans="1:11" ht="40.5" customHeight="1">
      <c r="A19" s="773">
        <v>2</v>
      </c>
      <c r="B19" s="779" t="s">
        <v>230</v>
      </c>
      <c r="C19" s="220" t="s">
        <v>16</v>
      </c>
      <c r="D19" s="125">
        <f>SUM(E19:J19)</f>
        <v>15992</v>
      </c>
      <c r="E19" s="63">
        <v>5492</v>
      </c>
      <c r="F19" s="126">
        <f>6500+4000</f>
        <v>10500</v>
      </c>
      <c r="G19" s="126"/>
      <c r="H19" s="126"/>
      <c r="I19" s="126"/>
      <c r="J19" s="126"/>
      <c r="K19" s="773" t="s">
        <v>48</v>
      </c>
    </row>
    <row r="20" spans="1:11" ht="30" customHeight="1">
      <c r="A20" s="775"/>
      <c r="B20" s="780"/>
      <c r="C20" s="220" t="s">
        <v>539</v>
      </c>
      <c r="D20" s="125">
        <f>SUM(E20:J20)</f>
        <v>7000</v>
      </c>
      <c r="E20" s="63"/>
      <c r="F20" s="126"/>
      <c r="G20" s="126"/>
      <c r="H20" s="126"/>
      <c r="I20" s="126"/>
      <c r="J20" s="126">
        <v>7000</v>
      </c>
      <c r="K20" s="775"/>
    </row>
    <row r="21" spans="1:11" ht="67.5" customHeight="1">
      <c r="A21" s="35">
        <v>3</v>
      </c>
      <c r="B21" s="164" t="s">
        <v>52</v>
      </c>
      <c r="C21" s="220" t="s">
        <v>16</v>
      </c>
      <c r="D21" s="125">
        <f aca="true" t="shared" si="0" ref="D21:D45">SUM(E21:J21)</f>
        <v>350.4</v>
      </c>
      <c r="E21" s="126">
        <v>150.4</v>
      </c>
      <c r="F21" s="126">
        <v>200</v>
      </c>
      <c r="G21" s="126"/>
      <c r="H21" s="126"/>
      <c r="I21" s="126"/>
      <c r="J21" s="126"/>
      <c r="K21" s="35" t="s">
        <v>48</v>
      </c>
    </row>
    <row r="22" spans="1:11" ht="36" customHeight="1">
      <c r="A22" s="773">
        <v>4</v>
      </c>
      <c r="B22" s="779" t="s">
        <v>377</v>
      </c>
      <c r="C22" s="220" t="s">
        <v>16</v>
      </c>
      <c r="D22" s="125">
        <f t="shared" si="0"/>
        <v>230</v>
      </c>
      <c r="E22" s="125">
        <v>100</v>
      </c>
      <c r="F22" s="125">
        <f>130+20000-3000-9000-3000-3000-2000</f>
        <v>130</v>
      </c>
      <c r="G22" s="125"/>
      <c r="H22" s="125"/>
      <c r="I22" s="125"/>
      <c r="J22" s="125"/>
      <c r="K22" s="773" t="s">
        <v>48</v>
      </c>
    </row>
    <row r="23" spans="1:11" ht="33.75" customHeight="1">
      <c r="A23" s="775"/>
      <c r="B23" s="780"/>
      <c r="C23" s="220" t="s">
        <v>539</v>
      </c>
      <c r="D23" s="125">
        <f t="shared" si="0"/>
        <v>350</v>
      </c>
      <c r="E23" s="125"/>
      <c r="F23" s="125"/>
      <c r="G23" s="125"/>
      <c r="H23" s="125"/>
      <c r="I23" s="125"/>
      <c r="J23" s="125">
        <v>350</v>
      </c>
      <c r="K23" s="775"/>
    </row>
    <row r="24" spans="1:11" ht="31.5" customHeight="1">
      <c r="A24" s="773">
        <v>5</v>
      </c>
      <c r="B24" s="779" t="s">
        <v>467</v>
      </c>
      <c r="C24" s="220" t="s">
        <v>16</v>
      </c>
      <c r="D24" s="125">
        <f t="shared" si="0"/>
        <v>850</v>
      </c>
      <c r="E24" s="125">
        <v>400</v>
      </c>
      <c r="F24" s="125">
        <v>450</v>
      </c>
      <c r="G24" s="125"/>
      <c r="H24" s="125"/>
      <c r="I24" s="125"/>
      <c r="J24" s="125"/>
      <c r="K24" s="773" t="s">
        <v>48</v>
      </c>
    </row>
    <row r="25" spans="1:11" ht="32.25" customHeight="1">
      <c r="A25" s="775"/>
      <c r="B25" s="780"/>
      <c r="C25" s="220" t="s">
        <v>539</v>
      </c>
      <c r="D25" s="125">
        <f t="shared" si="0"/>
        <v>500</v>
      </c>
      <c r="E25" s="125"/>
      <c r="F25" s="125"/>
      <c r="G25" s="125"/>
      <c r="H25" s="125"/>
      <c r="I25" s="125"/>
      <c r="J25" s="125">
        <v>500</v>
      </c>
      <c r="K25" s="775"/>
    </row>
    <row r="26" spans="1:11" ht="35.25" customHeight="1">
      <c r="A26" s="773">
        <v>6</v>
      </c>
      <c r="B26" s="779" t="s">
        <v>53</v>
      </c>
      <c r="C26" s="220" t="s">
        <v>16</v>
      </c>
      <c r="D26" s="125">
        <f t="shared" si="0"/>
        <v>3250</v>
      </c>
      <c r="E26" s="36">
        <f>1000+700+50</f>
        <v>1750</v>
      </c>
      <c r="F26" s="125">
        <v>1500</v>
      </c>
      <c r="G26" s="125"/>
      <c r="H26" s="125"/>
      <c r="I26" s="125"/>
      <c r="J26" s="125"/>
      <c r="K26" s="773" t="s">
        <v>48</v>
      </c>
    </row>
    <row r="27" spans="1:11" ht="36.75" customHeight="1">
      <c r="A27" s="775"/>
      <c r="B27" s="780"/>
      <c r="C27" s="220" t="s">
        <v>539</v>
      </c>
      <c r="D27" s="125">
        <f t="shared" si="0"/>
        <v>2000</v>
      </c>
      <c r="E27" s="36"/>
      <c r="F27" s="125"/>
      <c r="G27" s="125"/>
      <c r="H27" s="125"/>
      <c r="I27" s="125"/>
      <c r="J27" s="125">
        <v>2000</v>
      </c>
      <c r="K27" s="775"/>
    </row>
    <row r="28" spans="1:11" ht="70.5" customHeight="1">
      <c r="A28" s="35">
        <v>7</v>
      </c>
      <c r="B28" s="164" t="s">
        <v>288</v>
      </c>
      <c r="C28" s="220" t="s">
        <v>16</v>
      </c>
      <c r="D28" s="125">
        <f t="shared" si="0"/>
        <v>790</v>
      </c>
      <c r="E28" s="36">
        <v>790</v>
      </c>
      <c r="F28" s="420"/>
      <c r="G28" s="125"/>
      <c r="H28" s="125"/>
      <c r="I28" s="125"/>
      <c r="J28" s="125"/>
      <c r="K28" s="35" t="s">
        <v>48</v>
      </c>
    </row>
    <row r="29" spans="1:11" ht="70.5" customHeight="1">
      <c r="A29" s="35">
        <v>8</v>
      </c>
      <c r="B29" s="164" t="s">
        <v>253</v>
      </c>
      <c r="C29" s="220" t="s">
        <v>16</v>
      </c>
      <c r="D29" s="125">
        <f t="shared" si="0"/>
        <v>1391</v>
      </c>
      <c r="E29" s="36">
        <v>320</v>
      </c>
      <c r="F29" s="125">
        <f>0+50</f>
        <v>50</v>
      </c>
      <c r="G29" s="125"/>
      <c r="H29" s="125"/>
      <c r="I29" s="125"/>
      <c r="J29" s="125">
        <v>1021</v>
      </c>
      <c r="K29" s="35" t="s">
        <v>48</v>
      </c>
    </row>
    <row r="30" spans="1:11" ht="36" customHeight="1">
      <c r="A30" s="773">
        <v>9</v>
      </c>
      <c r="B30" s="779" t="s">
        <v>254</v>
      </c>
      <c r="C30" s="285" t="s">
        <v>16</v>
      </c>
      <c r="D30" s="125">
        <f t="shared" si="0"/>
        <v>826</v>
      </c>
      <c r="E30" s="63">
        <f>240+90+8+38</f>
        <v>376</v>
      </c>
      <c r="F30" s="126">
        <f>0+190+140+120</f>
        <v>450</v>
      </c>
      <c r="G30" s="126"/>
      <c r="H30" s="126"/>
      <c r="I30" s="126"/>
      <c r="J30" s="126"/>
      <c r="K30" s="773" t="s">
        <v>48</v>
      </c>
    </row>
    <row r="31" spans="1:11" ht="30.75" customHeight="1">
      <c r="A31" s="775"/>
      <c r="B31" s="780"/>
      <c r="C31" s="285" t="s">
        <v>539</v>
      </c>
      <c r="D31" s="125">
        <f t="shared" si="0"/>
        <v>410</v>
      </c>
      <c r="E31" s="63"/>
      <c r="F31" s="126"/>
      <c r="G31" s="126"/>
      <c r="H31" s="126"/>
      <c r="I31" s="126"/>
      <c r="J31" s="126">
        <f>225+185</f>
        <v>410</v>
      </c>
      <c r="K31" s="775"/>
    </row>
    <row r="32" spans="1:11" ht="30.75" customHeight="1">
      <c r="A32" s="454">
        <v>10</v>
      </c>
      <c r="B32" s="453" t="s">
        <v>551</v>
      </c>
      <c r="C32" s="285"/>
      <c r="D32" s="125">
        <f>D33+D34</f>
        <v>93705</v>
      </c>
      <c r="E32" s="125">
        <f aca="true" t="shared" si="1" ref="E32:J32">E33+E34</f>
        <v>14000</v>
      </c>
      <c r="F32" s="125">
        <f t="shared" si="1"/>
        <v>45705</v>
      </c>
      <c r="G32" s="125">
        <f t="shared" si="1"/>
        <v>0</v>
      </c>
      <c r="H32" s="125">
        <f t="shared" si="1"/>
        <v>0</v>
      </c>
      <c r="I32" s="125">
        <f t="shared" si="1"/>
        <v>0</v>
      </c>
      <c r="J32" s="125">
        <f t="shared" si="1"/>
        <v>34000</v>
      </c>
      <c r="K32" s="773" t="s">
        <v>255</v>
      </c>
    </row>
    <row r="33" spans="1:11" ht="30" customHeight="1">
      <c r="A33" s="456" t="s">
        <v>552</v>
      </c>
      <c r="B33" s="164" t="s">
        <v>554</v>
      </c>
      <c r="C33" s="285" t="s">
        <v>16</v>
      </c>
      <c r="D33" s="125">
        <f t="shared" si="0"/>
        <v>59705</v>
      </c>
      <c r="E33" s="63">
        <f>3000+2000+3000+1000+3000+2000</f>
        <v>14000</v>
      </c>
      <c r="F33" s="126">
        <f>0+4000+2725+3000+9000+3000+3000+3000+3200+4000+3500+5000+2280</f>
        <v>45705</v>
      </c>
      <c r="G33" s="126"/>
      <c r="H33" s="126"/>
      <c r="I33" s="126"/>
      <c r="J33" s="126"/>
      <c r="K33" s="774"/>
    </row>
    <row r="34" spans="1:11" ht="36" customHeight="1">
      <c r="A34" s="456" t="s">
        <v>553</v>
      </c>
      <c r="B34" s="164" t="s">
        <v>555</v>
      </c>
      <c r="C34" s="285" t="s">
        <v>539</v>
      </c>
      <c r="D34" s="125">
        <f t="shared" si="0"/>
        <v>34000</v>
      </c>
      <c r="E34" s="63"/>
      <c r="F34" s="126"/>
      <c r="G34" s="126"/>
      <c r="H34" s="126"/>
      <c r="I34" s="126"/>
      <c r="J34" s="126">
        <f>26000+8000</f>
        <v>34000</v>
      </c>
      <c r="K34" s="775"/>
    </row>
    <row r="35" spans="1:11" ht="117.75" customHeight="1">
      <c r="A35" s="35">
        <v>11</v>
      </c>
      <c r="B35" s="421" t="s">
        <v>381</v>
      </c>
      <c r="C35" s="285" t="s">
        <v>16</v>
      </c>
      <c r="D35" s="125">
        <f t="shared" si="0"/>
        <v>123</v>
      </c>
      <c r="E35" s="63">
        <f>35+10</f>
        <v>45</v>
      </c>
      <c r="F35" s="126">
        <f>40+15+23</f>
        <v>78</v>
      </c>
      <c r="G35" s="126"/>
      <c r="H35" s="126"/>
      <c r="I35" s="126"/>
      <c r="J35" s="126"/>
      <c r="K35" s="35" t="s">
        <v>255</v>
      </c>
    </row>
    <row r="36" spans="1:11" ht="57" customHeight="1">
      <c r="A36" s="35">
        <v>12</v>
      </c>
      <c r="B36" s="164" t="s">
        <v>322</v>
      </c>
      <c r="C36" s="285" t="s">
        <v>16</v>
      </c>
      <c r="D36" s="125">
        <f t="shared" si="0"/>
        <v>1952</v>
      </c>
      <c r="E36" s="63"/>
      <c r="F36" s="126">
        <f>2300-80-190-40-15-23</f>
        <v>1952</v>
      </c>
      <c r="G36" s="126"/>
      <c r="H36" s="126"/>
      <c r="I36" s="126"/>
      <c r="J36" s="126"/>
      <c r="K36" s="35" t="s">
        <v>255</v>
      </c>
    </row>
    <row r="37" spans="1:11" ht="58.5" customHeight="1">
      <c r="A37" s="35">
        <v>13</v>
      </c>
      <c r="B37" s="164" t="s">
        <v>365</v>
      </c>
      <c r="C37" s="285" t="s">
        <v>16</v>
      </c>
      <c r="D37" s="125">
        <f t="shared" si="0"/>
        <v>920</v>
      </c>
      <c r="E37" s="63"/>
      <c r="F37" s="126">
        <f>3200-2280</f>
        <v>920</v>
      </c>
      <c r="G37" s="126"/>
      <c r="H37" s="126"/>
      <c r="I37" s="126"/>
      <c r="J37" s="126"/>
      <c r="K37" s="35" t="s">
        <v>255</v>
      </c>
    </row>
    <row r="38" spans="1:11" ht="55.5" customHeight="1">
      <c r="A38" s="35">
        <v>14</v>
      </c>
      <c r="B38" s="164" t="s">
        <v>373</v>
      </c>
      <c r="C38" s="285" t="s">
        <v>16</v>
      </c>
      <c r="D38" s="125">
        <f t="shared" si="0"/>
        <v>1000</v>
      </c>
      <c r="E38" s="63"/>
      <c r="F38" s="126">
        <f>0+1000</f>
        <v>1000</v>
      </c>
      <c r="G38" s="126"/>
      <c r="H38" s="126"/>
      <c r="I38" s="126"/>
      <c r="J38" s="126"/>
      <c r="K38" s="35" t="s">
        <v>255</v>
      </c>
    </row>
    <row r="39" spans="1:11" ht="53.25" customHeight="1">
      <c r="A39" s="35">
        <v>15</v>
      </c>
      <c r="B39" s="164" t="s">
        <v>382</v>
      </c>
      <c r="C39" s="285" t="s">
        <v>16</v>
      </c>
      <c r="D39" s="125">
        <f t="shared" si="0"/>
        <v>80</v>
      </c>
      <c r="E39" s="63"/>
      <c r="F39" s="126">
        <f>0+80</f>
        <v>80</v>
      </c>
      <c r="G39" s="126"/>
      <c r="H39" s="126"/>
      <c r="I39" s="126"/>
      <c r="J39" s="126"/>
      <c r="K39" s="35" t="s">
        <v>255</v>
      </c>
    </row>
    <row r="40" spans="1:11" ht="66.75" customHeight="1">
      <c r="A40" s="35">
        <v>16</v>
      </c>
      <c r="B40" s="425" t="s">
        <v>471</v>
      </c>
      <c r="C40" s="285" t="s">
        <v>16</v>
      </c>
      <c r="D40" s="125">
        <f t="shared" si="0"/>
        <v>0</v>
      </c>
      <c r="E40" s="63"/>
      <c r="F40" s="126">
        <f>0+1000-1000</f>
        <v>0</v>
      </c>
      <c r="G40" s="126"/>
      <c r="H40" s="126"/>
      <c r="I40" s="126"/>
      <c r="J40" s="126"/>
      <c r="K40" s="35" t="s">
        <v>255</v>
      </c>
    </row>
    <row r="41" spans="1:11" ht="57.75" customHeight="1">
      <c r="A41" s="773">
        <v>17</v>
      </c>
      <c r="B41" s="876" t="s">
        <v>480</v>
      </c>
      <c r="C41" s="285" t="s">
        <v>16</v>
      </c>
      <c r="D41" s="125">
        <f t="shared" si="0"/>
        <v>1000</v>
      </c>
      <c r="E41" s="63"/>
      <c r="F41" s="126">
        <f>0+1000</f>
        <v>1000</v>
      </c>
      <c r="G41" s="126"/>
      <c r="H41" s="126"/>
      <c r="I41" s="126"/>
      <c r="J41" s="126"/>
      <c r="K41" s="773" t="s">
        <v>255</v>
      </c>
    </row>
    <row r="42" spans="1:11" ht="57" customHeight="1">
      <c r="A42" s="775"/>
      <c r="B42" s="877"/>
      <c r="C42" s="285" t="s">
        <v>539</v>
      </c>
      <c r="D42" s="125">
        <f t="shared" si="0"/>
        <v>1000</v>
      </c>
      <c r="E42" s="63"/>
      <c r="F42" s="126"/>
      <c r="G42" s="126"/>
      <c r="H42" s="126"/>
      <c r="I42" s="126"/>
      <c r="J42" s="126">
        <v>1000</v>
      </c>
      <c r="K42" s="775"/>
    </row>
    <row r="43" spans="1:11" ht="12" customHeight="1" hidden="1">
      <c r="A43" s="773"/>
      <c r="B43" s="876"/>
      <c r="C43" s="285" t="s">
        <v>539</v>
      </c>
      <c r="D43" s="125">
        <f t="shared" si="0"/>
        <v>0</v>
      </c>
      <c r="E43" s="63"/>
      <c r="F43" s="126"/>
      <c r="G43" s="126"/>
      <c r="H43" s="126"/>
      <c r="I43" s="126"/>
      <c r="J43" s="126"/>
      <c r="K43" s="773"/>
    </row>
    <row r="44" spans="1:11" ht="15" customHeight="1" hidden="1">
      <c r="A44" s="775"/>
      <c r="B44" s="877"/>
      <c r="C44" s="285" t="s">
        <v>539</v>
      </c>
      <c r="D44" s="125">
        <f t="shared" si="0"/>
        <v>0</v>
      </c>
      <c r="E44" s="63"/>
      <c r="F44" s="126"/>
      <c r="G44" s="126"/>
      <c r="H44" s="126"/>
      <c r="I44" s="126"/>
      <c r="J44" s="126"/>
      <c r="K44" s="775"/>
    </row>
    <row r="45" spans="1:11" ht="57" customHeight="1">
      <c r="A45" s="268">
        <v>18</v>
      </c>
      <c r="B45" s="485" t="s">
        <v>626</v>
      </c>
      <c r="C45" s="285" t="s">
        <v>539</v>
      </c>
      <c r="D45" s="125">
        <f t="shared" si="0"/>
        <v>80</v>
      </c>
      <c r="E45" s="63"/>
      <c r="F45" s="126"/>
      <c r="G45" s="126"/>
      <c r="H45" s="126"/>
      <c r="I45" s="126"/>
      <c r="J45" s="126">
        <v>80</v>
      </c>
      <c r="K45" s="268" t="s">
        <v>255</v>
      </c>
    </row>
    <row r="46" spans="1:11" ht="29.25" customHeight="1">
      <c r="A46" s="81"/>
      <c r="B46" s="56" t="s">
        <v>5</v>
      </c>
      <c r="C46" s="57"/>
      <c r="D46" s="79">
        <f>D18+D19+D21+D22+D26+D28+D29+D30+D33+D35+D24+D36+D37+D38+D39+D40+D41+D43+D20+D23+D25+D27+D31+D34+D42+D44+D45</f>
        <v>133869.4</v>
      </c>
      <c r="E46" s="79">
        <f>E18+E19+E21+E22+E26+E28+E29+E30+E33+E35+E24</f>
        <v>23493.4</v>
      </c>
      <c r="F46" s="79">
        <f>F18+F19+F21+F22+F26+F28+F29+F30+F33+F35+F24+F36+F37+F38+F39+F40+F41</f>
        <v>64015</v>
      </c>
      <c r="G46" s="79" t="e">
        <f>G18+G19+G21+G22+G26+#REF!+G28+G29+G30+G33+G35+G24</f>
        <v>#REF!</v>
      </c>
      <c r="H46" s="79" t="e">
        <f>H18+H19+H21+H22+H26+#REF!+H28+H29+H30+H33+H35+H24</f>
        <v>#REF!</v>
      </c>
      <c r="I46" s="79" t="e">
        <f>I18+I19+I21+I22+I26+#REF!+I28+I29+I30+I33+I35+I24</f>
        <v>#REF!</v>
      </c>
      <c r="J46" s="79">
        <f>J18+J19+J21+J22+J26+J28+J29+J30+J33+J35+J24+J41+J43+J20+J23+J25+J27+J31+J34+J42+J44+J45</f>
        <v>46361</v>
      </c>
      <c r="K46" s="80"/>
    </row>
    <row r="47" spans="1:11" ht="15.75">
      <c r="A47" s="50"/>
      <c r="B47" s="4"/>
      <c r="C47" s="4"/>
      <c r="D47" s="6"/>
      <c r="E47" s="6"/>
      <c r="F47" s="6"/>
      <c r="G47" s="6"/>
      <c r="H47" s="6"/>
      <c r="I47" s="6"/>
      <c r="J47" s="6"/>
      <c r="K47" s="41"/>
    </row>
    <row r="48" spans="2:11" ht="15.75">
      <c r="B48" s="4"/>
      <c r="C48" s="4"/>
      <c r="D48" s="6"/>
      <c r="E48" s="6"/>
      <c r="F48" s="6"/>
      <c r="G48" s="6"/>
      <c r="H48" s="6"/>
      <c r="I48" s="6"/>
      <c r="J48" s="6"/>
      <c r="K48" s="41"/>
    </row>
    <row r="49" spans="2:11" ht="20.25" customHeight="1">
      <c r="B49" s="809" t="s">
        <v>18</v>
      </c>
      <c r="C49" s="809"/>
      <c r="D49" s="362"/>
      <c r="E49" s="8"/>
      <c r="F49" s="8"/>
      <c r="G49" s="9"/>
      <c r="H49" s="9"/>
      <c r="I49" s="9"/>
      <c r="J49" s="47"/>
      <c r="K49" s="47" t="s">
        <v>30</v>
      </c>
    </row>
    <row r="50" spans="2:11" ht="6.75" customHeight="1">
      <c r="B50" s="362"/>
      <c r="C50" s="362"/>
      <c r="D50" s="362"/>
      <c r="E50" s="8"/>
      <c r="F50" s="8"/>
      <c r="G50" s="9"/>
      <c r="H50" s="9"/>
      <c r="I50" s="9"/>
      <c r="J50" s="47"/>
      <c r="K50" s="47"/>
    </row>
    <row r="51" spans="2:11" ht="15.75" customHeight="1">
      <c r="B51" s="853" t="s">
        <v>558</v>
      </c>
      <c r="C51" s="853"/>
      <c r="D51" s="48"/>
      <c r="E51" s="7"/>
      <c r="F51" s="7"/>
      <c r="G51" s="7"/>
      <c r="H51" s="7"/>
      <c r="I51" s="7"/>
      <c r="J51" s="1"/>
      <c r="K51" s="1"/>
    </row>
    <row r="52" spans="2:11" ht="13.5" customHeight="1">
      <c r="B52" s="166" t="s">
        <v>10</v>
      </c>
      <c r="C52" s="166"/>
      <c r="D52" s="7"/>
      <c r="E52" s="7"/>
      <c r="F52" s="7"/>
      <c r="G52" s="7"/>
      <c r="H52" s="7"/>
      <c r="I52" s="7"/>
      <c r="J52" s="1"/>
      <c r="K52" s="1"/>
    </row>
    <row r="53" spans="2:11" ht="15.75">
      <c r="B53" s="42"/>
      <c r="C53" s="10"/>
      <c r="D53" s="43"/>
      <c r="E53" s="7"/>
      <c r="F53" s="7"/>
      <c r="G53" s="7"/>
      <c r="H53" s="7"/>
      <c r="I53" s="7"/>
      <c r="J53" s="1"/>
      <c r="K53" s="1"/>
    </row>
    <row r="54" spans="3:10" ht="15.75">
      <c r="C54" s="43"/>
      <c r="D54" s="7"/>
      <c r="E54" s="7"/>
      <c r="F54" s="7"/>
      <c r="G54" s="7"/>
      <c r="H54" s="7"/>
      <c r="I54" s="7"/>
      <c r="J54" s="7"/>
    </row>
    <row r="55" spans="3:10" ht="15.75">
      <c r="C55" s="44"/>
      <c r="D55" s="7"/>
      <c r="E55" s="7"/>
      <c r="F55" s="7"/>
      <c r="G55" s="7"/>
      <c r="H55" s="7"/>
      <c r="I55" s="7"/>
      <c r="J55" s="7"/>
    </row>
    <row r="57" ht="12.75">
      <c r="H57" s="5"/>
    </row>
  </sheetData>
  <sheetProtection/>
  <mergeCells count="43">
    <mergeCell ref="A19:A20"/>
    <mergeCell ref="B19:B20"/>
    <mergeCell ref="K19:K20"/>
    <mergeCell ref="J1:K1"/>
    <mergeCell ref="J2:K2"/>
    <mergeCell ref="J9:K9"/>
    <mergeCell ref="B13:K13"/>
    <mergeCell ref="D14:H14"/>
    <mergeCell ref="F16:F17"/>
    <mergeCell ref="J7:K7"/>
    <mergeCell ref="J10:K10"/>
    <mergeCell ref="B51:C51"/>
    <mergeCell ref="G16:G17"/>
    <mergeCell ref="H16:H17"/>
    <mergeCell ref="B49:C49"/>
    <mergeCell ref="I16:I17"/>
    <mergeCell ref="J16:J17"/>
    <mergeCell ref="K32:K34"/>
    <mergeCell ref="A15:A17"/>
    <mergeCell ref="B15:B17"/>
    <mergeCell ref="C15:C17"/>
    <mergeCell ref="D15:D17"/>
    <mergeCell ref="E15:J15"/>
    <mergeCell ref="K15:K17"/>
    <mergeCell ref="E16:E17"/>
    <mergeCell ref="A22:A23"/>
    <mergeCell ref="B22:B23"/>
    <mergeCell ref="K22:K23"/>
    <mergeCell ref="A24:A25"/>
    <mergeCell ref="B24:B25"/>
    <mergeCell ref="K24:K25"/>
    <mergeCell ref="A26:A27"/>
    <mergeCell ref="B26:B27"/>
    <mergeCell ref="K26:K27"/>
    <mergeCell ref="A30:A31"/>
    <mergeCell ref="B30:B31"/>
    <mergeCell ref="K30:K31"/>
    <mergeCell ref="A43:A44"/>
    <mergeCell ref="B43:B44"/>
    <mergeCell ref="K43:K44"/>
    <mergeCell ref="A41:A42"/>
    <mergeCell ref="B41:B42"/>
    <mergeCell ref="K41:K42"/>
  </mergeCells>
  <printOptions horizontalCentered="1"/>
  <pageMargins left="1.1811023622047245" right="0.5905511811023623" top="0.984251968503937" bottom="0.5905511811023623" header="0" footer="0"/>
  <pageSetup fitToHeight="0"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324" customWidth="1"/>
    <col min="2" max="2" width="61.57421875" style="324" customWidth="1"/>
    <col min="3" max="3" width="13.421875" style="324" hidden="1" customWidth="1"/>
    <col min="4" max="4" width="16.421875" style="324" customWidth="1"/>
    <col min="5" max="6" width="15.7109375" style="324" customWidth="1"/>
    <col min="7" max="7" width="47.8515625" style="324" customWidth="1"/>
    <col min="8" max="8" width="65.57421875" style="324" customWidth="1"/>
    <col min="9" max="9" width="15.7109375" style="324" customWidth="1"/>
    <col min="10" max="10" width="16.00390625" style="324" customWidth="1"/>
    <col min="11" max="11" width="14.140625" style="324" customWidth="1"/>
    <col min="12" max="12" width="12.421875" style="324" hidden="1" customWidth="1"/>
    <col min="13" max="13" width="14.8515625" style="324" customWidth="1"/>
    <col min="14" max="14" width="14.28125" style="324" customWidth="1"/>
    <col min="15" max="15" width="27.7109375" style="324" customWidth="1"/>
    <col min="16" max="16" width="19.140625" style="324" customWidth="1"/>
    <col min="17" max="17" width="15.140625" style="324" customWidth="1"/>
    <col min="18" max="18" width="14.140625" style="324" customWidth="1"/>
    <col min="19" max="19" width="17.28125" style="324" customWidth="1"/>
    <col min="20" max="20" width="13.8515625" style="324" customWidth="1"/>
  </cols>
  <sheetData>
    <row r="1" ht="11.25" customHeight="1"/>
    <row r="2" spans="1:12" s="324" customFormat="1" ht="42" customHeight="1">
      <c r="A2" s="747" t="s">
        <v>411</v>
      </c>
      <c r="B2" s="747"/>
      <c r="C2" s="747"/>
      <c r="D2" s="747"/>
      <c r="E2" s="747"/>
      <c r="F2" s="747"/>
      <c r="G2" s="747"/>
      <c r="H2" s="747"/>
      <c r="I2" s="346"/>
      <c r="J2" s="346"/>
      <c r="K2" s="346"/>
      <c r="L2" s="346"/>
    </row>
    <row r="3" spans="1:12" s="324" customFormat="1" ht="12.75" customHeight="1">
      <c r="A3" s="312"/>
      <c r="B3" s="312"/>
      <c r="C3" s="312"/>
      <c r="D3" s="347"/>
      <c r="E3" s="312"/>
      <c r="F3" s="312"/>
      <c r="G3" s="346"/>
      <c r="H3" s="411" t="s">
        <v>391</v>
      </c>
      <c r="I3" s="346"/>
      <c r="J3" s="346"/>
      <c r="K3" s="346"/>
      <c r="L3" s="346"/>
    </row>
    <row r="4" spans="1:12" s="324" customFormat="1" ht="6" customHeight="1">
      <c r="A4" s="312"/>
      <c r="B4" s="312"/>
      <c r="C4" s="312"/>
      <c r="D4" s="347"/>
      <c r="E4" s="312"/>
      <c r="F4" s="312"/>
      <c r="G4" s="346"/>
      <c r="H4" s="346"/>
      <c r="I4" s="346"/>
      <c r="J4" s="346"/>
      <c r="K4" s="346"/>
      <c r="L4" s="346"/>
    </row>
    <row r="5" spans="1:12" s="324" customFormat="1" ht="37.5" customHeight="1">
      <c r="A5" s="754" t="s">
        <v>6</v>
      </c>
      <c r="B5" s="736" t="s">
        <v>120</v>
      </c>
      <c r="C5" s="736" t="s">
        <v>13</v>
      </c>
      <c r="D5" s="473" t="s">
        <v>315</v>
      </c>
      <c r="E5" s="473" t="s">
        <v>316</v>
      </c>
      <c r="F5" s="736" t="s">
        <v>386</v>
      </c>
      <c r="G5" s="736" t="s">
        <v>385</v>
      </c>
      <c r="H5" s="472" t="s">
        <v>317</v>
      </c>
      <c r="I5" s="346"/>
      <c r="J5" s="346"/>
      <c r="K5" s="346"/>
      <c r="L5" s="346"/>
    </row>
    <row r="6" spans="1:12" s="324" customFormat="1" ht="15" customHeight="1">
      <c r="A6" s="754"/>
      <c r="B6" s="737"/>
      <c r="C6" s="737"/>
      <c r="D6" s="736">
        <v>2020</v>
      </c>
      <c r="E6" s="736">
        <v>2020</v>
      </c>
      <c r="F6" s="737"/>
      <c r="G6" s="737"/>
      <c r="H6" s="393"/>
      <c r="I6" s="346"/>
      <c r="J6" s="346"/>
      <c r="K6" s="346"/>
      <c r="L6" s="346"/>
    </row>
    <row r="7" spans="1:12" s="324" customFormat="1" ht="15" customHeight="1">
      <c r="A7" s="754"/>
      <c r="B7" s="738"/>
      <c r="C7" s="738"/>
      <c r="D7" s="738"/>
      <c r="E7" s="738"/>
      <c r="F7" s="738"/>
      <c r="G7" s="738"/>
      <c r="H7" s="394"/>
      <c r="I7" s="346"/>
      <c r="J7" s="346"/>
      <c r="K7" s="346"/>
      <c r="L7" s="346"/>
    </row>
    <row r="8" spans="1:12" s="324" customFormat="1" ht="51" customHeight="1">
      <c r="A8" s="220">
        <v>1</v>
      </c>
      <c r="B8" s="158" t="s">
        <v>442</v>
      </c>
      <c r="C8" s="474" t="s">
        <v>16</v>
      </c>
      <c r="D8" s="326">
        <v>100</v>
      </c>
      <c r="E8" s="326">
        <f>100+E9+E10+E11</f>
        <v>9100</v>
      </c>
      <c r="F8" s="326">
        <f>E8-D8</f>
        <v>9000</v>
      </c>
      <c r="G8" s="755" t="s">
        <v>599</v>
      </c>
      <c r="H8" s="752" t="s">
        <v>600</v>
      </c>
      <c r="I8" s="346"/>
      <c r="J8" s="346"/>
      <c r="K8" s="346"/>
      <c r="L8" s="346"/>
    </row>
    <row r="9" spans="1:12" s="324" customFormat="1" ht="48.75" customHeight="1">
      <c r="A9" s="281" t="s">
        <v>248</v>
      </c>
      <c r="B9" s="468" t="s">
        <v>596</v>
      </c>
      <c r="C9" s="474"/>
      <c r="D9" s="326">
        <v>0</v>
      </c>
      <c r="E9" s="326">
        <v>2000</v>
      </c>
      <c r="F9" s="326">
        <f>E9-D9</f>
        <v>2000</v>
      </c>
      <c r="G9" s="756"/>
      <c r="H9" s="751"/>
      <c r="I9" s="346"/>
      <c r="J9" s="346"/>
      <c r="K9" s="346"/>
      <c r="L9" s="346"/>
    </row>
    <row r="10" spans="1:12" s="324" customFormat="1" ht="34.5" customHeight="1">
      <c r="A10" s="281" t="s">
        <v>260</v>
      </c>
      <c r="B10" s="468" t="s">
        <v>597</v>
      </c>
      <c r="C10" s="474"/>
      <c r="D10" s="326">
        <v>0</v>
      </c>
      <c r="E10" s="326">
        <v>6000</v>
      </c>
      <c r="F10" s="326">
        <f>E10-D10</f>
        <v>6000</v>
      </c>
      <c r="G10" s="756"/>
      <c r="H10" s="751"/>
      <c r="I10" s="346"/>
      <c r="J10" s="346"/>
      <c r="K10" s="346"/>
      <c r="L10" s="346"/>
    </row>
    <row r="11" spans="1:12" s="324" customFormat="1" ht="32.25" customHeight="1">
      <c r="A11" s="281" t="s">
        <v>262</v>
      </c>
      <c r="B11" s="468" t="s">
        <v>598</v>
      </c>
      <c r="C11" s="474"/>
      <c r="D11" s="326">
        <v>0</v>
      </c>
      <c r="E11" s="326">
        <v>1000</v>
      </c>
      <c r="F11" s="326">
        <f>E11-D11</f>
        <v>1000</v>
      </c>
      <c r="G11" s="757"/>
      <c r="H11" s="753"/>
      <c r="I11" s="346"/>
      <c r="J11" s="346"/>
      <c r="K11" s="346"/>
      <c r="L11" s="346"/>
    </row>
    <row r="12" spans="1:12" s="324" customFormat="1" ht="48.75" customHeight="1">
      <c r="A12" s="281" t="s">
        <v>601</v>
      </c>
      <c r="B12" s="158" t="s">
        <v>525</v>
      </c>
      <c r="C12" s="474"/>
      <c r="D12" s="326">
        <v>75377.3</v>
      </c>
      <c r="E12" s="326">
        <v>75487.3</v>
      </c>
      <c r="F12" s="326">
        <f>E12-D12</f>
        <v>110</v>
      </c>
      <c r="G12" s="755" t="s">
        <v>603</v>
      </c>
      <c r="H12" s="758" t="s">
        <v>595</v>
      </c>
      <c r="I12" s="346"/>
      <c r="J12" s="346"/>
      <c r="K12" s="346"/>
      <c r="L12" s="346"/>
    </row>
    <row r="13" spans="1:12" s="324" customFormat="1" ht="51.75" customHeight="1">
      <c r="A13" s="281" t="s">
        <v>356</v>
      </c>
      <c r="B13" s="468" t="s">
        <v>602</v>
      </c>
      <c r="C13" s="474"/>
      <c r="D13" s="326">
        <v>0</v>
      </c>
      <c r="E13" s="326">
        <v>110</v>
      </c>
      <c r="F13" s="326">
        <v>110</v>
      </c>
      <c r="G13" s="757"/>
      <c r="H13" s="758"/>
      <c r="I13" s="346"/>
      <c r="J13" s="346"/>
      <c r="K13" s="346"/>
      <c r="L13" s="346"/>
    </row>
    <row r="14" spans="1:12" s="324" customFormat="1" ht="18.75">
      <c r="A14" s="754" t="s">
        <v>5</v>
      </c>
      <c r="B14" s="754"/>
      <c r="C14" s="473"/>
      <c r="D14" s="129">
        <f>D8+D10+D12</f>
        <v>75477.3</v>
      </c>
      <c r="E14" s="129">
        <f>E8+E10+E12</f>
        <v>90587.3</v>
      </c>
      <c r="F14" s="129">
        <f>F8++F12</f>
        <v>9110</v>
      </c>
      <c r="G14" s="351"/>
      <c r="H14" s="351"/>
      <c r="I14" s="346"/>
      <c r="J14" s="346"/>
      <c r="K14" s="346"/>
      <c r="L14" s="346"/>
    </row>
    <row r="15" spans="1:12" s="324" customFormat="1" ht="15.75">
      <c r="A15" s="134"/>
      <c r="B15" s="134"/>
      <c r="C15" s="134"/>
      <c r="D15" s="134"/>
      <c r="E15" s="313"/>
      <c r="F15" s="313"/>
      <c r="G15" s="346"/>
      <c r="H15" s="346"/>
      <c r="I15" s="346"/>
      <c r="J15" s="346"/>
      <c r="K15" s="346"/>
      <c r="L15" s="346"/>
    </row>
    <row r="16" spans="1:12" s="324" customFormat="1" ht="15.75">
      <c r="A16" s="134"/>
      <c r="B16" s="134"/>
      <c r="C16" s="134"/>
      <c r="D16" s="134"/>
      <c r="E16" s="313"/>
      <c r="F16" s="313"/>
      <c r="G16" s="346"/>
      <c r="H16" s="346"/>
      <c r="I16" s="346"/>
      <c r="J16" s="346"/>
      <c r="K16" s="346"/>
      <c r="L16" s="346"/>
    </row>
    <row r="17" spans="1:12" s="324" customFormat="1" ht="15.75">
      <c r="A17" s="134"/>
      <c r="B17" s="134"/>
      <c r="C17" s="134"/>
      <c r="D17" s="134"/>
      <c r="E17" s="135"/>
      <c r="F17" s="135"/>
      <c r="G17" s="346"/>
      <c r="H17" s="346"/>
      <c r="I17" s="346"/>
      <c r="J17" s="346"/>
      <c r="K17" s="346"/>
      <c r="L17" s="346"/>
    </row>
    <row r="18" spans="1:12" s="324" customFormat="1" ht="33" customHeight="1">
      <c r="A18" s="748" t="s">
        <v>588</v>
      </c>
      <c r="B18" s="748"/>
      <c r="C18" s="748"/>
      <c r="D18" s="748"/>
      <c r="E18" s="170"/>
      <c r="F18" s="170"/>
      <c r="G18" s="67"/>
      <c r="H18" s="223" t="s">
        <v>589</v>
      </c>
      <c r="I18" s="346"/>
      <c r="J18" s="346"/>
      <c r="K18" s="346"/>
      <c r="L18" s="346"/>
    </row>
    <row r="19" spans="1:12" s="324" customFormat="1" ht="18.75">
      <c r="A19" s="353"/>
      <c r="B19" s="353"/>
      <c r="C19" s="353"/>
      <c r="D19" s="354"/>
      <c r="E19" s="135"/>
      <c r="F19" s="135"/>
      <c r="G19" s="320"/>
      <c r="H19" s="346"/>
      <c r="I19" s="346"/>
      <c r="J19" s="346"/>
      <c r="K19" s="346"/>
      <c r="L19" s="346"/>
    </row>
    <row r="20" spans="1:12" s="324" customFormat="1" ht="18.75">
      <c r="A20" s="735"/>
      <c r="B20" s="735"/>
      <c r="C20" s="471"/>
      <c r="D20" s="161"/>
      <c r="E20" s="355"/>
      <c r="F20" s="355"/>
      <c r="G20" s="346"/>
      <c r="H20" s="346"/>
      <c r="I20" s="346"/>
      <c r="J20" s="346"/>
      <c r="K20" s="346"/>
      <c r="L20" s="346"/>
    </row>
    <row r="21" s="324" customFormat="1" ht="15">
      <c r="A21" s="333"/>
    </row>
    <row r="22" s="324" customFormat="1" ht="15">
      <c r="A22" s="333"/>
    </row>
    <row r="23" s="324" customFormat="1" ht="15">
      <c r="A23" s="333"/>
    </row>
    <row r="24" s="324" customFormat="1" ht="15">
      <c r="A24" s="333"/>
    </row>
    <row r="25" s="324" customFormat="1" ht="15">
      <c r="A25" s="333"/>
    </row>
    <row r="26" s="324" customFormat="1" ht="15">
      <c r="A26" s="333"/>
    </row>
    <row r="27" s="324" customFormat="1" ht="15">
      <c r="A27" s="333"/>
    </row>
    <row r="28" s="324" customFormat="1" ht="15">
      <c r="A28" s="333"/>
    </row>
    <row r="29" s="324" customFormat="1" ht="15">
      <c r="A29" s="333"/>
    </row>
    <row r="30" s="324" customFormat="1" ht="15"/>
  </sheetData>
  <sheetProtection/>
  <mergeCells count="15">
    <mergeCell ref="A2:H2"/>
    <mergeCell ref="A5:A7"/>
    <mergeCell ref="B5:B7"/>
    <mergeCell ref="C5:C7"/>
    <mergeCell ref="F5:F7"/>
    <mergeCell ref="G5:G7"/>
    <mergeCell ref="D6:D7"/>
    <mergeCell ref="E6:E7"/>
    <mergeCell ref="A14:B14"/>
    <mergeCell ref="A18:D18"/>
    <mergeCell ref="A20:B20"/>
    <mergeCell ref="G8:G11"/>
    <mergeCell ref="H8:H11"/>
    <mergeCell ref="G12:G13"/>
    <mergeCell ref="H12:H13"/>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45"/>
  <sheetViews>
    <sheetView view="pageBreakPreview" zoomScale="82" zoomScaleSheetLayoutView="82" zoomScalePageLayoutView="0" workbookViewId="0" topLeftCell="A1">
      <selection activeCell="A1" sqref="A1:O39"/>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19</v>
      </c>
      <c r="J1" s="1" t="s">
        <v>449</v>
      </c>
      <c r="K1" s="513"/>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566</v>
      </c>
      <c r="K3" s="12"/>
      <c r="L3" s="15"/>
      <c r="M3" s="12"/>
      <c r="N3" s="12"/>
      <c r="O3" s="12"/>
    </row>
    <row r="4" spans="2:15" ht="15.75">
      <c r="B4" s="15"/>
      <c r="C4" s="15"/>
      <c r="D4" s="15"/>
      <c r="E4" s="15"/>
      <c r="F4" s="15"/>
      <c r="G4" s="15"/>
      <c r="H4" s="15"/>
      <c r="I4" s="12" t="s">
        <v>21</v>
      </c>
      <c r="J4" s="17" t="s">
        <v>567</v>
      </c>
      <c r="K4" s="17"/>
      <c r="L4" s="15"/>
      <c r="M4" s="12"/>
      <c r="N4" s="12"/>
      <c r="O4" s="12"/>
    </row>
    <row r="5" spans="2:15" ht="15.75">
      <c r="B5" s="15"/>
      <c r="C5" s="15"/>
      <c r="D5" s="15"/>
      <c r="E5" s="15"/>
      <c r="F5" s="15"/>
      <c r="G5" s="15"/>
      <c r="H5" s="15"/>
      <c r="I5" s="12" t="s">
        <v>23</v>
      </c>
      <c r="J5" s="17" t="s">
        <v>907</v>
      </c>
      <c r="K5" s="17"/>
      <c r="L5" s="15"/>
      <c r="M5" s="12"/>
      <c r="N5" s="12"/>
      <c r="O5" s="12"/>
    </row>
    <row r="6" spans="2:15" ht="15.75">
      <c r="B6" s="15"/>
      <c r="C6" s="15"/>
      <c r="D6" s="15"/>
      <c r="E6" s="15"/>
      <c r="F6" s="15"/>
      <c r="G6" s="15"/>
      <c r="H6" s="15"/>
      <c r="I6" s="12"/>
      <c r="J6" s="17" t="s">
        <v>927</v>
      </c>
      <c r="K6" s="17"/>
      <c r="L6" s="327"/>
      <c r="M6" s="12"/>
      <c r="N6" s="12"/>
      <c r="O6" s="12"/>
    </row>
    <row r="7" spans="2:15" ht="15.75" customHeight="1">
      <c r="B7" s="15"/>
      <c r="C7" s="15"/>
      <c r="D7" s="15"/>
      <c r="E7" s="15"/>
      <c r="F7" s="15"/>
      <c r="G7" s="15"/>
      <c r="H7" s="15"/>
      <c r="I7" s="12"/>
      <c r="J7" s="17" t="s">
        <v>928</v>
      </c>
      <c r="K7" s="17"/>
      <c r="L7" s="327"/>
      <c r="M7" s="12"/>
      <c r="N7" s="12"/>
      <c r="O7" s="12"/>
    </row>
    <row r="8" spans="2:15" ht="15.75">
      <c r="B8" s="15"/>
      <c r="C8" s="15"/>
      <c r="D8" s="15"/>
      <c r="E8" s="15"/>
      <c r="F8" s="15"/>
      <c r="G8" s="15"/>
      <c r="H8" s="16"/>
      <c r="I8" s="12" t="s">
        <v>24</v>
      </c>
      <c r="J8" s="768" t="s">
        <v>920</v>
      </c>
      <c r="K8" s="768"/>
      <c r="L8" s="768"/>
      <c r="M8" s="768"/>
      <c r="N8" s="768"/>
      <c r="O8" s="768"/>
    </row>
    <row r="9" spans="2:15" ht="15.75">
      <c r="B9" s="15"/>
      <c r="C9" s="15"/>
      <c r="D9" s="15"/>
      <c r="E9" s="15"/>
      <c r="F9" s="15"/>
      <c r="G9" s="15"/>
      <c r="H9" s="15"/>
      <c r="I9" s="15"/>
      <c r="J9" s="768" t="s">
        <v>941</v>
      </c>
      <c r="K9" s="768"/>
      <c r="L9" s="730"/>
      <c r="M9" s="730"/>
      <c r="N9" s="730"/>
      <c r="O9" s="730"/>
    </row>
    <row r="10" spans="2:15" ht="15.75">
      <c r="B10" s="15"/>
      <c r="C10" s="15"/>
      <c r="D10" s="15"/>
      <c r="E10" s="15"/>
      <c r="F10" s="15"/>
      <c r="G10" s="15"/>
      <c r="H10" s="15"/>
      <c r="I10" s="15"/>
      <c r="J10" s="730"/>
      <c r="K10" s="730"/>
      <c r="L10" s="730"/>
      <c r="M10" s="730"/>
      <c r="N10" s="730"/>
      <c r="O10" s="730"/>
    </row>
    <row r="11" spans="2:11" ht="18.75">
      <c r="B11" s="769" t="s">
        <v>820</v>
      </c>
      <c r="C11" s="769"/>
      <c r="D11" s="769"/>
      <c r="E11" s="769"/>
      <c r="F11" s="769"/>
      <c r="G11" s="769"/>
      <c r="H11" s="769"/>
      <c r="I11" s="769"/>
      <c r="J11" s="769"/>
      <c r="K11" s="769"/>
    </row>
    <row r="12" spans="2:11" ht="18.75">
      <c r="B12" s="15"/>
      <c r="C12" s="15"/>
      <c r="D12" s="785"/>
      <c r="E12" s="785"/>
      <c r="F12" s="785"/>
      <c r="G12" s="785"/>
      <c r="H12" s="785"/>
      <c r="I12" s="15"/>
      <c r="J12" s="15"/>
      <c r="K12" s="418" t="s">
        <v>426</v>
      </c>
    </row>
    <row r="13" spans="1:11" ht="18.75">
      <c r="A13" s="867" t="s">
        <v>6</v>
      </c>
      <c r="B13" s="770" t="s">
        <v>12</v>
      </c>
      <c r="C13" s="770" t="s">
        <v>13</v>
      </c>
      <c r="D13" s="770" t="s">
        <v>435</v>
      </c>
      <c r="E13" s="786" t="s">
        <v>9</v>
      </c>
      <c r="F13" s="786"/>
      <c r="G13" s="786"/>
      <c r="H13" s="786"/>
      <c r="I13" s="786"/>
      <c r="J13" s="849"/>
      <c r="K13" s="776" t="s">
        <v>15</v>
      </c>
    </row>
    <row r="14" spans="1:11" ht="17.25" customHeight="1">
      <c r="A14" s="868"/>
      <c r="B14" s="771"/>
      <c r="C14" s="771"/>
      <c r="D14" s="771"/>
      <c r="E14" s="770">
        <v>2021</v>
      </c>
      <c r="F14" s="770">
        <v>2022</v>
      </c>
      <c r="G14" s="770" t="s">
        <v>27</v>
      </c>
      <c r="H14" s="770" t="s">
        <v>28</v>
      </c>
      <c r="I14" s="770" t="s">
        <v>29</v>
      </c>
      <c r="J14" s="776">
        <v>2023</v>
      </c>
      <c r="K14" s="776"/>
    </row>
    <row r="15" spans="1:11" ht="27" customHeight="1">
      <c r="A15" s="869"/>
      <c r="B15" s="772"/>
      <c r="C15" s="772"/>
      <c r="D15" s="772"/>
      <c r="E15" s="772"/>
      <c r="F15" s="772"/>
      <c r="G15" s="772"/>
      <c r="H15" s="772"/>
      <c r="I15" s="772"/>
      <c r="J15" s="776"/>
      <c r="K15" s="776"/>
    </row>
    <row r="16" spans="1:11" s="16" customFormat="1" ht="65.25" customHeight="1">
      <c r="A16" s="273">
        <v>1</v>
      </c>
      <c r="B16" s="455" t="s">
        <v>742</v>
      </c>
      <c r="C16" s="220" t="s">
        <v>657</v>
      </c>
      <c r="D16" s="62">
        <f>SUM(E16:J16)</f>
        <v>42966.2</v>
      </c>
      <c r="E16" s="62">
        <v>13435.3</v>
      </c>
      <c r="F16" s="62">
        <v>14335.4</v>
      </c>
      <c r="G16" s="62"/>
      <c r="H16" s="62"/>
      <c r="I16" s="62"/>
      <c r="J16" s="62">
        <v>15195.5</v>
      </c>
      <c r="K16" s="507" t="s">
        <v>245</v>
      </c>
    </row>
    <row r="17" spans="1:11" ht="52.5" customHeight="1">
      <c r="A17" s="510" t="s">
        <v>601</v>
      </c>
      <c r="B17" s="509" t="s">
        <v>743</v>
      </c>
      <c r="C17" s="220" t="s">
        <v>657</v>
      </c>
      <c r="D17" s="514">
        <f>E17+F17+J17</f>
        <v>15990.1</v>
      </c>
      <c r="E17" s="63">
        <v>5000</v>
      </c>
      <c r="F17" s="514">
        <v>5335</v>
      </c>
      <c r="G17" s="514"/>
      <c r="H17" s="514"/>
      <c r="I17" s="514"/>
      <c r="J17" s="514">
        <v>5655.1</v>
      </c>
      <c r="K17" s="507" t="s">
        <v>245</v>
      </c>
    </row>
    <row r="18" spans="1:11" ht="75" hidden="1">
      <c r="A18" s="345" t="s">
        <v>260</v>
      </c>
      <c r="B18" s="283" t="s">
        <v>310</v>
      </c>
      <c r="C18" s="220" t="s">
        <v>62</v>
      </c>
      <c r="D18" s="512">
        <f aca="true" t="shared" si="0" ref="D18:D30">E18+F18+J18</f>
        <v>160</v>
      </c>
      <c r="E18" s="514">
        <f>160</f>
        <v>160</v>
      </c>
      <c r="F18" s="514">
        <v>0</v>
      </c>
      <c r="G18" s="514"/>
      <c r="H18" s="514"/>
      <c r="I18" s="514"/>
      <c r="J18" s="514">
        <v>0</v>
      </c>
      <c r="K18" s="282" t="s">
        <v>36</v>
      </c>
    </row>
    <row r="19" spans="1:11" ht="51.75" customHeight="1" hidden="1">
      <c r="A19" s="858" t="s">
        <v>262</v>
      </c>
      <c r="B19" s="864" t="s">
        <v>311</v>
      </c>
      <c r="C19" s="220" t="s">
        <v>62</v>
      </c>
      <c r="D19" s="512">
        <f t="shared" si="0"/>
        <v>548</v>
      </c>
      <c r="E19" s="514">
        <v>548</v>
      </c>
      <c r="F19" s="514">
        <v>0</v>
      </c>
      <c r="G19" s="514"/>
      <c r="H19" s="514"/>
      <c r="I19" s="514"/>
      <c r="J19" s="514">
        <v>0</v>
      </c>
      <c r="K19" s="779" t="s">
        <v>36</v>
      </c>
    </row>
    <row r="20" spans="1:11" ht="24" customHeight="1" hidden="1">
      <c r="A20" s="859"/>
      <c r="B20" s="865"/>
      <c r="C20" s="220" t="s">
        <v>16</v>
      </c>
      <c r="D20" s="512">
        <f t="shared" si="0"/>
        <v>16.5</v>
      </c>
      <c r="E20" s="514">
        <v>16.5</v>
      </c>
      <c r="F20" s="514">
        <v>0</v>
      </c>
      <c r="G20" s="514"/>
      <c r="H20" s="514"/>
      <c r="I20" s="514"/>
      <c r="J20" s="514">
        <v>0</v>
      </c>
      <c r="K20" s="780"/>
    </row>
    <row r="21" spans="1:11" ht="34.5" customHeight="1" hidden="1">
      <c r="A21" s="858" t="s">
        <v>263</v>
      </c>
      <c r="B21" s="862" t="s">
        <v>313</v>
      </c>
      <c r="C21" s="220" t="s">
        <v>62</v>
      </c>
      <c r="D21" s="512">
        <f t="shared" si="0"/>
        <v>389.2</v>
      </c>
      <c r="E21" s="514">
        <v>344</v>
      </c>
      <c r="F21" s="514">
        <v>45.2</v>
      </c>
      <c r="G21" s="514"/>
      <c r="H21" s="514"/>
      <c r="I21" s="514"/>
      <c r="J21" s="514">
        <v>0</v>
      </c>
      <c r="K21" s="779" t="s">
        <v>36</v>
      </c>
    </row>
    <row r="22" spans="1:11" ht="20.25" customHeight="1" hidden="1">
      <c r="A22" s="859"/>
      <c r="B22" s="863"/>
      <c r="C22" s="220" t="s">
        <v>16</v>
      </c>
      <c r="D22" s="512">
        <f t="shared" si="0"/>
        <v>233.9</v>
      </c>
      <c r="E22" s="514">
        <v>210.3</v>
      </c>
      <c r="F22" s="514">
        <v>23.6</v>
      </c>
      <c r="G22" s="514"/>
      <c r="H22" s="514"/>
      <c r="I22" s="514"/>
      <c r="J22" s="514">
        <v>0</v>
      </c>
      <c r="K22" s="780"/>
    </row>
    <row r="23" spans="1:11" ht="47.25" customHeight="1" hidden="1">
      <c r="A23" s="858" t="s">
        <v>265</v>
      </c>
      <c r="B23" s="862" t="s">
        <v>312</v>
      </c>
      <c r="C23" s="220" t="s">
        <v>62</v>
      </c>
      <c r="D23" s="512">
        <f t="shared" si="0"/>
        <v>1251.1</v>
      </c>
      <c r="E23" s="514">
        <v>630</v>
      </c>
      <c r="F23" s="514">
        <v>621.1</v>
      </c>
      <c r="G23" s="514"/>
      <c r="H23" s="514"/>
      <c r="I23" s="514"/>
      <c r="J23" s="514">
        <v>0</v>
      </c>
      <c r="K23" s="779" t="s">
        <v>36</v>
      </c>
    </row>
    <row r="24" spans="1:11" ht="24.75" customHeight="1" hidden="1">
      <c r="A24" s="859"/>
      <c r="B24" s="863"/>
      <c r="C24" s="220" t="s">
        <v>16</v>
      </c>
      <c r="D24" s="512">
        <f t="shared" si="0"/>
        <v>37.5</v>
      </c>
      <c r="E24" s="514">
        <v>18.9</v>
      </c>
      <c r="F24" s="514">
        <v>18.6</v>
      </c>
      <c r="G24" s="514"/>
      <c r="H24" s="514"/>
      <c r="I24" s="514"/>
      <c r="J24" s="514">
        <v>0</v>
      </c>
      <c r="K24" s="780"/>
    </row>
    <row r="25" spans="1:11" ht="44.25" customHeight="1" hidden="1">
      <c r="A25" s="858" t="s">
        <v>267</v>
      </c>
      <c r="B25" s="862" t="s">
        <v>366</v>
      </c>
      <c r="C25" s="220" t="s">
        <v>62</v>
      </c>
      <c r="D25" s="512">
        <f>E25+F25+J25</f>
        <v>23614.899999999998</v>
      </c>
      <c r="E25" s="514">
        <f>0+8354</f>
        <v>8354</v>
      </c>
      <c r="F25" s="514">
        <f>4673+4663.3+4487+990+295</f>
        <v>15108.3</v>
      </c>
      <c r="G25" s="514"/>
      <c r="H25" s="514"/>
      <c r="I25" s="514"/>
      <c r="J25" s="514">
        <v>152.6</v>
      </c>
      <c r="K25" s="779" t="s">
        <v>36</v>
      </c>
    </row>
    <row r="26" spans="1:11" ht="33" customHeight="1" hidden="1">
      <c r="A26" s="859"/>
      <c r="B26" s="863"/>
      <c r="C26" s="220" t="s">
        <v>16</v>
      </c>
      <c r="D26" s="512">
        <f t="shared" si="0"/>
        <v>826.4</v>
      </c>
      <c r="E26" s="514">
        <f>0+675.6</f>
        <v>675.6</v>
      </c>
      <c r="F26" s="514">
        <v>150</v>
      </c>
      <c r="G26" s="514"/>
      <c r="H26" s="514"/>
      <c r="I26" s="514"/>
      <c r="J26" s="514">
        <v>0.8</v>
      </c>
      <c r="K26" s="780"/>
    </row>
    <row r="27" spans="1:11" ht="31.5" customHeight="1" hidden="1">
      <c r="A27" s="858">
        <v>2</v>
      </c>
      <c r="B27" s="779" t="s">
        <v>250</v>
      </c>
      <c r="C27" s="220" t="s">
        <v>16</v>
      </c>
      <c r="D27" s="512">
        <f t="shared" si="0"/>
        <v>29000</v>
      </c>
      <c r="E27" s="514">
        <v>15000</v>
      </c>
      <c r="F27" s="514">
        <v>14000</v>
      </c>
      <c r="G27" s="514"/>
      <c r="H27" s="514"/>
      <c r="I27" s="514"/>
      <c r="J27" s="514"/>
      <c r="K27" s="779" t="s">
        <v>36</v>
      </c>
    </row>
    <row r="28" spans="1:11" ht="18.75" hidden="1">
      <c r="A28" s="859"/>
      <c r="B28" s="780"/>
      <c r="C28" s="220" t="s">
        <v>539</v>
      </c>
      <c r="D28" s="512">
        <f t="shared" si="0"/>
        <v>13000</v>
      </c>
      <c r="E28" s="514"/>
      <c r="F28" s="514"/>
      <c r="G28" s="514"/>
      <c r="H28" s="514"/>
      <c r="I28" s="514"/>
      <c r="J28" s="514">
        <v>13000</v>
      </c>
      <c r="K28" s="780"/>
    </row>
    <row r="29" spans="1:11" ht="24.75" customHeight="1" hidden="1">
      <c r="A29" s="858">
        <v>3</v>
      </c>
      <c r="B29" s="860" t="s">
        <v>646</v>
      </c>
      <c r="C29" s="220" t="s">
        <v>16</v>
      </c>
      <c r="D29" s="512">
        <f t="shared" si="0"/>
        <v>11000</v>
      </c>
      <c r="E29" s="514">
        <v>5000</v>
      </c>
      <c r="F29" s="514">
        <v>6000</v>
      </c>
      <c r="G29" s="514"/>
      <c r="H29" s="514"/>
      <c r="I29" s="514"/>
      <c r="J29" s="514"/>
      <c r="K29" s="779" t="s">
        <v>69</v>
      </c>
    </row>
    <row r="30" spans="1:11" ht="18.75" hidden="1">
      <c r="A30" s="859"/>
      <c r="B30" s="861"/>
      <c r="C30" s="220" t="s">
        <v>539</v>
      </c>
      <c r="D30" s="512">
        <f t="shared" si="0"/>
        <v>7000</v>
      </c>
      <c r="E30" s="514"/>
      <c r="F30" s="514"/>
      <c r="G30" s="514"/>
      <c r="H30" s="514"/>
      <c r="I30" s="514"/>
      <c r="J30" s="514">
        <v>7000</v>
      </c>
      <c r="K30" s="780"/>
    </row>
    <row r="31" spans="1:11" ht="5.25" customHeight="1" hidden="1">
      <c r="A31" s="511"/>
      <c r="B31" s="475"/>
      <c r="C31" s="220"/>
      <c r="D31" s="512"/>
      <c r="E31" s="514"/>
      <c r="F31" s="514"/>
      <c r="G31" s="514"/>
      <c r="H31" s="514"/>
      <c r="I31" s="514"/>
      <c r="J31" s="514"/>
      <c r="K31" s="229"/>
    </row>
    <row r="32" spans="1:11" ht="18.75">
      <c r="A32" s="76"/>
      <c r="B32" s="59" t="s">
        <v>5</v>
      </c>
      <c r="C32" s="59"/>
      <c r="D32" s="61">
        <f>D17+D16</f>
        <v>58956.299999999996</v>
      </c>
      <c r="E32" s="61">
        <f aca="true" t="shared" si="1" ref="E32:J32">E16+E17</f>
        <v>18435.3</v>
      </c>
      <c r="F32" s="61">
        <f t="shared" si="1"/>
        <v>19670.4</v>
      </c>
      <c r="G32" s="61">
        <f t="shared" si="1"/>
        <v>0</v>
      </c>
      <c r="H32" s="61">
        <f t="shared" si="1"/>
        <v>0</v>
      </c>
      <c r="I32" s="61">
        <f t="shared" si="1"/>
        <v>0</v>
      </c>
      <c r="J32" s="61">
        <f t="shared" si="1"/>
        <v>20850.6</v>
      </c>
      <c r="K32" s="229"/>
    </row>
    <row r="33" spans="1:11" ht="18.75">
      <c r="A33" s="90"/>
      <c r="B33" s="141"/>
      <c r="C33" s="18"/>
      <c r="D33" s="19"/>
      <c r="E33" s="19"/>
      <c r="F33" s="19"/>
      <c r="G33" s="19"/>
      <c r="H33" s="19"/>
      <c r="I33" s="19"/>
      <c r="J33" s="19"/>
      <c r="K33" s="93"/>
    </row>
    <row r="34" spans="1:11" ht="0.75" customHeight="1">
      <c r="A34" s="90"/>
      <c r="B34" s="18"/>
      <c r="C34" s="18"/>
      <c r="D34" s="19"/>
      <c r="E34" s="19"/>
      <c r="F34" s="19"/>
      <c r="G34" s="19"/>
      <c r="H34" s="19"/>
      <c r="I34" s="19"/>
      <c r="J34" s="19"/>
      <c r="K34" s="98"/>
    </row>
    <row r="35" spans="1:11" ht="3" customHeight="1">
      <c r="A35" s="90"/>
      <c r="B35" s="18"/>
      <c r="C35" s="18"/>
      <c r="D35" s="19"/>
      <c r="E35" s="19"/>
      <c r="F35" s="19"/>
      <c r="G35" s="19"/>
      <c r="H35" s="19"/>
      <c r="I35" s="19"/>
      <c r="J35" s="19"/>
      <c r="K35" s="98"/>
    </row>
    <row r="36" spans="2:11" ht="18.75">
      <c r="B36" s="51"/>
      <c r="C36" s="52"/>
      <c r="E36" s="19"/>
      <c r="F36" s="19"/>
      <c r="G36" s="19"/>
      <c r="H36" s="19"/>
      <c r="I36" s="19"/>
      <c r="J36" s="19"/>
      <c r="K36" s="15"/>
    </row>
    <row r="37" spans="2:10" ht="35.25" customHeight="1">
      <c r="B37" s="357" t="s">
        <v>18</v>
      </c>
      <c r="C37" s="357"/>
      <c r="D37" s="90"/>
      <c r="E37" s="357"/>
      <c r="F37" s="866" t="s">
        <v>30</v>
      </c>
      <c r="G37" s="866"/>
      <c r="H37" s="866"/>
      <c r="I37" s="866"/>
      <c r="J37" s="866"/>
    </row>
    <row r="38" spans="2:10" ht="18.75">
      <c r="B38" s="357"/>
      <c r="C38" s="357"/>
      <c r="D38" s="90"/>
      <c r="E38" s="357"/>
      <c r="F38" s="358"/>
      <c r="G38" s="358"/>
      <c r="H38" s="358"/>
      <c r="I38" s="358"/>
      <c r="J38" s="358"/>
    </row>
    <row r="39" spans="2:10" ht="18.75">
      <c r="B39" s="95" t="s">
        <v>558</v>
      </c>
      <c r="C39" s="95"/>
      <c r="D39" s="90"/>
      <c r="E39" s="96"/>
      <c r="F39" s="97"/>
      <c r="G39" s="97"/>
      <c r="H39" s="97"/>
      <c r="I39" s="97"/>
      <c r="J39" s="97"/>
    </row>
    <row r="40" spans="2:10" ht="15.75">
      <c r="B40" s="99"/>
      <c r="C40" s="90"/>
      <c r="D40" s="99"/>
      <c r="E40" s="97"/>
      <c r="F40" s="97"/>
      <c r="G40" s="97"/>
      <c r="H40" s="97"/>
      <c r="I40" s="97"/>
      <c r="J40" s="97"/>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5">
    <mergeCell ref="J8:O8"/>
    <mergeCell ref="B11:K11"/>
    <mergeCell ref="D12:H12"/>
    <mergeCell ref="A13:A15"/>
    <mergeCell ref="B13:B15"/>
    <mergeCell ref="C13:C15"/>
    <mergeCell ref="D13:D15"/>
    <mergeCell ref="E13:J13"/>
    <mergeCell ref="K13:K15"/>
    <mergeCell ref="J9:K9"/>
    <mergeCell ref="A19:A20"/>
    <mergeCell ref="B19:B20"/>
    <mergeCell ref="K19:K20"/>
    <mergeCell ref="E14:E15"/>
    <mergeCell ref="F14:F15"/>
    <mergeCell ref="G14:G15"/>
    <mergeCell ref="H14:H15"/>
    <mergeCell ref="I14:I15"/>
    <mergeCell ref="J14:J15"/>
    <mergeCell ref="A21:A22"/>
    <mergeCell ref="B21:B22"/>
    <mergeCell ref="K21:K22"/>
    <mergeCell ref="A23:A24"/>
    <mergeCell ref="B23:B24"/>
    <mergeCell ref="K23:K24"/>
    <mergeCell ref="A29:A30"/>
    <mergeCell ref="B29:B30"/>
    <mergeCell ref="K29:K30"/>
    <mergeCell ref="F37:J37"/>
    <mergeCell ref="A25:A26"/>
    <mergeCell ref="B25:B26"/>
    <mergeCell ref="K25:K26"/>
    <mergeCell ref="A27:A28"/>
    <mergeCell ref="B27:B28"/>
    <mergeCell ref="K27:K28"/>
  </mergeCells>
  <printOptions horizontalCentered="1"/>
  <pageMargins left="0" right="0" top="1.1811023622047245" bottom="0" header="0" footer="0"/>
  <pageSetup fitToHeight="1" fitToWidth="1" horizontalDpi="600" verticalDpi="600" orientation="landscape" paperSize="9" scale="76"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8">
      <selection activeCell="A1" sqref="A1:O61"/>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19</v>
      </c>
      <c r="J1" s="1" t="s">
        <v>363</v>
      </c>
      <c r="K1" s="513"/>
      <c r="L1" s="13" t="s">
        <v>19</v>
      </c>
    </row>
    <row r="2" spans="2:12" ht="15.75">
      <c r="B2" s="15"/>
      <c r="C2" s="15"/>
      <c r="D2" s="15"/>
      <c r="E2" s="15"/>
      <c r="F2" s="15"/>
      <c r="G2" s="15"/>
      <c r="H2" s="15"/>
      <c r="I2" s="13"/>
      <c r="J2" s="12" t="s">
        <v>11</v>
      </c>
      <c r="K2" s="12"/>
      <c r="L2" s="13"/>
    </row>
    <row r="3" spans="2:15" ht="15.75">
      <c r="B3" s="15"/>
      <c r="C3" s="15"/>
      <c r="D3" s="15"/>
      <c r="E3" s="15"/>
      <c r="F3" s="15"/>
      <c r="G3" s="15"/>
      <c r="H3" s="15"/>
      <c r="I3" s="12" t="s">
        <v>11</v>
      </c>
      <c r="J3" s="12" t="s">
        <v>566</v>
      </c>
      <c r="K3" s="12"/>
      <c r="L3" s="15"/>
      <c r="M3" s="12"/>
      <c r="N3" s="12"/>
      <c r="O3" s="12"/>
    </row>
    <row r="4" spans="2:15" ht="15.75">
      <c r="B4" s="15"/>
      <c r="C4" s="15"/>
      <c r="D4" s="15"/>
      <c r="E4" s="15"/>
      <c r="F4" s="15"/>
      <c r="G4" s="15"/>
      <c r="H4" s="15"/>
      <c r="I4" s="12"/>
      <c r="J4" s="17" t="s">
        <v>567</v>
      </c>
      <c r="K4" s="17"/>
      <c r="L4" s="15"/>
      <c r="M4" s="12"/>
      <c r="N4" s="12"/>
      <c r="O4" s="12"/>
    </row>
    <row r="5" spans="2:15" ht="15.75">
      <c r="B5" s="15"/>
      <c r="C5" s="15"/>
      <c r="D5" s="15"/>
      <c r="E5" s="15"/>
      <c r="F5" s="15"/>
      <c r="G5" s="15"/>
      <c r="H5" s="15"/>
      <c r="I5" s="12" t="s">
        <v>21</v>
      </c>
      <c r="J5" s="17" t="s">
        <v>907</v>
      </c>
      <c r="K5" s="17"/>
      <c r="L5" s="15"/>
      <c r="M5" s="12"/>
      <c r="N5" s="12"/>
      <c r="O5" s="12"/>
    </row>
    <row r="6" spans="2:15" ht="15.75">
      <c r="B6" s="15"/>
      <c r="C6" s="15"/>
      <c r="D6" s="15"/>
      <c r="E6" s="15"/>
      <c r="F6" s="15"/>
      <c r="G6" s="15"/>
      <c r="H6" s="15"/>
      <c r="I6" s="12" t="s">
        <v>23</v>
      </c>
      <c r="J6" s="17" t="s">
        <v>924</v>
      </c>
      <c r="K6" s="17"/>
      <c r="L6" s="327"/>
      <c r="M6" s="12"/>
      <c r="N6" s="12"/>
      <c r="O6" s="12"/>
    </row>
    <row r="7" spans="2:15" ht="15.75" customHeight="1">
      <c r="B7" s="15"/>
      <c r="C7" s="15"/>
      <c r="D7" s="15"/>
      <c r="E7" s="15"/>
      <c r="F7" s="15"/>
      <c r="G7" s="15"/>
      <c r="H7" s="16"/>
      <c r="I7" s="12"/>
      <c r="J7" s="768" t="s">
        <v>920</v>
      </c>
      <c r="K7" s="768"/>
      <c r="L7" s="768"/>
      <c r="M7" s="768"/>
      <c r="N7" s="768"/>
      <c r="O7" s="768"/>
    </row>
    <row r="8" spans="2:15" ht="15.75">
      <c r="B8" s="15"/>
      <c r="C8" s="15"/>
      <c r="D8" s="15"/>
      <c r="E8" s="15"/>
      <c r="F8" s="15"/>
      <c r="G8" s="15"/>
      <c r="H8" s="15"/>
      <c r="I8" s="15"/>
      <c r="J8" s="768" t="s">
        <v>941</v>
      </c>
      <c r="K8" s="768"/>
      <c r="L8" s="730"/>
      <c r="M8" s="730"/>
      <c r="N8" s="730"/>
      <c r="O8" s="730"/>
    </row>
    <row r="9" spans="2:15" ht="15.75">
      <c r="B9" s="15"/>
      <c r="C9" s="15"/>
      <c r="D9" s="15"/>
      <c r="E9" s="15"/>
      <c r="F9" s="15"/>
      <c r="G9" s="15"/>
      <c r="H9" s="15"/>
      <c r="I9" s="15"/>
      <c r="J9" s="730"/>
      <c r="K9" s="730"/>
      <c r="L9" s="730"/>
      <c r="M9" s="730"/>
      <c r="N9" s="730"/>
      <c r="O9" s="730"/>
    </row>
    <row r="10" spans="2:12" ht="36" customHeight="1">
      <c r="B10" s="769" t="s">
        <v>921</v>
      </c>
      <c r="C10" s="769"/>
      <c r="D10" s="769"/>
      <c r="E10" s="769"/>
      <c r="F10" s="769"/>
      <c r="G10" s="769"/>
      <c r="H10" s="769"/>
      <c r="I10" s="769"/>
      <c r="J10" s="769"/>
      <c r="K10" s="769"/>
      <c r="L10" s="15"/>
    </row>
    <row r="11" spans="2:12" ht="18.75">
      <c r="B11" s="15"/>
      <c r="C11" s="15"/>
      <c r="D11" s="785"/>
      <c r="E11" s="785"/>
      <c r="F11" s="785"/>
      <c r="G11" s="785"/>
      <c r="H11" s="785"/>
      <c r="I11" s="15"/>
      <c r="J11" s="15"/>
      <c r="K11" s="418" t="s">
        <v>426</v>
      </c>
      <c r="L11" s="15"/>
    </row>
    <row r="12" spans="1:12" ht="15.75" customHeight="1">
      <c r="A12" s="867" t="s">
        <v>6</v>
      </c>
      <c r="B12" s="770" t="s">
        <v>12</v>
      </c>
      <c r="C12" s="770" t="s">
        <v>13</v>
      </c>
      <c r="D12" s="770" t="s">
        <v>437</v>
      </c>
      <c r="E12" s="786" t="s">
        <v>9</v>
      </c>
      <c r="F12" s="786"/>
      <c r="G12" s="786"/>
      <c r="H12" s="786"/>
      <c r="I12" s="786"/>
      <c r="J12" s="849"/>
      <c r="K12" s="776" t="s">
        <v>15</v>
      </c>
      <c r="L12" s="15"/>
    </row>
    <row r="13" spans="1:12" ht="15.75">
      <c r="A13" s="868"/>
      <c r="B13" s="771"/>
      <c r="C13" s="771"/>
      <c r="D13" s="771"/>
      <c r="E13" s="770">
        <v>2021</v>
      </c>
      <c r="F13" s="770">
        <v>2022</v>
      </c>
      <c r="G13" s="770" t="s">
        <v>27</v>
      </c>
      <c r="H13" s="770" t="s">
        <v>28</v>
      </c>
      <c r="I13" s="770" t="s">
        <v>29</v>
      </c>
      <c r="J13" s="776">
        <v>2023</v>
      </c>
      <c r="K13" s="776"/>
      <c r="L13" s="15"/>
    </row>
    <row r="14" spans="1:12" ht="21.75" customHeight="1">
      <c r="A14" s="869"/>
      <c r="B14" s="772"/>
      <c r="C14" s="772"/>
      <c r="D14" s="772"/>
      <c r="E14" s="772"/>
      <c r="F14" s="772"/>
      <c r="G14" s="772"/>
      <c r="H14" s="772"/>
      <c r="I14" s="772"/>
      <c r="J14" s="776"/>
      <c r="K14" s="776"/>
      <c r="L14" s="15"/>
    </row>
    <row r="15" spans="1:12" s="346" customFormat="1" ht="28.5" customHeight="1">
      <c r="A15" s="880">
        <v>1</v>
      </c>
      <c r="B15" s="781" t="s">
        <v>839</v>
      </c>
      <c r="C15" s="779" t="s">
        <v>657</v>
      </c>
      <c r="D15" s="883">
        <f>E16+F16+J15</f>
        <v>1067.7</v>
      </c>
      <c r="E15" s="881">
        <v>944</v>
      </c>
      <c r="F15" s="881">
        <v>1007.3</v>
      </c>
      <c r="G15" s="614"/>
      <c r="H15" s="614"/>
      <c r="I15" s="614"/>
      <c r="J15" s="881">
        <v>1067.7</v>
      </c>
      <c r="K15" s="779" t="s">
        <v>245</v>
      </c>
      <c r="L15" s="312"/>
    </row>
    <row r="16" spans="1:12" s="346" customFormat="1" ht="22.5" customHeight="1">
      <c r="A16" s="880"/>
      <c r="B16" s="782"/>
      <c r="C16" s="780"/>
      <c r="D16" s="884"/>
      <c r="E16" s="882"/>
      <c r="F16" s="882"/>
      <c r="G16" s="614"/>
      <c r="H16" s="614"/>
      <c r="I16" s="614"/>
      <c r="J16" s="882"/>
      <c r="K16" s="780"/>
      <c r="L16" s="312"/>
    </row>
    <row r="17" spans="1:12" s="346" customFormat="1" ht="31.5" customHeight="1">
      <c r="A17" s="880">
        <v>2</v>
      </c>
      <c r="B17" s="781" t="s">
        <v>840</v>
      </c>
      <c r="C17" s="779" t="s">
        <v>657</v>
      </c>
      <c r="D17" s="883">
        <f aca="true" t="shared" si="0" ref="D17:D53">E17+F17+J17</f>
        <v>4409</v>
      </c>
      <c r="E17" s="881">
        <v>1300</v>
      </c>
      <c r="F17" s="881">
        <v>1468</v>
      </c>
      <c r="G17" s="614"/>
      <c r="H17" s="614"/>
      <c r="I17" s="614"/>
      <c r="J17" s="881">
        <v>1641</v>
      </c>
      <c r="K17" s="779" t="s">
        <v>245</v>
      </c>
      <c r="L17" s="312"/>
    </row>
    <row r="18" spans="1:12" s="346" customFormat="1" ht="24" customHeight="1">
      <c r="A18" s="880"/>
      <c r="B18" s="782"/>
      <c r="C18" s="780"/>
      <c r="D18" s="884"/>
      <c r="E18" s="882"/>
      <c r="F18" s="882"/>
      <c r="G18" s="614"/>
      <c r="H18" s="614"/>
      <c r="I18" s="614"/>
      <c r="J18" s="882"/>
      <c r="K18" s="780"/>
      <c r="L18" s="312"/>
    </row>
    <row r="19" spans="1:12" s="346" customFormat="1" ht="46.5" customHeight="1">
      <c r="A19" s="220">
        <v>3</v>
      </c>
      <c r="B19" s="611" t="s">
        <v>728</v>
      </c>
      <c r="C19" s="220" t="s">
        <v>657</v>
      </c>
      <c r="D19" s="613">
        <f t="shared" si="0"/>
        <v>180</v>
      </c>
      <c r="E19" s="614">
        <v>50</v>
      </c>
      <c r="F19" s="614">
        <v>60</v>
      </c>
      <c r="G19" s="614"/>
      <c r="H19" s="614"/>
      <c r="I19" s="614"/>
      <c r="J19" s="614">
        <v>70</v>
      </c>
      <c r="K19" s="608" t="s">
        <v>245</v>
      </c>
      <c r="L19" s="312"/>
    </row>
    <row r="20" spans="1:12" s="346" customFormat="1" ht="39.75" customHeight="1">
      <c r="A20" s="220">
        <v>4</v>
      </c>
      <c r="B20" s="611" t="s">
        <v>729</v>
      </c>
      <c r="C20" s="220" t="s">
        <v>657</v>
      </c>
      <c r="D20" s="613">
        <f t="shared" si="0"/>
        <v>1700</v>
      </c>
      <c r="E20" s="614">
        <v>1100</v>
      </c>
      <c r="F20" s="614">
        <v>300</v>
      </c>
      <c r="G20" s="614"/>
      <c r="H20" s="614"/>
      <c r="I20" s="614"/>
      <c r="J20" s="614">
        <v>300</v>
      </c>
      <c r="K20" s="608" t="s">
        <v>245</v>
      </c>
      <c r="L20" s="312"/>
    </row>
    <row r="21" spans="1:12" s="346" customFormat="1" ht="43.5" customHeight="1">
      <c r="A21" s="220">
        <v>5</v>
      </c>
      <c r="B21" s="611" t="s">
        <v>841</v>
      </c>
      <c r="C21" s="220" t="s">
        <v>657</v>
      </c>
      <c r="D21" s="613">
        <f t="shared" si="0"/>
        <v>480</v>
      </c>
      <c r="E21" s="614">
        <v>150</v>
      </c>
      <c r="F21" s="614">
        <v>160</v>
      </c>
      <c r="G21" s="614"/>
      <c r="H21" s="614"/>
      <c r="I21" s="614"/>
      <c r="J21" s="614">
        <v>170</v>
      </c>
      <c r="K21" s="608" t="s">
        <v>245</v>
      </c>
      <c r="L21" s="312"/>
    </row>
    <row r="22" spans="1:12" s="346" customFormat="1" ht="57" customHeight="1">
      <c r="A22" s="702">
        <v>6</v>
      </c>
      <c r="B22" s="701" t="s">
        <v>734</v>
      </c>
      <c r="C22" s="702" t="s">
        <v>657</v>
      </c>
      <c r="D22" s="703">
        <f t="shared" si="0"/>
        <v>1200</v>
      </c>
      <c r="E22" s="704">
        <v>1200</v>
      </c>
      <c r="F22" s="704"/>
      <c r="G22" s="704"/>
      <c r="H22" s="704"/>
      <c r="I22" s="704"/>
      <c r="J22" s="704"/>
      <c r="K22" s="699" t="s">
        <v>245</v>
      </c>
      <c r="L22" s="312"/>
    </row>
    <row r="23" spans="1:12" s="346" customFormat="1" ht="46.5" customHeight="1">
      <c r="A23" s="702">
        <v>7</v>
      </c>
      <c r="B23" s="701" t="s">
        <v>735</v>
      </c>
      <c r="C23" s="702" t="s">
        <v>657</v>
      </c>
      <c r="D23" s="703">
        <f t="shared" si="0"/>
        <v>130</v>
      </c>
      <c r="E23" s="704">
        <v>130</v>
      </c>
      <c r="F23" s="704"/>
      <c r="G23" s="704"/>
      <c r="H23" s="704"/>
      <c r="I23" s="704"/>
      <c r="J23" s="704"/>
      <c r="K23" s="699" t="s">
        <v>245</v>
      </c>
      <c r="L23" s="312"/>
    </row>
    <row r="24" spans="1:12" s="519" customFormat="1" ht="27.75" customHeight="1" hidden="1">
      <c r="A24" s="612">
        <v>6</v>
      </c>
      <c r="B24" s="528"/>
      <c r="C24" s="523"/>
      <c r="D24" s="526"/>
      <c r="E24" s="515"/>
      <c r="F24" s="515"/>
      <c r="G24" s="515"/>
      <c r="H24" s="515"/>
      <c r="I24" s="515"/>
      <c r="J24" s="515"/>
      <c r="K24" s="523"/>
      <c r="L24" s="518"/>
    </row>
    <row r="25" spans="1:12" ht="34.5" customHeight="1" hidden="1">
      <c r="A25" s="867">
        <v>10</v>
      </c>
      <c r="B25" s="781" t="s">
        <v>180</v>
      </c>
      <c r="C25" s="220" t="s">
        <v>16</v>
      </c>
      <c r="D25" s="613">
        <f t="shared" si="0"/>
        <v>123</v>
      </c>
      <c r="E25" s="614">
        <v>65</v>
      </c>
      <c r="F25" s="614">
        <v>58</v>
      </c>
      <c r="G25" s="614"/>
      <c r="H25" s="614"/>
      <c r="I25" s="614"/>
      <c r="J25" s="614"/>
      <c r="K25" s="779" t="s">
        <v>36</v>
      </c>
      <c r="L25" s="15"/>
    </row>
    <row r="26" spans="1:12" ht="18.75" hidden="1">
      <c r="A26" s="869"/>
      <c r="B26" s="782"/>
      <c r="C26" s="220" t="s">
        <v>539</v>
      </c>
      <c r="D26" s="613">
        <f t="shared" si="0"/>
        <v>75</v>
      </c>
      <c r="E26" s="614"/>
      <c r="F26" s="614"/>
      <c r="G26" s="614"/>
      <c r="H26" s="614"/>
      <c r="I26" s="614"/>
      <c r="J26" s="614">
        <v>75</v>
      </c>
      <c r="K26" s="780"/>
      <c r="L26" s="15"/>
    </row>
    <row r="27" spans="1:12" ht="36.75" customHeight="1" hidden="1">
      <c r="A27" s="867">
        <v>11</v>
      </c>
      <c r="B27" s="781" t="s">
        <v>379</v>
      </c>
      <c r="C27" s="220" t="s">
        <v>16</v>
      </c>
      <c r="D27" s="613">
        <f t="shared" si="0"/>
        <v>274</v>
      </c>
      <c r="E27" s="614">
        <f>42+80+87</f>
        <v>209</v>
      </c>
      <c r="F27" s="614">
        <f>63+2</f>
        <v>65</v>
      </c>
      <c r="G27" s="614"/>
      <c r="H27" s="614"/>
      <c r="I27" s="614"/>
      <c r="J27" s="614"/>
      <c r="K27" s="779" t="s">
        <v>36</v>
      </c>
      <c r="L27" s="15"/>
    </row>
    <row r="28" spans="1:12" ht="29.25" customHeight="1" hidden="1">
      <c r="A28" s="869"/>
      <c r="B28" s="782"/>
      <c r="C28" s="285" t="s">
        <v>539</v>
      </c>
      <c r="D28" s="613">
        <f t="shared" si="0"/>
        <v>75</v>
      </c>
      <c r="E28" s="614"/>
      <c r="F28" s="614"/>
      <c r="G28" s="614"/>
      <c r="H28" s="614"/>
      <c r="I28" s="614"/>
      <c r="J28" s="614">
        <v>75</v>
      </c>
      <c r="K28" s="780"/>
      <c r="L28" s="15"/>
    </row>
    <row r="29" spans="1:12" ht="37.5" hidden="1">
      <c r="A29" s="85">
        <v>12</v>
      </c>
      <c r="B29" s="164" t="s">
        <v>251</v>
      </c>
      <c r="C29" s="285" t="s">
        <v>16</v>
      </c>
      <c r="D29" s="613">
        <f t="shared" si="0"/>
        <v>150</v>
      </c>
      <c r="E29" s="63">
        <v>150</v>
      </c>
      <c r="F29" s="614">
        <v>0</v>
      </c>
      <c r="G29" s="614">
        <v>0</v>
      </c>
      <c r="H29" s="614">
        <v>0</v>
      </c>
      <c r="I29" s="614">
        <v>0</v>
      </c>
      <c r="J29" s="614">
        <v>0</v>
      </c>
      <c r="K29" s="609" t="s">
        <v>36</v>
      </c>
      <c r="L29" s="15"/>
    </row>
    <row r="30" spans="1:12" ht="37.5" hidden="1">
      <c r="A30" s="85">
        <v>13</v>
      </c>
      <c r="B30" s="164" t="s">
        <v>252</v>
      </c>
      <c r="C30" s="285" t="s">
        <v>16</v>
      </c>
      <c r="D30" s="613">
        <f t="shared" si="0"/>
        <v>1</v>
      </c>
      <c r="E30" s="63">
        <v>1</v>
      </c>
      <c r="F30" s="614">
        <v>0</v>
      </c>
      <c r="G30" s="614"/>
      <c r="H30" s="614"/>
      <c r="I30" s="614"/>
      <c r="J30" s="614">
        <v>0</v>
      </c>
      <c r="K30" s="609" t="s">
        <v>36</v>
      </c>
      <c r="L30" s="15"/>
    </row>
    <row r="31" spans="1:12" s="519" customFormat="1" ht="56.25" customHeight="1" hidden="1">
      <c r="A31" s="524"/>
      <c r="B31" s="525"/>
      <c r="C31" s="516"/>
      <c r="D31" s="526"/>
      <c r="E31" s="515"/>
      <c r="F31" s="515"/>
      <c r="G31" s="515"/>
      <c r="H31" s="515"/>
      <c r="I31" s="515"/>
      <c r="J31" s="515"/>
      <c r="K31" s="522"/>
      <c r="L31" s="518"/>
    </row>
    <row r="32" spans="1:12" ht="75" hidden="1">
      <c r="A32" s="85">
        <v>15</v>
      </c>
      <c r="B32" s="164" t="s">
        <v>372</v>
      </c>
      <c r="C32" s="285" t="s">
        <v>16</v>
      </c>
      <c r="D32" s="613">
        <f t="shared" si="0"/>
        <v>250</v>
      </c>
      <c r="E32" s="63">
        <v>0</v>
      </c>
      <c r="F32" s="614">
        <v>250</v>
      </c>
      <c r="G32" s="614"/>
      <c r="H32" s="614"/>
      <c r="I32" s="614"/>
      <c r="J32" s="614">
        <v>0</v>
      </c>
      <c r="K32" s="609" t="s">
        <v>36</v>
      </c>
      <c r="L32" s="15"/>
    </row>
    <row r="33" spans="1:12" ht="37.5" hidden="1">
      <c r="A33" s="85">
        <v>16</v>
      </c>
      <c r="B33" s="164" t="s">
        <v>378</v>
      </c>
      <c r="C33" s="285" t="s">
        <v>16</v>
      </c>
      <c r="D33" s="613">
        <f t="shared" si="0"/>
        <v>200</v>
      </c>
      <c r="E33" s="63">
        <v>0</v>
      </c>
      <c r="F33" s="614">
        <v>200</v>
      </c>
      <c r="G33" s="614"/>
      <c r="H33" s="614"/>
      <c r="I33" s="614"/>
      <c r="J33" s="614">
        <v>0</v>
      </c>
      <c r="K33" s="609" t="s">
        <v>36</v>
      </c>
      <c r="L33" s="15"/>
    </row>
    <row r="34" spans="1:12" ht="86.25" customHeight="1" hidden="1">
      <c r="A34" s="85">
        <v>17</v>
      </c>
      <c r="B34" s="164" t="s">
        <v>380</v>
      </c>
      <c r="C34" s="285" t="s">
        <v>16</v>
      </c>
      <c r="D34" s="613">
        <f t="shared" si="0"/>
        <v>79.7</v>
      </c>
      <c r="E34" s="63">
        <v>0</v>
      </c>
      <c r="F34" s="614">
        <f>0+20+30+16.2+13.5</f>
        <v>79.7</v>
      </c>
      <c r="G34" s="614"/>
      <c r="H34" s="614"/>
      <c r="I34" s="614"/>
      <c r="J34" s="614">
        <v>0</v>
      </c>
      <c r="K34" s="609" t="s">
        <v>36</v>
      </c>
      <c r="L34" s="15"/>
    </row>
    <row r="35" spans="1:12" ht="32.25" customHeight="1" hidden="1">
      <c r="A35" s="867">
        <v>18</v>
      </c>
      <c r="B35" s="781" t="s">
        <v>470</v>
      </c>
      <c r="C35" s="285" t="s">
        <v>16</v>
      </c>
      <c r="D35" s="613">
        <f t="shared" si="0"/>
        <v>15</v>
      </c>
      <c r="E35" s="63">
        <v>0</v>
      </c>
      <c r="F35" s="614">
        <f>0+12+3</f>
        <v>15</v>
      </c>
      <c r="G35" s="614"/>
      <c r="H35" s="614"/>
      <c r="I35" s="614"/>
      <c r="J35" s="614"/>
      <c r="K35" s="779" t="s">
        <v>36</v>
      </c>
      <c r="L35" s="15"/>
    </row>
    <row r="36" spans="1:12" ht="21" customHeight="1" hidden="1">
      <c r="A36" s="869"/>
      <c r="B36" s="782"/>
      <c r="C36" s="285" t="s">
        <v>539</v>
      </c>
      <c r="D36" s="613">
        <f t="shared" si="0"/>
        <v>30</v>
      </c>
      <c r="E36" s="63"/>
      <c r="F36" s="614"/>
      <c r="G36" s="614"/>
      <c r="H36" s="614"/>
      <c r="I36" s="614"/>
      <c r="J36" s="614">
        <v>30</v>
      </c>
      <c r="K36" s="780"/>
      <c r="L36" s="15"/>
    </row>
    <row r="37" spans="1:12" ht="42" customHeight="1" hidden="1">
      <c r="A37" s="85">
        <v>19</v>
      </c>
      <c r="B37" s="521" t="s">
        <v>537</v>
      </c>
      <c r="C37" s="220" t="s">
        <v>16</v>
      </c>
      <c r="D37" s="613">
        <f t="shared" si="0"/>
        <v>200</v>
      </c>
      <c r="E37" s="63"/>
      <c r="F37" s="614">
        <f>0+200</f>
        <v>200</v>
      </c>
      <c r="G37" s="614"/>
      <c r="H37" s="614"/>
      <c r="I37" s="614"/>
      <c r="J37" s="614"/>
      <c r="K37" s="609" t="s">
        <v>36</v>
      </c>
      <c r="L37" s="15"/>
    </row>
    <row r="38" spans="1:12" ht="42" customHeight="1" hidden="1">
      <c r="A38" s="85">
        <v>20</v>
      </c>
      <c r="B38" s="178" t="s">
        <v>479</v>
      </c>
      <c r="C38" s="220" t="s">
        <v>16</v>
      </c>
      <c r="D38" s="613">
        <f t="shared" si="0"/>
        <v>80</v>
      </c>
      <c r="E38" s="63"/>
      <c r="F38" s="614">
        <f>0+80</f>
        <v>80</v>
      </c>
      <c r="G38" s="614"/>
      <c r="H38" s="614"/>
      <c r="I38" s="614"/>
      <c r="J38" s="614"/>
      <c r="K38" s="609" t="s">
        <v>36</v>
      </c>
      <c r="L38" s="15"/>
    </row>
    <row r="39" spans="1:12" ht="42" customHeight="1" hidden="1">
      <c r="A39" s="85">
        <v>21</v>
      </c>
      <c r="B39" s="178" t="s">
        <v>484</v>
      </c>
      <c r="C39" s="220" t="s">
        <v>16</v>
      </c>
      <c r="D39" s="613">
        <f t="shared" si="0"/>
        <v>84</v>
      </c>
      <c r="E39" s="63"/>
      <c r="F39" s="614">
        <v>84</v>
      </c>
      <c r="G39" s="614"/>
      <c r="H39" s="614"/>
      <c r="I39" s="614"/>
      <c r="J39" s="614"/>
      <c r="K39" s="609" t="s">
        <v>36</v>
      </c>
      <c r="L39" s="15"/>
    </row>
    <row r="40" spans="1:12" ht="69" customHeight="1" hidden="1">
      <c r="A40" s="85">
        <v>22</v>
      </c>
      <c r="B40" s="178" t="s">
        <v>485</v>
      </c>
      <c r="C40" s="220" t="s">
        <v>16</v>
      </c>
      <c r="D40" s="613">
        <f t="shared" si="0"/>
        <v>11.1</v>
      </c>
      <c r="E40" s="63"/>
      <c r="F40" s="614">
        <v>11.1</v>
      </c>
      <c r="G40" s="614"/>
      <c r="H40" s="614"/>
      <c r="I40" s="614"/>
      <c r="J40" s="614"/>
      <c r="K40" s="609" t="s">
        <v>36</v>
      </c>
      <c r="L40" s="15"/>
    </row>
    <row r="41" spans="1:12" ht="34.5" customHeight="1" hidden="1">
      <c r="A41" s="85">
        <v>23</v>
      </c>
      <c r="B41" s="178" t="s">
        <v>534</v>
      </c>
      <c r="C41" s="220" t="s">
        <v>16</v>
      </c>
      <c r="D41" s="613">
        <f t="shared" si="0"/>
        <v>96</v>
      </c>
      <c r="E41" s="63"/>
      <c r="F41" s="614">
        <v>96</v>
      </c>
      <c r="G41" s="614"/>
      <c r="H41" s="614"/>
      <c r="I41" s="614"/>
      <c r="J41" s="614"/>
      <c r="K41" s="609" t="s">
        <v>36</v>
      </c>
      <c r="L41" s="15"/>
    </row>
    <row r="42" spans="1:12" ht="54.75" customHeight="1" hidden="1">
      <c r="A42" s="85">
        <v>24</v>
      </c>
      <c r="B42" s="178" t="s">
        <v>486</v>
      </c>
      <c r="C42" s="220" t="s">
        <v>539</v>
      </c>
      <c r="D42" s="613">
        <f t="shared" si="0"/>
        <v>150</v>
      </c>
      <c r="E42" s="63"/>
      <c r="F42" s="614"/>
      <c r="G42" s="614"/>
      <c r="H42" s="614"/>
      <c r="I42" s="614"/>
      <c r="J42" s="614">
        <v>150</v>
      </c>
      <c r="K42" s="609" t="s">
        <v>36</v>
      </c>
      <c r="L42" s="15"/>
    </row>
    <row r="43" spans="1:12" ht="49.5" customHeight="1" hidden="1">
      <c r="A43" s="85">
        <v>25</v>
      </c>
      <c r="B43" s="178" t="s">
        <v>487</v>
      </c>
      <c r="C43" s="220" t="s">
        <v>539</v>
      </c>
      <c r="D43" s="613">
        <f t="shared" si="0"/>
        <v>50</v>
      </c>
      <c r="E43" s="63"/>
      <c r="F43" s="614"/>
      <c r="G43" s="614"/>
      <c r="H43" s="614"/>
      <c r="I43" s="614"/>
      <c r="J43" s="614">
        <v>50</v>
      </c>
      <c r="K43" s="609" t="s">
        <v>36</v>
      </c>
      <c r="L43" s="15"/>
    </row>
    <row r="44" spans="1:12" ht="39.75" customHeight="1" hidden="1">
      <c r="A44" s="85">
        <v>26</v>
      </c>
      <c r="B44" s="178" t="s">
        <v>488</v>
      </c>
      <c r="C44" s="220" t="s">
        <v>539</v>
      </c>
      <c r="D44" s="613">
        <f t="shared" si="0"/>
        <v>85</v>
      </c>
      <c r="E44" s="63"/>
      <c r="F44" s="614"/>
      <c r="G44" s="614"/>
      <c r="H44" s="614"/>
      <c r="I44" s="614"/>
      <c r="J44" s="614">
        <v>85</v>
      </c>
      <c r="K44" s="609" t="s">
        <v>36</v>
      </c>
      <c r="L44" s="15"/>
    </row>
    <row r="45" spans="1:12" ht="38.25" customHeight="1" hidden="1">
      <c r="A45" s="85">
        <v>27</v>
      </c>
      <c r="B45" s="178" t="s">
        <v>489</v>
      </c>
      <c r="C45" s="220" t="s">
        <v>539</v>
      </c>
      <c r="D45" s="613">
        <f t="shared" si="0"/>
        <v>300</v>
      </c>
      <c r="E45" s="63"/>
      <c r="F45" s="614"/>
      <c r="G45" s="614"/>
      <c r="H45" s="614"/>
      <c r="I45" s="614"/>
      <c r="J45" s="614">
        <v>300</v>
      </c>
      <c r="K45" s="609" t="s">
        <v>36</v>
      </c>
      <c r="L45" s="15"/>
    </row>
    <row r="46" spans="1:12" ht="96" customHeight="1" hidden="1">
      <c r="A46" s="85">
        <v>28</v>
      </c>
      <c r="B46" s="178" t="s">
        <v>538</v>
      </c>
      <c r="C46" s="220" t="s">
        <v>539</v>
      </c>
      <c r="D46" s="613">
        <f t="shared" si="0"/>
        <v>60</v>
      </c>
      <c r="E46" s="63"/>
      <c r="F46" s="614"/>
      <c r="G46" s="614"/>
      <c r="H46" s="614"/>
      <c r="I46" s="614"/>
      <c r="J46" s="614">
        <v>60</v>
      </c>
      <c r="K46" s="609" t="s">
        <v>36</v>
      </c>
      <c r="L46" s="15"/>
    </row>
    <row r="47" spans="1:12" ht="39" customHeight="1" hidden="1">
      <c r="A47" s="85">
        <v>29</v>
      </c>
      <c r="B47" s="178" t="s">
        <v>584</v>
      </c>
      <c r="C47" s="220" t="s">
        <v>539</v>
      </c>
      <c r="D47" s="613">
        <f t="shared" si="0"/>
        <v>190</v>
      </c>
      <c r="E47" s="63"/>
      <c r="F47" s="614"/>
      <c r="G47" s="614"/>
      <c r="H47" s="614"/>
      <c r="I47" s="614"/>
      <c r="J47" s="614">
        <v>190</v>
      </c>
      <c r="K47" s="609" t="s">
        <v>36</v>
      </c>
      <c r="L47" s="15"/>
    </row>
    <row r="48" spans="1:12" ht="109.5" customHeight="1" hidden="1">
      <c r="A48" s="85">
        <v>30</v>
      </c>
      <c r="B48" s="178" t="s">
        <v>614</v>
      </c>
      <c r="C48" s="220" t="s">
        <v>539</v>
      </c>
      <c r="D48" s="613">
        <f t="shared" si="0"/>
        <v>4.3</v>
      </c>
      <c r="E48" s="63"/>
      <c r="F48" s="614"/>
      <c r="G48" s="614"/>
      <c r="H48" s="614"/>
      <c r="I48" s="614"/>
      <c r="J48" s="614">
        <v>4.3</v>
      </c>
      <c r="K48" s="609" t="s">
        <v>36</v>
      </c>
      <c r="L48" s="15"/>
    </row>
    <row r="49" spans="1:12" ht="54.75" customHeight="1" hidden="1">
      <c r="A49" s="85">
        <v>31</v>
      </c>
      <c r="B49" s="158" t="s">
        <v>620</v>
      </c>
      <c r="C49" s="220" t="s">
        <v>539</v>
      </c>
      <c r="D49" s="613">
        <f t="shared" si="0"/>
        <v>79</v>
      </c>
      <c r="E49" s="63"/>
      <c r="F49" s="614"/>
      <c r="G49" s="614"/>
      <c r="H49" s="614"/>
      <c r="I49" s="614"/>
      <c r="J49" s="614">
        <v>79</v>
      </c>
      <c r="K49" s="609" t="s">
        <v>36</v>
      </c>
      <c r="L49" s="15"/>
    </row>
    <row r="50" spans="1:12" ht="83.25" customHeight="1" hidden="1">
      <c r="A50" s="85">
        <v>32</v>
      </c>
      <c r="B50" s="158" t="s">
        <v>621</v>
      </c>
      <c r="C50" s="220" t="s">
        <v>539</v>
      </c>
      <c r="D50" s="613">
        <f t="shared" si="0"/>
        <v>190</v>
      </c>
      <c r="E50" s="63"/>
      <c r="F50" s="614"/>
      <c r="G50" s="614"/>
      <c r="H50" s="614"/>
      <c r="I50" s="614"/>
      <c r="J50" s="614">
        <v>190</v>
      </c>
      <c r="K50" s="609" t="s">
        <v>36</v>
      </c>
      <c r="L50" s="15"/>
    </row>
    <row r="51" spans="1:12" ht="39" customHeight="1" hidden="1">
      <c r="A51" s="85">
        <v>33</v>
      </c>
      <c r="B51" s="158" t="s">
        <v>622</v>
      </c>
      <c r="C51" s="220" t="s">
        <v>539</v>
      </c>
      <c r="D51" s="613">
        <f t="shared" si="0"/>
        <v>40</v>
      </c>
      <c r="E51" s="63"/>
      <c r="F51" s="614"/>
      <c r="G51" s="614"/>
      <c r="H51" s="614"/>
      <c r="I51" s="614"/>
      <c r="J51" s="614">
        <v>40</v>
      </c>
      <c r="K51" s="609" t="s">
        <v>36</v>
      </c>
      <c r="L51" s="15"/>
    </row>
    <row r="52" spans="1:12" ht="60.75" customHeight="1" hidden="1">
      <c r="A52" s="85">
        <v>34</v>
      </c>
      <c r="B52" s="158" t="s">
        <v>643</v>
      </c>
      <c r="C52" s="220" t="s">
        <v>539</v>
      </c>
      <c r="D52" s="613">
        <f t="shared" si="0"/>
        <v>39</v>
      </c>
      <c r="E52" s="63"/>
      <c r="F52" s="614"/>
      <c r="G52" s="614"/>
      <c r="H52" s="614"/>
      <c r="I52" s="614"/>
      <c r="J52" s="614">
        <v>39</v>
      </c>
      <c r="K52" s="609" t="s">
        <v>36</v>
      </c>
      <c r="L52" s="15"/>
    </row>
    <row r="53" spans="1:12" ht="46.5" customHeight="1" hidden="1">
      <c r="A53" s="85">
        <v>35</v>
      </c>
      <c r="B53" s="158" t="s">
        <v>644</v>
      </c>
      <c r="C53" s="220" t="s">
        <v>539</v>
      </c>
      <c r="D53" s="613">
        <f t="shared" si="0"/>
        <v>450</v>
      </c>
      <c r="E53" s="63"/>
      <c r="F53" s="614"/>
      <c r="G53" s="614"/>
      <c r="H53" s="614"/>
      <c r="I53" s="614"/>
      <c r="J53" s="614">
        <v>450</v>
      </c>
      <c r="K53" s="609" t="s">
        <v>36</v>
      </c>
      <c r="L53" s="15"/>
    </row>
    <row r="54" spans="1:12" ht="21.75" customHeight="1">
      <c r="A54" s="76"/>
      <c r="B54" s="59" t="s">
        <v>5</v>
      </c>
      <c r="C54" s="70"/>
      <c r="D54" s="61">
        <f>E54+F54+J54</f>
        <v>11118</v>
      </c>
      <c r="E54" s="61">
        <f aca="true" t="shared" si="1" ref="E54:J54">E15+E17+E19+E20+E21+E22+E23</f>
        <v>4874</v>
      </c>
      <c r="F54" s="61">
        <f t="shared" si="1"/>
        <v>2995.3</v>
      </c>
      <c r="G54" s="61">
        <f t="shared" si="1"/>
        <v>0</v>
      </c>
      <c r="H54" s="61">
        <f t="shared" si="1"/>
        <v>0</v>
      </c>
      <c r="I54" s="61">
        <f t="shared" si="1"/>
        <v>0</v>
      </c>
      <c r="J54" s="61">
        <f t="shared" si="1"/>
        <v>3248.7</v>
      </c>
      <c r="K54" s="71"/>
      <c r="L54" s="15"/>
    </row>
    <row r="55" spans="1:12" ht="15.75">
      <c r="A55" s="40"/>
      <c r="B55" s="18"/>
      <c r="C55" s="18"/>
      <c r="D55" s="89"/>
      <c r="E55" s="89"/>
      <c r="F55" s="89"/>
      <c r="G55" s="89"/>
      <c r="H55" s="89"/>
      <c r="I55" s="89"/>
      <c r="J55" s="89"/>
      <c r="K55" s="20"/>
      <c r="L55" s="15"/>
    </row>
    <row r="56" spans="1:12" ht="15.75" hidden="1">
      <c r="A56" s="40"/>
      <c r="B56" s="18"/>
      <c r="C56" s="18"/>
      <c r="D56" s="89"/>
      <c r="E56" s="89"/>
      <c r="F56" s="89"/>
      <c r="G56" s="89"/>
      <c r="H56" s="89"/>
      <c r="I56" s="89"/>
      <c r="J56" s="89"/>
      <c r="K56" s="20"/>
      <c r="L56" s="15"/>
    </row>
    <row r="57" spans="1:13" s="90" customFormat="1" ht="18.75" customHeight="1">
      <c r="A57" s="14"/>
      <c r="B57" s="18"/>
      <c r="C57" s="18"/>
      <c r="D57" s="19"/>
      <c r="E57" s="19"/>
      <c r="F57" s="19"/>
      <c r="G57" s="19"/>
      <c r="H57" s="19"/>
      <c r="I57" s="19"/>
      <c r="J57" s="19"/>
      <c r="K57" s="20"/>
      <c r="L57" s="94" t="s">
        <v>7</v>
      </c>
      <c r="M57" s="93"/>
    </row>
    <row r="58" spans="1:13" s="90" customFormat="1" ht="18.75" customHeight="1">
      <c r="A58" s="14"/>
      <c r="B58" s="51"/>
      <c r="C58" s="52"/>
      <c r="D58" s="14"/>
      <c r="E58" s="19"/>
      <c r="F58" s="19"/>
      <c r="G58" s="19"/>
      <c r="H58" s="19"/>
      <c r="I58" s="19"/>
      <c r="J58" s="19"/>
      <c r="K58" s="52"/>
      <c r="L58" s="94"/>
      <c r="M58" s="93"/>
    </row>
    <row r="59" spans="2:12" s="90" customFormat="1" ht="33" customHeight="1">
      <c r="B59" s="357" t="s">
        <v>18</v>
      </c>
      <c r="C59" s="357"/>
      <c r="E59" s="357"/>
      <c r="F59" s="866" t="s">
        <v>30</v>
      </c>
      <c r="G59" s="866"/>
      <c r="H59" s="866"/>
      <c r="I59" s="866"/>
      <c r="J59" s="866"/>
      <c r="K59" s="93"/>
      <c r="L59" s="98"/>
    </row>
    <row r="60" spans="2:14" s="90" customFormat="1" ht="13.5" customHeight="1">
      <c r="B60" s="91"/>
      <c r="C60" s="91"/>
      <c r="E60" s="91"/>
      <c r="F60" s="92"/>
      <c r="G60" s="92"/>
      <c r="H60" s="92"/>
      <c r="I60" s="92"/>
      <c r="J60" s="92"/>
      <c r="K60" s="93"/>
      <c r="L60" s="98"/>
      <c r="N60" s="100"/>
    </row>
    <row r="61" spans="1:11" ht="18.75">
      <c r="A61" s="90"/>
      <c r="B61" s="95" t="s">
        <v>558</v>
      </c>
      <c r="C61" s="95"/>
      <c r="D61" s="90"/>
      <c r="E61" s="96"/>
      <c r="F61" s="97"/>
      <c r="G61" s="97"/>
      <c r="H61" s="97"/>
      <c r="I61" s="97"/>
      <c r="J61" s="97"/>
      <c r="K61" s="98"/>
    </row>
    <row r="62" spans="1:11" ht="15.75">
      <c r="A62" s="90"/>
      <c r="B62" s="139"/>
      <c r="C62" s="90"/>
      <c r="D62" s="99"/>
      <c r="E62" s="97"/>
      <c r="F62" s="97"/>
      <c r="G62" s="97"/>
      <c r="H62" s="97"/>
      <c r="I62" s="97"/>
      <c r="J62" s="97"/>
      <c r="K62" s="98"/>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2">
    <mergeCell ref="B17:B18"/>
    <mergeCell ref="C17:C18"/>
    <mergeCell ref="J15:J16"/>
    <mergeCell ref="K12:K14"/>
    <mergeCell ref="C15:C16"/>
    <mergeCell ref="I13:I14"/>
    <mergeCell ref="A17:A18"/>
    <mergeCell ref="C12:C14"/>
    <mergeCell ref="D15:D16"/>
    <mergeCell ref="E13:E14"/>
    <mergeCell ref="E12:J12"/>
    <mergeCell ref="D12:D14"/>
    <mergeCell ref="F59:J59"/>
    <mergeCell ref="K17:K18"/>
    <mergeCell ref="E17:E18"/>
    <mergeCell ref="A35:A36"/>
    <mergeCell ref="A25:A26"/>
    <mergeCell ref="B25:B26"/>
    <mergeCell ref="J17:J18"/>
    <mergeCell ref="A27:A28"/>
    <mergeCell ref="D17:D18"/>
    <mergeCell ref="K25:K26"/>
    <mergeCell ref="B10:K10"/>
    <mergeCell ref="H13:H14"/>
    <mergeCell ref="K35:K36"/>
    <mergeCell ref="F13:F14"/>
    <mergeCell ref="K27:K28"/>
    <mergeCell ref="B35:B36"/>
    <mergeCell ref="K15:K16"/>
    <mergeCell ref="B12:B14"/>
    <mergeCell ref="B27:B28"/>
    <mergeCell ref="F17:F18"/>
    <mergeCell ref="J7:O7"/>
    <mergeCell ref="A12:A14"/>
    <mergeCell ref="J13:J14"/>
    <mergeCell ref="A15:A16"/>
    <mergeCell ref="B15:B16"/>
    <mergeCell ref="F15:F16"/>
    <mergeCell ref="D11:H11"/>
    <mergeCell ref="E15:E16"/>
    <mergeCell ref="J8:K8"/>
    <mergeCell ref="G13:G14"/>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22.xml><?xml version="1.0" encoding="utf-8"?>
<worksheet xmlns="http://schemas.openxmlformats.org/spreadsheetml/2006/main" xmlns:r="http://schemas.openxmlformats.org/officeDocument/2006/relationships">
  <sheetPr>
    <tabColor theme="2" tint="-0.24997000396251678"/>
    <pageSetUpPr fitToPage="1"/>
  </sheetPr>
  <dimension ref="A1:O85"/>
  <sheetViews>
    <sheetView view="pageBreakPreview" zoomScale="80" zoomScaleSheetLayoutView="80" zoomScalePageLayoutView="0" workbookViewId="0" topLeftCell="A35">
      <selection activeCell="A1" sqref="A1:O79"/>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19</v>
      </c>
      <c r="J1" s="1" t="s">
        <v>450</v>
      </c>
      <c r="K1" s="513"/>
      <c r="L1" s="13" t="s">
        <v>19</v>
      </c>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566</v>
      </c>
      <c r="K3" s="12"/>
      <c r="L3" s="15"/>
      <c r="M3" s="12"/>
      <c r="N3" s="12"/>
      <c r="O3" s="12"/>
    </row>
    <row r="4" spans="2:15" ht="15.75">
      <c r="B4" s="15"/>
      <c r="C4" s="15"/>
      <c r="D4" s="15"/>
      <c r="E4" s="15"/>
      <c r="F4" s="15"/>
      <c r="G4" s="15"/>
      <c r="H4" s="15"/>
      <c r="I4" s="12" t="s">
        <v>21</v>
      </c>
      <c r="J4" s="17" t="s">
        <v>567</v>
      </c>
      <c r="K4" s="17"/>
      <c r="L4" s="15"/>
      <c r="M4" s="12"/>
      <c r="N4" s="12"/>
      <c r="O4" s="12"/>
    </row>
    <row r="5" spans="2:15" ht="15.75">
      <c r="B5" s="15"/>
      <c r="C5" s="15"/>
      <c r="D5" s="15"/>
      <c r="E5" s="15"/>
      <c r="F5" s="15"/>
      <c r="G5" s="15"/>
      <c r="H5" s="15"/>
      <c r="I5" s="12" t="s">
        <v>23</v>
      </c>
      <c r="J5" s="17" t="s">
        <v>907</v>
      </c>
      <c r="K5" s="17"/>
      <c r="L5" s="15"/>
      <c r="M5" s="12"/>
      <c r="N5" s="12"/>
      <c r="O5" s="12"/>
    </row>
    <row r="6" spans="2:15" ht="15.75">
      <c r="B6" s="15"/>
      <c r="C6" s="15"/>
      <c r="D6" s="15"/>
      <c r="E6" s="15"/>
      <c r="F6" s="15"/>
      <c r="G6" s="15"/>
      <c r="H6" s="16"/>
      <c r="I6" s="12" t="s">
        <v>24</v>
      </c>
      <c r="J6" s="17" t="s">
        <v>924</v>
      </c>
      <c r="K6" s="17"/>
      <c r="L6" s="327"/>
      <c r="M6" s="12"/>
      <c r="N6" s="12"/>
      <c r="O6" s="12"/>
    </row>
    <row r="7" spans="2:15" ht="15.75" customHeight="1">
      <c r="B7" s="15"/>
      <c r="C7" s="15"/>
      <c r="D7" s="15"/>
      <c r="E7" s="15"/>
      <c r="F7" s="15"/>
      <c r="G7" s="15"/>
      <c r="H7" s="16"/>
      <c r="I7" s="12"/>
      <c r="J7" s="768" t="s">
        <v>920</v>
      </c>
      <c r="K7" s="768"/>
      <c r="L7" s="768"/>
      <c r="M7" s="768"/>
      <c r="N7" s="768"/>
      <c r="O7" s="768"/>
    </row>
    <row r="8" spans="2:15" ht="15.75">
      <c r="B8" s="15"/>
      <c r="C8" s="15"/>
      <c r="D8" s="15"/>
      <c r="E8" s="15"/>
      <c r="F8" s="15"/>
      <c r="G8" s="15"/>
      <c r="H8" s="15"/>
      <c r="I8" s="15"/>
      <c r="J8" s="768" t="s">
        <v>941</v>
      </c>
      <c r="K8" s="768"/>
      <c r="L8" s="730"/>
      <c r="M8" s="730"/>
      <c r="N8" s="730"/>
      <c r="O8" s="730"/>
    </row>
    <row r="9" spans="2:12" ht="36" customHeight="1">
      <c r="B9" s="769" t="s">
        <v>846</v>
      </c>
      <c r="C9" s="769"/>
      <c r="D9" s="769"/>
      <c r="E9" s="769"/>
      <c r="F9" s="769"/>
      <c r="G9" s="769"/>
      <c r="H9" s="769"/>
      <c r="I9" s="769"/>
      <c r="J9" s="769"/>
      <c r="K9" s="769"/>
      <c r="L9" s="15"/>
    </row>
    <row r="10" spans="2:12" ht="18.75">
      <c r="B10" s="15"/>
      <c r="C10" s="15"/>
      <c r="D10" s="785"/>
      <c r="E10" s="785"/>
      <c r="F10" s="785"/>
      <c r="G10" s="785"/>
      <c r="H10" s="785"/>
      <c r="I10" s="15"/>
      <c r="J10" s="15"/>
      <c r="K10" s="418" t="s">
        <v>426</v>
      </c>
      <c r="L10" s="15"/>
    </row>
    <row r="11" spans="1:12" ht="15.75" customHeight="1">
      <c r="A11" s="867" t="s">
        <v>6</v>
      </c>
      <c r="B11" s="770" t="s">
        <v>12</v>
      </c>
      <c r="C11" s="770" t="s">
        <v>13</v>
      </c>
      <c r="D11" s="770" t="s">
        <v>437</v>
      </c>
      <c r="E11" s="786" t="s">
        <v>9</v>
      </c>
      <c r="F11" s="786"/>
      <c r="G11" s="786"/>
      <c r="H11" s="786"/>
      <c r="I11" s="786"/>
      <c r="J11" s="849"/>
      <c r="K11" s="776" t="s">
        <v>15</v>
      </c>
      <c r="L11" s="15"/>
    </row>
    <row r="12" spans="1:12" ht="15.75">
      <c r="A12" s="868"/>
      <c r="B12" s="771"/>
      <c r="C12" s="771"/>
      <c r="D12" s="771"/>
      <c r="E12" s="770">
        <v>2021</v>
      </c>
      <c r="F12" s="770">
        <v>2022</v>
      </c>
      <c r="G12" s="770" t="s">
        <v>27</v>
      </c>
      <c r="H12" s="770" t="s">
        <v>28</v>
      </c>
      <c r="I12" s="770" t="s">
        <v>29</v>
      </c>
      <c r="J12" s="776">
        <v>2023</v>
      </c>
      <c r="K12" s="776"/>
      <c r="L12" s="15"/>
    </row>
    <row r="13" spans="1:12" ht="21.75" customHeight="1">
      <c r="A13" s="869"/>
      <c r="B13" s="772"/>
      <c r="C13" s="772"/>
      <c r="D13" s="772"/>
      <c r="E13" s="772"/>
      <c r="F13" s="772"/>
      <c r="G13" s="772"/>
      <c r="H13" s="772"/>
      <c r="I13" s="772"/>
      <c r="J13" s="776"/>
      <c r="K13" s="776"/>
      <c r="L13" s="15"/>
    </row>
    <row r="14" spans="1:12" s="505" customFormat="1" ht="42.75" customHeight="1">
      <c r="A14" s="533"/>
      <c r="B14" s="270"/>
      <c r="C14" s="270"/>
      <c r="D14" s="61">
        <f>E14+F14+J14</f>
        <v>13144.973</v>
      </c>
      <c r="E14" s="61">
        <f>E15+E16+E17+E18+E19+E20+E21+E22+E23+E24+E25+E26+E29+E31+E32+E33+E30+E34+E35</f>
        <v>6979.1</v>
      </c>
      <c r="F14" s="61">
        <f>F15+F16+F17+F18+F19+F20+F21+F22+F23+F24+F25+F26+F29+F31+F32+F33+F30+F34</f>
        <v>3085.5</v>
      </c>
      <c r="G14" s="61">
        <f>G15+G16+G17+G18+G19+G20+G21+G22+G23+G24+G25+G26+G29+G31+G32+G33+G30+G34</f>
        <v>0</v>
      </c>
      <c r="H14" s="61">
        <f>H15+H16+H17+H18+H19+H20+H21+H22+H23+H24+H25+H26+H29+H31+H32+H33+H30+H34</f>
        <v>0</v>
      </c>
      <c r="I14" s="61">
        <f>I15+I16+I17+I18+I19+I20+I21+I22+I23+I24+I25+I26+I29+I31+I32+I33+I30+I34</f>
        <v>0</v>
      </c>
      <c r="J14" s="61">
        <f>J15+J16+J17+J18+J19+J20+J21+J22+J23+J24+J25+J26+J29+J31+J32+J33+J30+J34</f>
        <v>3080.373</v>
      </c>
      <c r="K14" s="269"/>
      <c r="L14" s="534"/>
    </row>
    <row r="15" spans="1:12" s="346" customFormat="1" ht="57" customHeight="1">
      <c r="A15" s="616">
        <v>1</v>
      </c>
      <c r="B15" s="509" t="s">
        <v>486</v>
      </c>
      <c r="C15" s="220" t="s">
        <v>657</v>
      </c>
      <c r="D15" s="512">
        <f aca="true" t="shared" si="0" ref="D15:D34">E15+F15+J15</f>
        <v>1148</v>
      </c>
      <c r="E15" s="542">
        <v>338.5</v>
      </c>
      <c r="F15" s="542">
        <v>382.2</v>
      </c>
      <c r="G15" s="542"/>
      <c r="H15" s="542"/>
      <c r="I15" s="542"/>
      <c r="J15" s="542">
        <v>427.3</v>
      </c>
      <c r="K15" s="507" t="s">
        <v>245</v>
      </c>
      <c r="L15" s="312"/>
    </row>
    <row r="16" spans="1:12" s="346" customFormat="1" ht="69" customHeight="1">
      <c r="A16" s="616">
        <v>2</v>
      </c>
      <c r="B16" s="509" t="s">
        <v>60</v>
      </c>
      <c r="C16" s="220" t="s">
        <v>657</v>
      </c>
      <c r="D16" s="512">
        <f t="shared" si="0"/>
        <v>12</v>
      </c>
      <c r="E16" s="542">
        <v>4</v>
      </c>
      <c r="F16" s="542">
        <v>4</v>
      </c>
      <c r="G16" s="542"/>
      <c r="H16" s="542"/>
      <c r="I16" s="542"/>
      <c r="J16" s="542">
        <v>4</v>
      </c>
      <c r="K16" s="507" t="s">
        <v>782</v>
      </c>
      <c r="L16" s="312"/>
    </row>
    <row r="17" spans="1:12" s="346" customFormat="1" ht="56.25" customHeight="1">
      <c r="A17" s="616">
        <v>3</v>
      </c>
      <c r="B17" s="509" t="s">
        <v>727</v>
      </c>
      <c r="C17" s="285" t="s">
        <v>657</v>
      </c>
      <c r="D17" s="512">
        <f t="shared" si="0"/>
        <v>197.7</v>
      </c>
      <c r="E17" s="542">
        <v>96</v>
      </c>
      <c r="F17" s="542">
        <v>101.7</v>
      </c>
      <c r="G17" s="542"/>
      <c r="H17" s="542"/>
      <c r="I17" s="542"/>
      <c r="J17" s="542"/>
      <c r="K17" s="507" t="s">
        <v>782</v>
      </c>
      <c r="L17" s="312"/>
    </row>
    <row r="18" spans="1:12" s="346" customFormat="1" ht="51.75" customHeight="1">
      <c r="A18" s="616">
        <v>4</v>
      </c>
      <c r="B18" s="509" t="s">
        <v>730</v>
      </c>
      <c r="C18" s="220" t="s">
        <v>657</v>
      </c>
      <c r="D18" s="512">
        <f t="shared" si="0"/>
        <v>78.4</v>
      </c>
      <c r="E18" s="542">
        <f>22+2.5</f>
        <v>24.5</v>
      </c>
      <c r="F18" s="542">
        <f>23.5+2.7</f>
        <v>26.2</v>
      </c>
      <c r="G18" s="542"/>
      <c r="H18" s="542"/>
      <c r="I18" s="542"/>
      <c r="J18" s="542">
        <f>24.9+2.8</f>
        <v>27.7</v>
      </c>
      <c r="K18" s="507" t="s">
        <v>783</v>
      </c>
      <c r="L18" s="312"/>
    </row>
    <row r="19" spans="1:12" s="346" customFormat="1" ht="39.75" customHeight="1">
      <c r="A19" s="616">
        <v>5</v>
      </c>
      <c r="B19" s="509" t="s">
        <v>889</v>
      </c>
      <c r="C19" s="220" t="s">
        <v>657</v>
      </c>
      <c r="D19" s="512">
        <f t="shared" si="0"/>
        <v>447.8</v>
      </c>
      <c r="E19" s="621">
        <v>250</v>
      </c>
      <c r="F19" s="542">
        <v>96</v>
      </c>
      <c r="G19" s="542"/>
      <c r="H19" s="542"/>
      <c r="I19" s="542"/>
      <c r="J19" s="542">
        <v>101.8</v>
      </c>
      <c r="K19" s="507" t="s">
        <v>245</v>
      </c>
      <c r="L19" s="312"/>
    </row>
    <row r="20" spans="1:12" s="346" customFormat="1" ht="39.75" customHeight="1">
      <c r="A20" s="616">
        <v>6</v>
      </c>
      <c r="B20" s="611" t="s">
        <v>731</v>
      </c>
      <c r="C20" s="220" t="s">
        <v>657</v>
      </c>
      <c r="D20" s="613">
        <f t="shared" si="0"/>
        <v>959.5999999999999</v>
      </c>
      <c r="E20" s="614">
        <f>200+320</f>
        <v>520</v>
      </c>
      <c r="F20" s="614">
        <v>213.4</v>
      </c>
      <c r="G20" s="614"/>
      <c r="H20" s="614"/>
      <c r="I20" s="614"/>
      <c r="J20" s="614">
        <v>226.2</v>
      </c>
      <c r="K20" s="608" t="s">
        <v>245</v>
      </c>
      <c r="L20" s="312"/>
    </row>
    <row r="21" spans="1:12" s="346" customFormat="1" ht="39.75" customHeight="1">
      <c r="A21" s="699">
        <v>7</v>
      </c>
      <c r="B21" s="701" t="s">
        <v>489</v>
      </c>
      <c r="C21" s="702" t="s">
        <v>657</v>
      </c>
      <c r="D21" s="703">
        <f t="shared" si="0"/>
        <v>500</v>
      </c>
      <c r="E21" s="704">
        <v>500</v>
      </c>
      <c r="F21" s="704"/>
      <c r="G21" s="704"/>
      <c r="H21" s="704"/>
      <c r="I21" s="704"/>
      <c r="J21" s="704"/>
      <c r="K21" s="699" t="s">
        <v>245</v>
      </c>
      <c r="L21" s="312"/>
    </row>
    <row r="22" spans="1:12" s="346" customFormat="1" ht="39.75" customHeight="1">
      <c r="A22" s="699">
        <v>8</v>
      </c>
      <c r="B22" s="701" t="s">
        <v>732</v>
      </c>
      <c r="C22" s="702" t="s">
        <v>657</v>
      </c>
      <c r="D22" s="703">
        <f t="shared" si="0"/>
        <v>180</v>
      </c>
      <c r="E22" s="704">
        <v>180</v>
      </c>
      <c r="F22" s="704"/>
      <c r="G22" s="704"/>
      <c r="H22" s="704"/>
      <c r="I22" s="704"/>
      <c r="J22" s="704"/>
      <c r="K22" s="699" t="s">
        <v>245</v>
      </c>
      <c r="L22" s="312"/>
    </row>
    <row r="23" spans="1:12" s="346" customFormat="1" ht="57.75" customHeight="1">
      <c r="A23" s="699">
        <v>9</v>
      </c>
      <c r="B23" s="701" t="s">
        <v>890</v>
      </c>
      <c r="C23" s="702" t="s">
        <v>657</v>
      </c>
      <c r="D23" s="703">
        <f t="shared" si="0"/>
        <v>300</v>
      </c>
      <c r="E23" s="704">
        <v>80</v>
      </c>
      <c r="F23" s="704">
        <v>100</v>
      </c>
      <c r="G23" s="704"/>
      <c r="H23" s="704"/>
      <c r="I23" s="704"/>
      <c r="J23" s="704">
        <v>120</v>
      </c>
      <c r="K23" s="699" t="s">
        <v>245</v>
      </c>
      <c r="L23" s="312"/>
    </row>
    <row r="24" spans="1:12" s="346" customFormat="1" ht="57" customHeight="1">
      <c r="A24" s="699">
        <v>10</v>
      </c>
      <c r="B24" s="701" t="s">
        <v>842</v>
      </c>
      <c r="C24" s="702" t="s">
        <v>657</v>
      </c>
      <c r="D24" s="703">
        <f t="shared" si="0"/>
        <v>195.3</v>
      </c>
      <c r="E24" s="704">
        <f>47+36.2</f>
        <v>83.2</v>
      </c>
      <c r="F24" s="704">
        <v>53.1</v>
      </c>
      <c r="G24" s="704"/>
      <c r="H24" s="704"/>
      <c r="I24" s="704"/>
      <c r="J24" s="704">
        <v>59</v>
      </c>
      <c r="K24" s="699" t="s">
        <v>245</v>
      </c>
      <c r="L24" s="312"/>
    </row>
    <row r="25" spans="1:12" s="346" customFormat="1" ht="53.25" customHeight="1">
      <c r="A25" s="699">
        <v>11</v>
      </c>
      <c r="B25" s="701" t="s">
        <v>733</v>
      </c>
      <c r="C25" s="702" t="s">
        <v>657</v>
      </c>
      <c r="D25" s="703">
        <f t="shared" si="0"/>
        <v>180</v>
      </c>
      <c r="E25" s="704">
        <v>180</v>
      </c>
      <c r="F25" s="704"/>
      <c r="G25" s="704"/>
      <c r="H25" s="704"/>
      <c r="I25" s="704"/>
      <c r="J25" s="704"/>
      <c r="K25" s="699" t="s">
        <v>245</v>
      </c>
      <c r="L25" s="312"/>
    </row>
    <row r="26" spans="1:12" s="346" customFormat="1" ht="45" customHeight="1">
      <c r="A26" s="616">
        <v>12</v>
      </c>
      <c r="B26" s="618" t="s">
        <v>847</v>
      </c>
      <c r="C26" s="220" t="s">
        <v>657</v>
      </c>
      <c r="D26" s="622">
        <f t="shared" si="0"/>
        <v>400</v>
      </c>
      <c r="E26" s="621">
        <v>400</v>
      </c>
      <c r="F26" s="621"/>
      <c r="G26" s="621"/>
      <c r="H26" s="621"/>
      <c r="I26" s="621"/>
      <c r="J26" s="621"/>
      <c r="K26" s="616" t="s">
        <v>245</v>
      </c>
      <c r="L26" s="312"/>
    </row>
    <row r="27" spans="1:12" s="346" customFormat="1" ht="97.5" customHeight="1" hidden="1">
      <c r="A27" s="616">
        <v>20</v>
      </c>
      <c r="B27" s="509" t="s">
        <v>736</v>
      </c>
      <c r="C27" s="220" t="s">
        <v>657</v>
      </c>
      <c r="D27" s="512">
        <f t="shared" si="0"/>
        <v>200</v>
      </c>
      <c r="E27" s="542">
        <v>200</v>
      </c>
      <c r="F27" s="542"/>
      <c r="G27" s="542"/>
      <c r="H27" s="542"/>
      <c r="I27" s="542"/>
      <c r="J27" s="542"/>
      <c r="K27" s="507" t="s">
        <v>245</v>
      </c>
      <c r="L27" s="312"/>
    </row>
    <row r="28" spans="1:12" s="346" customFormat="1" ht="75.75" customHeight="1" hidden="1">
      <c r="A28" s="616">
        <v>21</v>
      </c>
      <c r="B28" s="253" t="s">
        <v>737</v>
      </c>
      <c r="C28" s="220" t="s">
        <v>657</v>
      </c>
      <c r="D28" s="512">
        <f t="shared" si="0"/>
        <v>200</v>
      </c>
      <c r="E28" s="542">
        <v>200</v>
      </c>
      <c r="F28" s="542"/>
      <c r="G28" s="542"/>
      <c r="H28" s="542"/>
      <c r="I28" s="542"/>
      <c r="J28" s="542"/>
      <c r="K28" s="507" t="s">
        <v>245</v>
      </c>
      <c r="L28" s="312"/>
    </row>
    <row r="29" spans="1:12" s="346" customFormat="1" ht="54" customHeight="1">
      <c r="A29" s="616">
        <v>13</v>
      </c>
      <c r="B29" s="509" t="s">
        <v>738</v>
      </c>
      <c r="C29" s="220" t="s">
        <v>657</v>
      </c>
      <c r="D29" s="512">
        <f t="shared" si="0"/>
        <v>150</v>
      </c>
      <c r="E29" s="542">
        <v>150</v>
      </c>
      <c r="F29" s="542"/>
      <c r="G29" s="542"/>
      <c r="H29" s="542"/>
      <c r="I29" s="542"/>
      <c r="J29" s="542"/>
      <c r="K29" s="507" t="s">
        <v>245</v>
      </c>
      <c r="L29" s="312"/>
    </row>
    <row r="30" spans="1:12" s="346" customFormat="1" ht="54" customHeight="1">
      <c r="A30" s="779">
        <v>14</v>
      </c>
      <c r="B30" s="779" t="s">
        <v>620</v>
      </c>
      <c r="C30" s="674" t="s">
        <v>237</v>
      </c>
      <c r="D30" s="672">
        <f t="shared" si="0"/>
        <v>5359.611</v>
      </c>
      <c r="E30" s="673">
        <v>1785</v>
      </c>
      <c r="F30" s="673">
        <v>1785</v>
      </c>
      <c r="G30" s="673"/>
      <c r="H30" s="673"/>
      <c r="I30" s="673"/>
      <c r="J30" s="673">
        <v>1789.611</v>
      </c>
      <c r="K30" s="779" t="s">
        <v>245</v>
      </c>
      <c r="L30" s="312"/>
    </row>
    <row r="31" spans="1:12" s="346" customFormat="1" ht="57" customHeight="1">
      <c r="A31" s="780"/>
      <c r="B31" s="780"/>
      <c r="C31" s="220" t="s">
        <v>657</v>
      </c>
      <c r="D31" s="512">
        <f t="shared" si="0"/>
        <v>972.5619999999999</v>
      </c>
      <c r="E31" s="542">
        <f>274.4+49.5</f>
        <v>323.9</v>
      </c>
      <c r="F31" s="542">
        <v>323.9</v>
      </c>
      <c r="G31" s="542"/>
      <c r="H31" s="542"/>
      <c r="I31" s="542"/>
      <c r="J31" s="542">
        <v>324.762</v>
      </c>
      <c r="K31" s="780"/>
      <c r="L31" s="312"/>
    </row>
    <row r="32" spans="1:12" s="346" customFormat="1" ht="57" customHeight="1">
      <c r="A32" s="699">
        <v>15</v>
      </c>
      <c r="B32" s="701" t="s">
        <v>763</v>
      </c>
      <c r="C32" s="702" t="s">
        <v>657</v>
      </c>
      <c r="D32" s="703">
        <f t="shared" si="0"/>
        <v>20</v>
      </c>
      <c r="E32" s="704">
        <v>20</v>
      </c>
      <c r="F32" s="704"/>
      <c r="G32" s="704"/>
      <c r="H32" s="704"/>
      <c r="I32" s="704"/>
      <c r="J32" s="704"/>
      <c r="K32" s="699" t="s">
        <v>245</v>
      </c>
      <c r="L32" s="312"/>
    </row>
    <row r="33" spans="1:12" s="346" customFormat="1" ht="57" customHeight="1">
      <c r="A33" s="699">
        <v>16</v>
      </c>
      <c r="B33" s="701" t="s">
        <v>764</v>
      </c>
      <c r="C33" s="702" t="s">
        <v>657</v>
      </c>
      <c r="D33" s="703">
        <f t="shared" si="0"/>
        <v>2</v>
      </c>
      <c r="E33" s="704">
        <v>2</v>
      </c>
      <c r="F33" s="704"/>
      <c r="G33" s="704"/>
      <c r="H33" s="704"/>
      <c r="I33" s="704"/>
      <c r="J33" s="704"/>
      <c r="K33" s="699" t="s">
        <v>245</v>
      </c>
      <c r="L33" s="312"/>
    </row>
    <row r="34" spans="1:12" s="346" customFormat="1" ht="57" customHeight="1">
      <c r="A34" s="699">
        <v>17</v>
      </c>
      <c r="B34" s="701" t="s">
        <v>461</v>
      </c>
      <c r="C34" s="702" t="s">
        <v>657</v>
      </c>
      <c r="D34" s="703">
        <f t="shared" si="0"/>
        <v>1542</v>
      </c>
      <c r="E34" s="704">
        <v>1542</v>
      </c>
      <c r="F34" s="704"/>
      <c r="G34" s="704"/>
      <c r="H34" s="704"/>
      <c r="I34" s="704"/>
      <c r="J34" s="704"/>
      <c r="K34" s="699" t="s">
        <v>245</v>
      </c>
      <c r="L34" s="312"/>
    </row>
    <row r="35" spans="1:12" s="346" customFormat="1" ht="47.25" customHeight="1">
      <c r="A35" s="720">
        <v>18</v>
      </c>
      <c r="B35" s="721" t="s">
        <v>919</v>
      </c>
      <c r="C35" s="726" t="s">
        <v>657</v>
      </c>
      <c r="D35" s="725">
        <f>E35+F35+J35</f>
        <v>500</v>
      </c>
      <c r="E35" s="724">
        <v>500</v>
      </c>
      <c r="F35" s="724"/>
      <c r="G35" s="724"/>
      <c r="H35" s="724"/>
      <c r="I35" s="724"/>
      <c r="J35" s="724"/>
      <c r="K35" s="720" t="s">
        <v>245</v>
      </c>
      <c r="L35" s="312"/>
    </row>
    <row r="36" spans="1:12" s="537" customFormat="1" ht="48.75" customHeight="1">
      <c r="A36" s="617"/>
      <c r="B36" s="535"/>
      <c r="C36" s="508"/>
      <c r="D36" s="512">
        <f>E36+F36+J36</f>
        <v>2830.27</v>
      </c>
      <c r="E36" s="512">
        <f aca="true" t="shared" si="1" ref="E36:J36">E37+E38+E39+E40</f>
        <v>899.7800000000001</v>
      </c>
      <c r="F36" s="622">
        <f t="shared" si="1"/>
        <v>944.1</v>
      </c>
      <c r="G36" s="622">
        <f t="shared" si="1"/>
        <v>244.7</v>
      </c>
      <c r="H36" s="622">
        <f t="shared" si="1"/>
        <v>244.7</v>
      </c>
      <c r="I36" s="622">
        <f t="shared" si="1"/>
        <v>244.7</v>
      </c>
      <c r="J36" s="622">
        <f t="shared" si="1"/>
        <v>986.39</v>
      </c>
      <c r="K36" s="506"/>
      <c r="L36" s="536"/>
    </row>
    <row r="37" spans="1:12" ht="59.25" customHeight="1">
      <c r="A37" s="219">
        <v>19</v>
      </c>
      <c r="B37" s="509" t="s">
        <v>364</v>
      </c>
      <c r="C37" s="220" t="s">
        <v>657</v>
      </c>
      <c r="D37" s="225">
        <f aca="true" t="shared" si="2" ref="D37:D71">E37+F37+J37</f>
        <v>532.5</v>
      </c>
      <c r="E37" s="125">
        <v>177.5</v>
      </c>
      <c r="F37" s="125">
        <v>177.5</v>
      </c>
      <c r="G37" s="125">
        <v>177.5</v>
      </c>
      <c r="H37" s="125">
        <v>177.5</v>
      </c>
      <c r="I37" s="125">
        <v>177.5</v>
      </c>
      <c r="J37" s="125">
        <v>177.5</v>
      </c>
      <c r="K37" s="779" t="s">
        <v>784</v>
      </c>
      <c r="L37" s="15"/>
    </row>
    <row r="38" spans="1:12" ht="84" customHeight="1">
      <c r="A38" s="623">
        <v>20</v>
      </c>
      <c r="B38" s="509" t="s">
        <v>739</v>
      </c>
      <c r="C38" s="220" t="s">
        <v>657</v>
      </c>
      <c r="D38" s="225">
        <f t="shared" si="2"/>
        <v>408.47999999999996</v>
      </c>
      <c r="E38" s="125">
        <v>127.74</v>
      </c>
      <c r="F38" s="125">
        <v>136.23</v>
      </c>
      <c r="G38" s="125"/>
      <c r="H38" s="125"/>
      <c r="I38" s="125"/>
      <c r="J38" s="125">
        <v>144.51</v>
      </c>
      <c r="K38" s="872"/>
      <c r="L38" s="15"/>
    </row>
    <row r="39" spans="1:12" ht="125.25" customHeight="1">
      <c r="A39" s="620">
        <v>21</v>
      </c>
      <c r="B39" s="509" t="s">
        <v>740</v>
      </c>
      <c r="C39" s="220" t="s">
        <v>657</v>
      </c>
      <c r="D39" s="225">
        <f t="shared" si="2"/>
        <v>1687.69</v>
      </c>
      <c r="E39" s="125">
        <v>527.34</v>
      </c>
      <c r="F39" s="125">
        <v>563.17</v>
      </c>
      <c r="G39" s="125"/>
      <c r="H39" s="125"/>
      <c r="I39" s="125"/>
      <c r="J39" s="125">
        <v>597.18</v>
      </c>
      <c r="K39" s="872"/>
      <c r="L39" s="15"/>
    </row>
    <row r="40" spans="1:12" ht="65.25" customHeight="1">
      <c r="A40" s="620">
        <v>22</v>
      </c>
      <c r="B40" s="509" t="s">
        <v>741</v>
      </c>
      <c r="C40" s="220" t="s">
        <v>657</v>
      </c>
      <c r="D40" s="225">
        <f t="shared" si="2"/>
        <v>201.60000000000002</v>
      </c>
      <c r="E40" s="125">
        <v>67.2</v>
      </c>
      <c r="F40" s="125">
        <v>67.2</v>
      </c>
      <c r="G40" s="125">
        <v>67.2</v>
      </c>
      <c r="H40" s="125">
        <v>67.2</v>
      </c>
      <c r="I40" s="125">
        <v>67.2</v>
      </c>
      <c r="J40" s="125">
        <v>67.2</v>
      </c>
      <c r="K40" s="872"/>
      <c r="L40" s="15"/>
    </row>
    <row r="41" spans="1:12" ht="18.75">
      <c r="A41" s="86"/>
      <c r="B41" s="520"/>
      <c r="C41" s="356"/>
      <c r="D41" s="225"/>
      <c r="E41" s="125"/>
      <c r="F41" s="125"/>
      <c r="G41" s="125"/>
      <c r="H41" s="125"/>
      <c r="I41" s="125"/>
      <c r="J41" s="359"/>
      <c r="K41" s="361"/>
      <c r="L41" s="15"/>
    </row>
    <row r="42" spans="1:12" s="519" customFormat="1" ht="27.75" customHeight="1" hidden="1">
      <c r="A42" s="527"/>
      <c r="B42" s="528"/>
      <c r="C42" s="523"/>
      <c r="D42" s="526"/>
      <c r="E42" s="515"/>
      <c r="F42" s="515"/>
      <c r="G42" s="515"/>
      <c r="H42" s="515"/>
      <c r="I42" s="515"/>
      <c r="J42" s="515"/>
      <c r="K42" s="523"/>
      <c r="L42" s="518"/>
    </row>
    <row r="43" spans="1:12" ht="34.5" customHeight="1" hidden="1">
      <c r="A43" s="867">
        <v>10</v>
      </c>
      <c r="B43" s="781" t="s">
        <v>180</v>
      </c>
      <c r="C43" s="220" t="s">
        <v>16</v>
      </c>
      <c r="D43" s="225">
        <f t="shared" si="2"/>
        <v>123</v>
      </c>
      <c r="E43" s="126">
        <v>65</v>
      </c>
      <c r="F43" s="126">
        <v>58</v>
      </c>
      <c r="G43" s="126"/>
      <c r="H43" s="126"/>
      <c r="I43" s="126"/>
      <c r="J43" s="126"/>
      <c r="K43" s="779" t="s">
        <v>36</v>
      </c>
      <c r="L43" s="15"/>
    </row>
    <row r="44" spans="1:12" ht="18.75" hidden="1">
      <c r="A44" s="869"/>
      <c r="B44" s="782"/>
      <c r="C44" s="220" t="s">
        <v>539</v>
      </c>
      <c r="D44" s="225">
        <f t="shared" si="2"/>
        <v>75</v>
      </c>
      <c r="E44" s="126"/>
      <c r="F44" s="126"/>
      <c r="G44" s="126"/>
      <c r="H44" s="126"/>
      <c r="I44" s="126"/>
      <c r="J44" s="126">
        <v>75</v>
      </c>
      <c r="K44" s="780"/>
      <c r="L44" s="15"/>
    </row>
    <row r="45" spans="1:12" ht="36.75" customHeight="1" hidden="1">
      <c r="A45" s="867">
        <v>11</v>
      </c>
      <c r="B45" s="781" t="s">
        <v>379</v>
      </c>
      <c r="C45" s="220" t="s">
        <v>16</v>
      </c>
      <c r="D45" s="225">
        <f t="shared" si="2"/>
        <v>274</v>
      </c>
      <c r="E45" s="126">
        <f>42+80+87</f>
        <v>209</v>
      </c>
      <c r="F45" s="126">
        <f>63+2</f>
        <v>65</v>
      </c>
      <c r="G45" s="126"/>
      <c r="H45" s="126"/>
      <c r="I45" s="126"/>
      <c r="J45" s="126"/>
      <c r="K45" s="779" t="s">
        <v>36</v>
      </c>
      <c r="L45" s="15"/>
    </row>
    <row r="46" spans="1:12" ht="29.25" customHeight="1" hidden="1">
      <c r="A46" s="869"/>
      <c r="B46" s="782"/>
      <c r="C46" s="285" t="s">
        <v>539</v>
      </c>
      <c r="D46" s="225">
        <f t="shared" si="2"/>
        <v>75</v>
      </c>
      <c r="E46" s="126"/>
      <c r="F46" s="126"/>
      <c r="G46" s="126"/>
      <c r="H46" s="126"/>
      <c r="I46" s="126"/>
      <c r="J46" s="126">
        <v>75</v>
      </c>
      <c r="K46" s="780"/>
      <c r="L46" s="15"/>
    </row>
    <row r="47" spans="1:12" ht="37.5" hidden="1">
      <c r="A47" s="85">
        <v>12</v>
      </c>
      <c r="B47" s="164" t="s">
        <v>251</v>
      </c>
      <c r="C47" s="285" t="s">
        <v>16</v>
      </c>
      <c r="D47" s="225">
        <f t="shared" si="2"/>
        <v>150</v>
      </c>
      <c r="E47" s="63">
        <v>150</v>
      </c>
      <c r="F47" s="126">
        <v>0</v>
      </c>
      <c r="G47" s="126">
        <v>0</v>
      </c>
      <c r="H47" s="126">
        <v>0</v>
      </c>
      <c r="I47" s="126">
        <v>0</v>
      </c>
      <c r="J47" s="126">
        <v>0</v>
      </c>
      <c r="K47" s="494" t="s">
        <v>36</v>
      </c>
      <c r="L47" s="15"/>
    </row>
    <row r="48" spans="1:12" ht="37.5" hidden="1">
      <c r="A48" s="85">
        <v>13</v>
      </c>
      <c r="B48" s="164" t="s">
        <v>252</v>
      </c>
      <c r="C48" s="285" t="s">
        <v>16</v>
      </c>
      <c r="D48" s="225">
        <f t="shared" si="2"/>
        <v>1</v>
      </c>
      <c r="E48" s="63">
        <v>1</v>
      </c>
      <c r="F48" s="126">
        <v>0</v>
      </c>
      <c r="G48" s="126"/>
      <c r="H48" s="126"/>
      <c r="I48" s="126"/>
      <c r="J48" s="126">
        <v>0</v>
      </c>
      <c r="K48" s="494" t="s">
        <v>36</v>
      </c>
      <c r="L48" s="15"/>
    </row>
    <row r="49" spans="1:12" s="519" customFormat="1" ht="56.25" customHeight="1" hidden="1">
      <c r="A49" s="524"/>
      <c r="B49" s="525"/>
      <c r="C49" s="516"/>
      <c r="D49" s="526"/>
      <c r="E49" s="515"/>
      <c r="F49" s="515"/>
      <c r="G49" s="515"/>
      <c r="H49" s="515"/>
      <c r="I49" s="515"/>
      <c r="J49" s="515"/>
      <c r="K49" s="522"/>
      <c r="L49" s="518"/>
    </row>
    <row r="50" spans="1:12" ht="75" hidden="1">
      <c r="A50" s="85">
        <v>15</v>
      </c>
      <c r="B50" s="164" t="s">
        <v>372</v>
      </c>
      <c r="C50" s="285" t="s">
        <v>16</v>
      </c>
      <c r="D50" s="225">
        <f t="shared" si="2"/>
        <v>250</v>
      </c>
      <c r="E50" s="63">
        <v>0</v>
      </c>
      <c r="F50" s="126">
        <v>250</v>
      </c>
      <c r="G50" s="126"/>
      <c r="H50" s="126"/>
      <c r="I50" s="126"/>
      <c r="J50" s="126">
        <v>0</v>
      </c>
      <c r="K50" s="494" t="s">
        <v>36</v>
      </c>
      <c r="L50" s="15"/>
    </row>
    <row r="51" spans="1:12" ht="37.5" hidden="1">
      <c r="A51" s="85">
        <v>16</v>
      </c>
      <c r="B51" s="164" t="s">
        <v>378</v>
      </c>
      <c r="C51" s="285" t="s">
        <v>16</v>
      </c>
      <c r="D51" s="225">
        <f t="shared" si="2"/>
        <v>200</v>
      </c>
      <c r="E51" s="63">
        <v>0</v>
      </c>
      <c r="F51" s="126">
        <v>200</v>
      </c>
      <c r="G51" s="126"/>
      <c r="H51" s="126"/>
      <c r="I51" s="126"/>
      <c r="J51" s="126">
        <v>0</v>
      </c>
      <c r="K51" s="494" t="s">
        <v>36</v>
      </c>
      <c r="L51" s="15"/>
    </row>
    <row r="52" spans="1:12" ht="86.25" customHeight="1" hidden="1">
      <c r="A52" s="85">
        <v>17</v>
      </c>
      <c r="B52" s="164" t="s">
        <v>380</v>
      </c>
      <c r="C52" s="285" t="s">
        <v>16</v>
      </c>
      <c r="D52" s="225">
        <f t="shared" si="2"/>
        <v>79.7</v>
      </c>
      <c r="E52" s="63">
        <v>0</v>
      </c>
      <c r="F52" s="126">
        <f>0+20+30+16.2+13.5</f>
        <v>79.7</v>
      </c>
      <c r="G52" s="126"/>
      <c r="H52" s="126"/>
      <c r="I52" s="126"/>
      <c r="J52" s="126">
        <v>0</v>
      </c>
      <c r="K52" s="494" t="s">
        <v>36</v>
      </c>
      <c r="L52" s="15"/>
    </row>
    <row r="53" spans="1:12" ht="32.25" customHeight="1" hidden="1">
      <c r="A53" s="867">
        <v>18</v>
      </c>
      <c r="B53" s="781" t="s">
        <v>470</v>
      </c>
      <c r="C53" s="285" t="s">
        <v>16</v>
      </c>
      <c r="D53" s="225">
        <f t="shared" si="2"/>
        <v>15</v>
      </c>
      <c r="E53" s="63">
        <v>0</v>
      </c>
      <c r="F53" s="126">
        <f>0+12+3</f>
        <v>15</v>
      </c>
      <c r="G53" s="126"/>
      <c r="H53" s="126"/>
      <c r="I53" s="126"/>
      <c r="J53" s="126"/>
      <c r="K53" s="779" t="s">
        <v>36</v>
      </c>
      <c r="L53" s="15"/>
    </row>
    <row r="54" spans="1:12" ht="21" customHeight="1" hidden="1">
      <c r="A54" s="869"/>
      <c r="B54" s="782"/>
      <c r="C54" s="285" t="s">
        <v>539</v>
      </c>
      <c r="D54" s="225">
        <f t="shared" si="2"/>
        <v>30</v>
      </c>
      <c r="E54" s="63"/>
      <c r="F54" s="126"/>
      <c r="G54" s="126"/>
      <c r="H54" s="126"/>
      <c r="I54" s="126"/>
      <c r="J54" s="126">
        <v>30</v>
      </c>
      <c r="K54" s="780"/>
      <c r="L54" s="15"/>
    </row>
    <row r="55" spans="1:12" ht="42" customHeight="1" hidden="1">
      <c r="A55" s="85">
        <v>19</v>
      </c>
      <c r="B55" s="521" t="s">
        <v>537</v>
      </c>
      <c r="C55" s="220" t="s">
        <v>16</v>
      </c>
      <c r="D55" s="225">
        <f t="shared" si="2"/>
        <v>200</v>
      </c>
      <c r="E55" s="63"/>
      <c r="F55" s="126">
        <f>0+200</f>
        <v>200</v>
      </c>
      <c r="G55" s="126"/>
      <c r="H55" s="126"/>
      <c r="I55" s="126"/>
      <c r="J55" s="126"/>
      <c r="K55" s="494" t="s">
        <v>36</v>
      </c>
      <c r="L55" s="15"/>
    </row>
    <row r="56" spans="1:12" ht="42" customHeight="1" hidden="1">
      <c r="A56" s="85">
        <v>20</v>
      </c>
      <c r="B56" s="178" t="s">
        <v>479</v>
      </c>
      <c r="C56" s="220" t="s">
        <v>16</v>
      </c>
      <c r="D56" s="225">
        <f t="shared" si="2"/>
        <v>80</v>
      </c>
      <c r="E56" s="63"/>
      <c r="F56" s="126">
        <f>0+80</f>
        <v>80</v>
      </c>
      <c r="G56" s="126"/>
      <c r="H56" s="126"/>
      <c r="I56" s="126"/>
      <c r="J56" s="126"/>
      <c r="K56" s="494" t="s">
        <v>36</v>
      </c>
      <c r="L56" s="15"/>
    </row>
    <row r="57" spans="1:12" ht="42" customHeight="1" hidden="1">
      <c r="A57" s="85">
        <v>21</v>
      </c>
      <c r="B57" s="178" t="s">
        <v>484</v>
      </c>
      <c r="C57" s="220" t="s">
        <v>16</v>
      </c>
      <c r="D57" s="225">
        <f t="shared" si="2"/>
        <v>84</v>
      </c>
      <c r="E57" s="63"/>
      <c r="F57" s="126">
        <v>84</v>
      </c>
      <c r="G57" s="126"/>
      <c r="H57" s="126"/>
      <c r="I57" s="126"/>
      <c r="J57" s="126"/>
      <c r="K57" s="494" t="s">
        <v>36</v>
      </c>
      <c r="L57" s="15"/>
    </row>
    <row r="58" spans="1:12" ht="69" customHeight="1" hidden="1">
      <c r="A58" s="85">
        <v>22</v>
      </c>
      <c r="B58" s="178" t="s">
        <v>485</v>
      </c>
      <c r="C58" s="220" t="s">
        <v>16</v>
      </c>
      <c r="D58" s="225">
        <f t="shared" si="2"/>
        <v>11.1</v>
      </c>
      <c r="E58" s="63"/>
      <c r="F58" s="126">
        <v>11.1</v>
      </c>
      <c r="G58" s="126"/>
      <c r="H58" s="126"/>
      <c r="I58" s="126"/>
      <c r="J58" s="126"/>
      <c r="K58" s="494" t="s">
        <v>36</v>
      </c>
      <c r="L58" s="15"/>
    </row>
    <row r="59" spans="1:12" ht="34.5" customHeight="1" hidden="1">
      <c r="A59" s="85">
        <v>23</v>
      </c>
      <c r="B59" s="178" t="s">
        <v>534</v>
      </c>
      <c r="C59" s="220" t="s">
        <v>16</v>
      </c>
      <c r="D59" s="225">
        <f t="shared" si="2"/>
        <v>96</v>
      </c>
      <c r="E59" s="63"/>
      <c r="F59" s="126">
        <v>96</v>
      </c>
      <c r="G59" s="126"/>
      <c r="H59" s="126"/>
      <c r="I59" s="126"/>
      <c r="J59" s="126"/>
      <c r="K59" s="494" t="s">
        <v>36</v>
      </c>
      <c r="L59" s="15"/>
    </row>
    <row r="60" spans="1:12" ht="54.75" customHeight="1" hidden="1">
      <c r="A60" s="85">
        <v>24</v>
      </c>
      <c r="B60" s="178" t="s">
        <v>486</v>
      </c>
      <c r="C60" s="220" t="s">
        <v>539</v>
      </c>
      <c r="D60" s="225">
        <f t="shared" si="2"/>
        <v>150</v>
      </c>
      <c r="E60" s="63"/>
      <c r="F60" s="126"/>
      <c r="G60" s="126"/>
      <c r="H60" s="126"/>
      <c r="I60" s="126"/>
      <c r="J60" s="126">
        <v>150</v>
      </c>
      <c r="K60" s="494" t="s">
        <v>36</v>
      </c>
      <c r="L60" s="15"/>
    </row>
    <row r="61" spans="1:12" ht="49.5" customHeight="1" hidden="1">
      <c r="A61" s="85">
        <v>25</v>
      </c>
      <c r="B61" s="178" t="s">
        <v>487</v>
      </c>
      <c r="C61" s="220" t="s">
        <v>539</v>
      </c>
      <c r="D61" s="225">
        <f t="shared" si="2"/>
        <v>50</v>
      </c>
      <c r="E61" s="63"/>
      <c r="F61" s="126"/>
      <c r="G61" s="126"/>
      <c r="H61" s="126"/>
      <c r="I61" s="126"/>
      <c r="J61" s="126">
        <v>50</v>
      </c>
      <c r="K61" s="494" t="s">
        <v>36</v>
      </c>
      <c r="L61" s="15"/>
    </row>
    <row r="62" spans="1:12" ht="39.75" customHeight="1" hidden="1">
      <c r="A62" s="85">
        <v>26</v>
      </c>
      <c r="B62" s="178" t="s">
        <v>488</v>
      </c>
      <c r="C62" s="220" t="s">
        <v>539</v>
      </c>
      <c r="D62" s="225">
        <f t="shared" si="2"/>
        <v>85</v>
      </c>
      <c r="E62" s="63"/>
      <c r="F62" s="126"/>
      <c r="G62" s="126"/>
      <c r="H62" s="126"/>
      <c r="I62" s="126"/>
      <c r="J62" s="126">
        <v>85</v>
      </c>
      <c r="K62" s="494" t="s">
        <v>36</v>
      </c>
      <c r="L62" s="15"/>
    </row>
    <row r="63" spans="1:12" ht="38.25" customHeight="1" hidden="1">
      <c r="A63" s="85">
        <v>27</v>
      </c>
      <c r="B63" s="178" t="s">
        <v>489</v>
      </c>
      <c r="C63" s="220" t="s">
        <v>539</v>
      </c>
      <c r="D63" s="225">
        <f t="shared" si="2"/>
        <v>300</v>
      </c>
      <c r="E63" s="63"/>
      <c r="F63" s="126"/>
      <c r="G63" s="126"/>
      <c r="H63" s="126"/>
      <c r="I63" s="126"/>
      <c r="J63" s="126">
        <v>300</v>
      </c>
      <c r="K63" s="494" t="s">
        <v>36</v>
      </c>
      <c r="L63" s="15"/>
    </row>
    <row r="64" spans="1:12" ht="96" customHeight="1" hidden="1">
      <c r="A64" s="85">
        <v>28</v>
      </c>
      <c r="B64" s="178" t="s">
        <v>538</v>
      </c>
      <c r="C64" s="220" t="s">
        <v>539</v>
      </c>
      <c r="D64" s="225">
        <f t="shared" si="2"/>
        <v>60</v>
      </c>
      <c r="E64" s="63"/>
      <c r="F64" s="126"/>
      <c r="G64" s="126"/>
      <c r="H64" s="126"/>
      <c r="I64" s="126"/>
      <c r="J64" s="126">
        <v>60</v>
      </c>
      <c r="K64" s="494" t="s">
        <v>36</v>
      </c>
      <c r="L64" s="15"/>
    </row>
    <row r="65" spans="1:12" ht="39" customHeight="1" hidden="1">
      <c r="A65" s="85">
        <v>29</v>
      </c>
      <c r="B65" s="178" t="s">
        <v>584</v>
      </c>
      <c r="C65" s="220" t="s">
        <v>539</v>
      </c>
      <c r="D65" s="225">
        <f t="shared" si="2"/>
        <v>190</v>
      </c>
      <c r="E65" s="63"/>
      <c r="F65" s="126"/>
      <c r="G65" s="126"/>
      <c r="H65" s="126"/>
      <c r="I65" s="126"/>
      <c r="J65" s="126">
        <v>190</v>
      </c>
      <c r="K65" s="494" t="s">
        <v>36</v>
      </c>
      <c r="L65" s="15"/>
    </row>
    <row r="66" spans="1:12" ht="109.5" customHeight="1" hidden="1">
      <c r="A66" s="85">
        <v>30</v>
      </c>
      <c r="B66" s="178" t="s">
        <v>614</v>
      </c>
      <c r="C66" s="220" t="s">
        <v>539</v>
      </c>
      <c r="D66" s="225">
        <f t="shared" si="2"/>
        <v>4.3</v>
      </c>
      <c r="E66" s="63"/>
      <c r="F66" s="126"/>
      <c r="G66" s="126"/>
      <c r="H66" s="126"/>
      <c r="I66" s="126"/>
      <c r="J66" s="126">
        <v>4.3</v>
      </c>
      <c r="K66" s="494" t="s">
        <v>36</v>
      </c>
      <c r="L66" s="15"/>
    </row>
    <row r="67" spans="1:12" ht="54.75" customHeight="1" hidden="1">
      <c r="A67" s="85">
        <v>31</v>
      </c>
      <c r="B67" s="158" t="s">
        <v>620</v>
      </c>
      <c r="C67" s="220" t="s">
        <v>539</v>
      </c>
      <c r="D67" s="225">
        <f t="shared" si="2"/>
        <v>79</v>
      </c>
      <c r="E67" s="63"/>
      <c r="F67" s="126"/>
      <c r="G67" s="126"/>
      <c r="H67" s="126"/>
      <c r="I67" s="126"/>
      <c r="J67" s="126">
        <v>79</v>
      </c>
      <c r="K67" s="494" t="s">
        <v>36</v>
      </c>
      <c r="L67" s="15"/>
    </row>
    <row r="68" spans="1:12" ht="83.25" customHeight="1" hidden="1">
      <c r="A68" s="85">
        <v>32</v>
      </c>
      <c r="B68" s="158" t="s">
        <v>621</v>
      </c>
      <c r="C68" s="220" t="s">
        <v>539</v>
      </c>
      <c r="D68" s="225">
        <f t="shared" si="2"/>
        <v>190</v>
      </c>
      <c r="E68" s="63"/>
      <c r="F68" s="126"/>
      <c r="G68" s="126"/>
      <c r="H68" s="126"/>
      <c r="I68" s="126"/>
      <c r="J68" s="126">
        <v>190</v>
      </c>
      <c r="K68" s="494" t="s">
        <v>36</v>
      </c>
      <c r="L68" s="15"/>
    </row>
    <row r="69" spans="1:12" ht="39" customHeight="1" hidden="1">
      <c r="A69" s="85">
        <v>33</v>
      </c>
      <c r="B69" s="158" t="s">
        <v>622</v>
      </c>
      <c r="C69" s="220" t="s">
        <v>539</v>
      </c>
      <c r="D69" s="225">
        <f t="shared" si="2"/>
        <v>40</v>
      </c>
      <c r="E69" s="63"/>
      <c r="F69" s="126"/>
      <c r="G69" s="126"/>
      <c r="H69" s="126"/>
      <c r="I69" s="126"/>
      <c r="J69" s="126">
        <v>40</v>
      </c>
      <c r="K69" s="494" t="s">
        <v>36</v>
      </c>
      <c r="L69" s="15"/>
    </row>
    <row r="70" spans="1:12" ht="60.75" customHeight="1" hidden="1">
      <c r="A70" s="85">
        <v>34</v>
      </c>
      <c r="B70" s="158" t="s">
        <v>643</v>
      </c>
      <c r="C70" s="220" t="s">
        <v>539</v>
      </c>
      <c r="D70" s="225">
        <f t="shared" si="2"/>
        <v>39</v>
      </c>
      <c r="E70" s="63"/>
      <c r="F70" s="126"/>
      <c r="G70" s="126"/>
      <c r="H70" s="126"/>
      <c r="I70" s="126"/>
      <c r="J70" s="126">
        <v>39</v>
      </c>
      <c r="K70" s="494" t="s">
        <v>36</v>
      </c>
      <c r="L70" s="15"/>
    </row>
    <row r="71" spans="1:12" ht="46.5" customHeight="1" hidden="1">
      <c r="A71" s="85">
        <v>35</v>
      </c>
      <c r="B71" s="158" t="s">
        <v>644</v>
      </c>
      <c r="C71" s="220" t="s">
        <v>539</v>
      </c>
      <c r="D71" s="225">
        <f t="shared" si="2"/>
        <v>450</v>
      </c>
      <c r="E71" s="63"/>
      <c r="F71" s="126"/>
      <c r="G71" s="126"/>
      <c r="H71" s="126"/>
      <c r="I71" s="126"/>
      <c r="J71" s="126">
        <v>450</v>
      </c>
      <c r="K71" s="494" t="s">
        <v>36</v>
      </c>
      <c r="L71" s="15"/>
    </row>
    <row r="72" spans="1:12" ht="21.75" customHeight="1">
      <c r="A72" s="76"/>
      <c r="B72" s="59" t="s">
        <v>5</v>
      </c>
      <c r="C72" s="70"/>
      <c r="D72" s="61">
        <f>E72+F72+J72</f>
        <v>15975.242999999999</v>
      </c>
      <c r="E72" s="61">
        <f aca="true" t="shared" si="3" ref="E72:J72">E36+E14</f>
        <v>7878.88</v>
      </c>
      <c r="F72" s="61">
        <f t="shared" si="3"/>
        <v>4029.6</v>
      </c>
      <c r="G72" s="61">
        <f t="shared" si="3"/>
        <v>244.7</v>
      </c>
      <c r="H72" s="61">
        <f t="shared" si="3"/>
        <v>244.7</v>
      </c>
      <c r="I72" s="61">
        <f t="shared" si="3"/>
        <v>244.7</v>
      </c>
      <c r="J72" s="61">
        <f t="shared" si="3"/>
        <v>4066.763</v>
      </c>
      <c r="K72" s="71"/>
      <c r="L72" s="15"/>
    </row>
    <row r="73" spans="1:12" ht="15.75">
      <c r="A73" s="40"/>
      <c r="B73" s="18"/>
      <c r="C73" s="18"/>
      <c r="D73" s="89"/>
      <c r="E73" s="89"/>
      <c r="F73" s="89"/>
      <c r="G73" s="89"/>
      <c r="H73" s="89"/>
      <c r="I73" s="89"/>
      <c r="J73" s="89"/>
      <c r="K73" s="20"/>
      <c r="L73" s="15"/>
    </row>
    <row r="74" spans="1:12" ht="15.75" hidden="1">
      <c r="A74" s="40"/>
      <c r="B74" s="18"/>
      <c r="C74" s="18"/>
      <c r="D74" s="89"/>
      <c r="E74" s="89"/>
      <c r="F74" s="89"/>
      <c r="G74" s="89"/>
      <c r="H74" s="89"/>
      <c r="I74" s="89"/>
      <c r="J74" s="89"/>
      <c r="K74" s="20"/>
      <c r="L74" s="15"/>
    </row>
    <row r="75" spans="1:13" s="90" customFormat="1" ht="18.75" customHeight="1">
      <c r="A75" s="14"/>
      <c r="B75" s="18"/>
      <c r="C75" s="18"/>
      <c r="D75" s="19"/>
      <c r="E75" s="19"/>
      <c r="F75" s="19"/>
      <c r="G75" s="19"/>
      <c r="H75" s="19"/>
      <c r="I75" s="19"/>
      <c r="J75" s="19"/>
      <c r="K75" s="20"/>
      <c r="L75" s="94" t="s">
        <v>7</v>
      </c>
      <c r="M75" s="93"/>
    </row>
    <row r="76" spans="1:13" s="90" customFormat="1" ht="18.75" customHeight="1">
      <c r="A76" s="14"/>
      <c r="B76" s="51"/>
      <c r="C76" s="52"/>
      <c r="D76" s="14"/>
      <c r="E76" s="19"/>
      <c r="F76" s="19"/>
      <c r="G76" s="19"/>
      <c r="H76" s="19"/>
      <c r="I76" s="19"/>
      <c r="J76" s="19"/>
      <c r="K76" s="52"/>
      <c r="L76" s="94"/>
      <c r="M76" s="93"/>
    </row>
    <row r="77" spans="2:12" s="90" customFormat="1" ht="33" customHeight="1">
      <c r="B77" s="357" t="s">
        <v>18</v>
      </c>
      <c r="C77" s="357"/>
      <c r="E77" s="357"/>
      <c r="F77" s="866" t="s">
        <v>30</v>
      </c>
      <c r="G77" s="866"/>
      <c r="H77" s="866"/>
      <c r="I77" s="866"/>
      <c r="J77" s="866"/>
      <c r="K77" s="93"/>
      <c r="L77" s="98"/>
    </row>
    <row r="78" spans="2:14" s="90" customFormat="1" ht="13.5" customHeight="1">
      <c r="B78" s="91"/>
      <c r="C78" s="91"/>
      <c r="E78" s="91"/>
      <c r="F78" s="92"/>
      <c r="G78" s="92"/>
      <c r="H78" s="92"/>
      <c r="I78" s="92"/>
      <c r="J78" s="92"/>
      <c r="K78" s="93"/>
      <c r="L78" s="98"/>
      <c r="N78" s="100"/>
    </row>
    <row r="79" spans="1:11" ht="18.75">
      <c r="A79" s="90"/>
      <c r="B79" s="95" t="s">
        <v>558</v>
      </c>
      <c r="C79" s="95"/>
      <c r="D79" s="90"/>
      <c r="E79" s="96"/>
      <c r="F79" s="97"/>
      <c r="G79" s="97"/>
      <c r="H79" s="97"/>
      <c r="I79" s="97"/>
      <c r="J79" s="97"/>
      <c r="K79" s="98"/>
    </row>
    <row r="80" spans="1:11" ht="15.75">
      <c r="A80" s="90"/>
      <c r="B80" s="139"/>
      <c r="C80" s="90"/>
      <c r="D80" s="99"/>
      <c r="E80" s="97"/>
      <c r="F80" s="97"/>
      <c r="G80" s="97"/>
      <c r="H80" s="97"/>
      <c r="I80" s="97"/>
      <c r="J80" s="97"/>
      <c r="K80" s="98"/>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30">
    <mergeCell ref="A53:A54"/>
    <mergeCell ref="B53:B54"/>
    <mergeCell ref="K53:K54"/>
    <mergeCell ref="A45:A46"/>
    <mergeCell ref="B45:B46"/>
    <mergeCell ref="B9:K9"/>
    <mergeCell ref="D10:H10"/>
    <mergeCell ref="G12:G13"/>
    <mergeCell ref="H12:H13"/>
    <mergeCell ref="A43:A44"/>
    <mergeCell ref="J7:O7"/>
    <mergeCell ref="A30:A31"/>
    <mergeCell ref="B30:B31"/>
    <mergeCell ref="K30:K31"/>
    <mergeCell ref="F12:F13"/>
    <mergeCell ref="K45:K46"/>
    <mergeCell ref="B43:B44"/>
    <mergeCell ref="K43:K44"/>
    <mergeCell ref="I12:I13"/>
    <mergeCell ref="J12:J13"/>
    <mergeCell ref="J8:K8"/>
    <mergeCell ref="F77:J77"/>
    <mergeCell ref="K37:K40"/>
    <mergeCell ref="A11:A13"/>
    <mergeCell ref="B11:B13"/>
    <mergeCell ref="C11:C13"/>
    <mergeCell ref="D11:D13"/>
    <mergeCell ref="E11:J11"/>
    <mergeCell ref="K11:K13"/>
    <mergeCell ref="E12:E13"/>
  </mergeCells>
  <printOptions horizontalCentered="1"/>
  <pageMargins left="0" right="0" top="1.1811023622047245" bottom="0" header="0" footer="0"/>
  <pageSetup fitToHeight="0" fitToWidth="1" horizontalDpi="600" verticalDpi="600" orientation="landscape" paperSize="9" scale="69" r:id="rId1"/>
  <rowBreaks count="2" manualBreakCount="2">
    <brk id="23" max="10" man="1"/>
    <brk id="79" max="10" man="1"/>
  </rowBreaks>
</worksheet>
</file>

<file path=xl/worksheets/sheet23.xml><?xml version="1.0" encoding="utf-8"?>
<worksheet xmlns="http://schemas.openxmlformats.org/spreadsheetml/2006/main" xmlns:r="http://schemas.openxmlformats.org/officeDocument/2006/relationships">
  <sheetPr>
    <tabColor theme="2" tint="-0.24997000396251678"/>
    <pageSetUpPr fitToPage="1"/>
  </sheetPr>
  <dimension ref="A1:O58"/>
  <sheetViews>
    <sheetView view="pageBreakPreview" zoomScale="83" zoomScaleSheetLayoutView="83" zoomScalePageLayoutView="75" workbookViewId="0" topLeftCell="A23">
      <selection activeCell="A1" sqref="A1:O52"/>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 min="16" max="16" width="2.421875" style="0" customWidth="1"/>
  </cols>
  <sheetData>
    <row r="1" spans="2:11" ht="15.75">
      <c r="B1" s="1"/>
      <c r="C1" s="1"/>
      <c r="D1" s="1"/>
      <c r="E1" s="1"/>
      <c r="F1" s="1"/>
      <c r="G1" s="1"/>
      <c r="H1" s="1"/>
      <c r="I1" s="2" t="s">
        <v>19</v>
      </c>
      <c r="J1" s="1" t="s">
        <v>451</v>
      </c>
      <c r="K1" s="513"/>
    </row>
    <row r="2" spans="2:15" ht="17.25" customHeight="1">
      <c r="B2" s="1"/>
      <c r="C2" s="1"/>
      <c r="D2" s="1"/>
      <c r="E2" s="1"/>
      <c r="F2" s="1"/>
      <c r="G2" s="1"/>
      <c r="H2" s="1"/>
      <c r="I2" s="3" t="s">
        <v>11</v>
      </c>
      <c r="J2" s="12" t="s">
        <v>11</v>
      </c>
      <c r="K2" s="12"/>
      <c r="L2" s="15"/>
      <c r="M2" s="12"/>
      <c r="N2" s="12"/>
      <c r="O2" s="12"/>
    </row>
    <row r="3" spans="2:15" ht="15.75" customHeight="1">
      <c r="B3" s="1"/>
      <c r="C3" s="1"/>
      <c r="D3" s="1"/>
      <c r="E3" s="1"/>
      <c r="F3" s="1"/>
      <c r="G3" s="1"/>
      <c r="H3" s="1"/>
      <c r="I3" s="3"/>
      <c r="J3" s="12" t="s">
        <v>566</v>
      </c>
      <c r="K3" s="12"/>
      <c r="L3" s="15"/>
      <c r="M3" s="12"/>
      <c r="N3" s="12"/>
      <c r="O3" s="12"/>
    </row>
    <row r="4" spans="2:15" ht="15" customHeight="1">
      <c r="B4" s="1"/>
      <c r="C4" s="1"/>
      <c r="D4" s="1"/>
      <c r="E4" s="1"/>
      <c r="F4" s="1"/>
      <c r="G4" s="1"/>
      <c r="H4" s="1"/>
      <c r="I4" s="3" t="s">
        <v>21</v>
      </c>
      <c r="J4" s="17" t="s">
        <v>567</v>
      </c>
      <c r="K4" s="17"/>
      <c r="L4" s="15"/>
      <c r="M4" s="12"/>
      <c r="N4" s="12"/>
      <c r="O4" s="12"/>
    </row>
    <row r="5" spans="2:15" ht="17.25" customHeight="1">
      <c r="B5" s="1"/>
      <c r="C5" s="1"/>
      <c r="D5" s="1"/>
      <c r="E5" s="1"/>
      <c r="F5" s="1"/>
      <c r="G5" s="1"/>
      <c r="H5" s="1"/>
      <c r="I5" s="3" t="s">
        <v>23</v>
      </c>
      <c r="J5" s="17" t="s">
        <v>907</v>
      </c>
      <c r="K5" s="17"/>
      <c r="L5" s="15"/>
      <c r="M5" s="12"/>
      <c r="N5" s="12"/>
      <c r="O5" s="12"/>
    </row>
    <row r="6" spans="2:15" ht="15" customHeight="1">
      <c r="B6" s="1"/>
      <c r="C6" s="1"/>
      <c r="D6" s="1"/>
      <c r="E6" s="1"/>
      <c r="F6" s="1"/>
      <c r="G6" s="1"/>
      <c r="H6" s="1"/>
      <c r="I6" s="3"/>
      <c r="J6" s="17" t="s">
        <v>924</v>
      </c>
      <c r="K6" s="17"/>
      <c r="L6" s="327"/>
      <c r="M6" s="12"/>
      <c r="N6" s="12"/>
      <c r="O6" s="12"/>
    </row>
    <row r="7" spans="2:15" ht="15" customHeight="1">
      <c r="B7" s="1"/>
      <c r="C7" s="1"/>
      <c r="D7" s="1"/>
      <c r="E7" s="1"/>
      <c r="F7" s="1"/>
      <c r="G7" s="1"/>
      <c r="H7" s="1"/>
      <c r="I7" s="3"/>
      <c r="J7" s="768" t="s">
        <v>920</v>
      </c>
      <c r="K7" s="768"/>
      <c r="L7" s="768"/>
      <c r="M7" s="768"/>
      <c r="N7" s="768"/>
      <c r="O7" s="768"/>
    </row>
    <row r="8" spans="9:15" s="388" customFormat="1" ht="15" customHeight="1">
      <c r="I8" s="55" t="s">
        <v>24</v>
      </c>
      <c r="J8" s="768" t="s">
        <v>941</v>
      </c>
      <c r="K8" s="768"/>
      <c r="L8" s="730"/>
      <c r="M8" s="730"/>
      <c r="N8" s="730"/>
      <c r="O8" s="730"/>
    </row>
    <row r="9" spans="9:11" s="388" customFormat="1" ht="15" customHeight="1">
      <c r="I9" s="55"/>
      <c r="J9" s="3"/>
      <c r="K9" s="3"/>
    </row>
    <row r="10" spans="9:11" s="388" customFormat="1" ht="15" customHeight="1">
      <c r="I10" s="55" t="s">
        <v>25</v>
      </c>
      <c r="J10" s="768"/>
      <c r="K10" s="879"/>
    </row>
    <row r="11" spans="9:11" s="388" customFormat="1" ht="15.75" customHeight="1">
      <c r="I11" s="55"/>
      <c r="J11" s="768"/>
      <c r="K11" s="768"/>
    </row>
    <row r="12" spans="2:11" ht="15" customHeight="1">
      <c r="B12" s="1"/>
      <c r="C12" s="1"/>
      <c r="D12" s="1"/>
      <c r="E12" s="1"/>
      <c r="F12" s="1"/>
      <c r="G12" s="1"/>
      <c r="H12" s="1"/>
      <c r="I12" s="1"/>
      <c r="J12" s="1"/>
      <c r="K12" s="1"/>
    </row>
    <row r="13" spans="2:11" ht="6" customHeight="1">
      <c r="B13" s="1"/>
      <c r="C13" s="1"/>
      <c r="D13" s="1"/>
      <c r="E13" s="1"/>
      <c r="F13" s="1"/>
      <c r="G13" s="1"/>
      <c r="H13" s="1"/>
      <c r="I13" s="1"/>
      <c r="J13" s="388"/>
      <c r="K13" s="1"/>
    </row>
    <row r="14" spans="2:11" ht="34.5" customHeight="1">
      <c r="B14" s="815" t="s">
        <v>724</v>
      </c>
      <c r="C14" s="815"/>
      <c r="D14" s="815"/>
      <c r="E14" s="815"/>
      <c r="F14" s="815"/>
      <c r="G14" s="815"/>
      <c r="H14" s="815"/>
      <c r="I14" s="815"/>
      <c r="J14" s="815"/>
      <c r="K14" s="815"/>
    </row>
    <row r="15" spans="2:11" ht="15.75">
      <c r="B15" s="1"/>
      <c r="C15" s="1"/>
      <c r="D15" s="857"/>
      <c r="E15" s="857"/>
      <c r="F15" s="857"/>
      <c r="G15" s="857"/>
      <c r="H15" s="857"/>
      <c r="I15" s="1"/>
      <c r="J15" s="1"/>
      <c r="K15" s="45" t="s">
        <v>391</v>
      </c>
    </row>
    <row r="16" spans="1:11" ht="15" customHeight="1">
      <c r="A16" s="770" t="s">
        <v>6</v>
      </c>
      <c r="B16" s="770" t="s">
        <v>12</v>
      </c>
      <c r="C16" s="770" t="s">
        <v>398</v>
      </c>
      <c r="D16" s="770" t="s">
        <v>397</v>
      </c>
      <c r="E16" s="786" t="s">
        <v>9</v>
      </c>
      <c r="F16" s="786"/>
      <c r="G16" s="786"/>
      <c r="H16" s="786"/>
      <c r="I16" s="786"/>
      <c r="J16" s="849"/>
      <c r="K16" s="776" t="s">
        <v>15</v>
      </c>
    </row>
    <row r="17" spans="1:11" ht="12.75">
      <c r="A17" s="771"/>
      <c r="B17" s="771"/>
      <c r="C17" s="771"/>
      <c r="D17" s="771"/>
      <c r="E17" s="770">
        <v>2021</v>
      </c>
      <c r="F17" s="770">
        <v>2022</v>
      </c>
      <c r="G17" s="770" t="s">
        <v>27</v>
      </c>
      <c r="H17" s="770" t="s">
        <v>28</v>
      </c>
      <c r="I17" s="770" t="s">
        <v>29</v>
      </c>
      <c r="J17" s="776">
        <v>2023</v>
      </c>
      <c r="K17" s="776"/>
    </row>
    <row r="18" spans="1:11" ht="24.75" customHeight="1">
      <c r="A18" s="772"/>
      <c r="B18" s="772"/>
      <c r="C18" s="772"/>
      <c r="D18" s="772"/>
      <c r="E18" s="772"/>
      <c r="F18" s="772"/>
      <c r="G18" s="772"/>
      <c r="H18" s="772"/>
      <c r="I18" s="772"/>
      <c r="J18" s="776"/>
      <c r="K18" s="776"/>
    </row>
    <row r="19" spans="1:11" s="256" customFormat="1" ht="76.5" customHeight="1">
      <c r="A19" s="220">
        <v>1</v>
      </c>
      <c r="B19" s="164" t="s">
        <v>885</v>
      </c>
      <c r="C19" s="220" t="s">
        <v>657</v>
      </c>
      <c r="D19" s="125">
        <f>SUM(E19:J19)</f>
        <v>11028.8</v>
      </c>
      <c r="E19" s="621">
        <v>3448.5</v>
      </c>
      <c r="F19" s="126">
        <v>3680</v>
      </c>
      <c r="G19" s="126"/>
      <c r="H19" s="126"/>
      <c r="I19" s="126"/>
      <c r="J19" s="126">
        <v>3900.3</v>
      </c>
      <c r="K19" s="220" t="s">
        <v>245</v>
      </c>
    </row>
    <row r="20" spans="1:11" s="256" customFormat="1" ht="48.75" customHeight="1">
      <c r="A20" s="282">
        <v>2</v>
      </c>
      <c r="B20" s="282" t="s">
        <v>916</v>
      </c>
      <c r="C20" s="779" t="s">
        <v>657</v>
      </c>
      <c r="D20" s="716">
        <f>SUM(E20:J20)</f>
        <v>25100</v>
      </c>
      <c r="E20" s="716">
        <f>E21+E22</f>
        <v>25100</v>
      </c>
      <c r="F20" s="716"/>
      <c r="G20" s="717"/>
      <c r="H20" s="717"/>
      <c r="I20" s="717"/>
      <c r="J20" s="716"/>
      <c r="K20" s="779" t="s">
        <v>785</v>
      </c>
    </row>
    <row r="21" spans="1:11" s="256" customFormat="1" ht="39.75" customHeight="1">
      <c r="A21" s="719" t="s">
        <v>356</v>
      </c>
      <c r="B21" s="229" t="s">
        <v>922</v>
      </c>
      <c r="C21" s="872"/>
      <c r="D21" s="716">
        <f>SUM(E21:J21)</f>
        <v>13000</v>
      </c>
      <c r="E21" s="718">
        <v>13000</v>
      </c>
      <c r="F21" s="718"/>
      <c r="G21" s="125"/>
      <c r="H21" s="125"/>
      <c r="I21" s="125"/>
      <c r="J21" s="718"/>
      <c r="K21" s="872"/>
    </row>
    <row r="22" spans="1:11" s="256" customFormat="1" ht="36.75" customHeight="1">
      <c r="A22" s="719" t="s">
        <v>388</v>
      </c>
      <c r="B22" s="229" t="s">
        <v>923</v>
      </c>
      <c r="C22" s="780"/>
      <c r="D22" s="716">
        <f>SUM(E22:J22)</f>
        <v>12100</v>
      </c>
      <c r="E22" s="718">
        <f>18600-6500</f>
        <v>12100</v>
      </c>
      <c r="F22" s="718"/>
      <c r="G22" s="125"/>
      <c r="H22" s="125"/>
      <c r="I22" s="125"/>
      <c r="J22" s="718"/>
      <c r="K22" s="780"/>
    </row>
    <row r="23" spans="1:11" s="256" customFormat="1" ht="36" customHeight="1">
      <c r="A23" s="779">
        <v>3</v>
      </c>
      <c r="B23" s="781" t="s">
        <v>843</v>
      </c>
      <c r="C23" s="779" t="s">
        <v>657</v>
      </c>
      <c r="D23" s="881">
        <f>E23+F23+J23</f>
        <v>405.5</v>
      </c>
      <c r="E23" s="881">
        <v>405.5</v>
      </c>
      <c r="F23" s="881"/>
      <c r="G23" s="125"/>
      <c r="H23" s="125"/>
      <c r="I23" s="125"/>
      <c r="J23" s="881"/>
      <c r="K23" s="779" t="s">
        <v>785</v>
      </c>
    </row>
    <row r="24" spans="1:11" s="256" customFormat="1" ht="27" customHeight="1">
      <c r="A24" s="780"/>
      <c r="B24" s="782"/>
      <c r="C24" s="780"/>
      <c r="D24" s="882"/>
      <c r="E24" s="882"/>
      <c r="F24" s="882"/>
      <c r="G24" s="125"/>
      <c r="H24" s="125"/>
      <c r="I24" s="125"/>
      <c r="J24" s="882"/>
      <c r="K24" s="780"/>
    </row>
    <row r="25" spans="1:11" s="256" customFormat="1" ht="31.5" customHeight="1">
      <c r="A25" s="779">
        <v>4</v>
      </c>
      <c r="B25" s="781" t="s">
        <v>886</v>
      </c>
      <c r="C25" s="779" t="s">
        <v>657</v>
      </c>
      <c r="D25" s="881">
        <f aca="true" t="shared" si="0" ref="D25:D32">SUM(E25:J25)</f>
        <v>360</v>
      </c>
      <c r="E25" s="881">
        <v>360</v>
      </c>
      <c r="F25" s="881"/>
      <c r="G25" s="125"/>
      <c r="H25" s="125"/>
      <c r="I25" s="125"/>
      <c r="J25" s="881"/>
      <c r="K25" s="779" t="s">
        <v>785</v>
      </c>
    </row>
    <row r="26" spans="1:11" s="256" customFormat="1" ht="38.25" customHeight="1">
      <c r="A26" s="780"/>
      <c r="B26" s="782"/>
      <c r="C26" s="780"/>
      <c r="D26" s="882"/>
      <c r="E26" s="882"/>
      <c r="F26" s="882"/>
      <c r="G26" s="125"/>
      <c r="H26" s="125"/>
      <c r="I26" s="125"/>
      <c r="J26" s="882"/>
      <c r="K26" s="780"/>
    </row>
    <row r="27" spans="1:11" s="256" customFormat="1" ht="35.25" customHeight="1">
      <c r="A27" s="779">
        <v>5</v>
      </c>
      <c r="B27" s="781" t="s">
        <v>725</v>
      </c>
      <c r="C27" s="779" t="s">
        <v>657</v>
      </c>
      <c r="D27" s="881">
        <f t="shared" si="0"/>
        <v>800</v>
      </c>
      <c r="E27" s="881">
        <v>800</v>
      </c>
      <c r="F27" s="881"/>
      <c r="G27" s="125"/>
      <c r="H27" s="125"/>
      <c r="I27" s="125"/>
      <c r="J27" s="881"/>
      <c r="K27" s="779" t="s">
        <v>245</v>
      </c>
    </row>
    <row r="28" spans="1:11" s="256" customFormat="1" ht="14.25" customHeight="1">
      <c r="A28" s="780"/>
      <c r="B28" s="782"/>
      <c r="C28" s="780"/>
      <c r="D28" s="882"/>
      <c r="E28" s="882"/>
      <c r="F28" s="882"/>
      <c r="G28" s="125"/>
      <c r="H28" s="125"/>
      <c r="I28" s="125"/>
      <c r="J28" s="882"/>
      <c r="K28" s="780"/>
    </row>
    <row r="29" spans="1:11" s="256" customFormat="1" ht="69" customHeight="1">
      <c r="A29" s="220">
        <v>6</v>
      </c>
      <c r="B29" s="164" t="s">
        <v>887</v>
      </c>
      <c r="C29" s="220" t="s">
        <v>657</v>
      </c>
      <c r="D29" s="125">
        <f t="shared" si="0"/>
        <v>120</v>
      </c>
      <c r="E29" s="125">
        <v>120</v>
      </c>
      <c r="F29" s="420"/>
      <c r="G29" s="125"/>
      <c r="H29" s="125"/>
      <c r="I29" s="125"/>
      <c r="J29" s="125"/>
      <c r="K29" s="220" t="s">
        <v>245</v>
      </c>
    </row>
    <row r="30" spans="1:11" s="256" customFormat="1" ht="47.25" customHeight="1">
      <c r="A30" s="220">
        <v>7</v>
      </c>
      <c r="B30" s="164" t="s">
        <v>888</v>
      </c>
      <c r="C30" s="220" t="s">
        <v>657</v>
      </c>
      <c r="D30" s="125">
        <f>SUM(E30:J30)</f>
        <v>300</v>
      </c>
      <c r="E30" s="125">
        <f>50+50+50+50+100</f>
        <v>300</v>
      </c>
      <c r="F30" s="420"/>
      <c r="G30" s="125"/>
      <c r="H30" s="125"/>
      <c r="I30" s="125"/>
      <c r="J30" s="125"/>
      <c r="K30" s="544" t="s">
        <v>245</v>
      </c>
    </row>
    <row r="31" spans="1:11" s="256" customFormat="1" ht="50.25" customHeight="1">
      <c r="A31" s="220">
        <v>8</v>
      </c>
      <c r="B31" s="164" t="s">
        <v>762</v>
      </c>
      <c r="C31" s="220" t="s">
        <v>657</v>
      </c>
      <c r="D31" s="125">
        <f t="shared" si="0"/>
        <v>13</v>
      </c>
      <c r="E31" s="125">
        <v>13</v>
      </c>
      <c r="F31" s="420"/>
      <c r="G31" s="125"/>
      <c r="H31" s="125"/>
      <c r="I31" s="125"/>
      <c r="J31" s="125"/>
      <c r="K31" s="544" t="s">
        <v>245</v>
      </c>
    </row>
    <row r="32" spans="1:11" s="256" customFormat="1" ht="36" customHeight="1">
      <c r="A32" s="779">
        <v>9</v>
      </c>
      <c r="B32" s="781" t="s">
        <v>726</v>
      </c>
      <c r="C32" s="779" t="s">
        <v>657</v>
      </c>
      <c r="D32" s="881">
        <f t="shared" si="0"/>
        <v>500</v>
      </c>
      <c r="E32" s="881">
        <v>500</v>
      </c>
      <c r="F32" s="881"/>
      <c r="G32" s="126"/>
      <c r="H32" s="126"/>
      <c r="I32" s="126"/>
      <c r="J32" s="881"/>
      <c r="K32" s="779" t="s">
        <v>245</v>
      </c>
    </row>
    <row r="33" spans="1:11" s="256" customFormat="1" ht="28.5" customHeight="1">
      <c r="A33" s="780"/>
      <c r="B33" s="782"/>
      <c r="C33" s="780"/>
      <c r="D33" s="882"/>
      <c r="E33" s="882"/>
      <c r="F33" s="882"/>
      <c r="G33" s="126"/>
      <c r="H33" s="126"/>
      <c r="I33" s="126"/>
      <c r="J33" s="882"/>
      <c r="K33" s="780"/>
    </row>
    <row r="34" spans="1:11" ht="36" customHeight="1" hidden="1">
      <c r="A34" s="456" t="s">
        <v>553</v>
      </c>
      <c r="B34" s="164" t="s">
        <v>555</v>
      </c>
      <c r="C34" s="285" t="s">
        <v>657</v>
      </c>
      <c r="D34" s="125">
        <f aca="true" t="shared" si="1" ref="D34:D46">E34</f>
        <v>0</v>
      </c>
      <c r="E34" s="63"/>
      <c r="F34" s="126"/>
      <c r="G34" s="126"/>
      <c r="H34" s="126"/>
      <c r="I34" s="126"/>
      <c r="J34" s="126">
        <f>26000+8000</f>
        <v>34000</v>
      </c>
      <c r="K34" s="667"/>
    </row>
    <row r="35" spans="1:11" ht="117.75" customHeight="1" hidden="1">
      <c r="A35" s="35">
        <v>11</v>
      </c>
      <c r="B35" s="421" t="s">
        <v>381</v>
      </c>
      <c r="C35" s="285" t="s">
        <v>657</v>
      </c>
      <c r="D35" s="125">
        <f t="shared" si="1"/>
        <v>45</v>
      </c>
      <c r="E35" s="63">
        <f>35+10</f>
        <v>45</v>
      </c>
      <c r="F35" s="126">
        <f>40+15+23</f>
        <v>78</v>
      </c>
      <c r="G35" s="126"/>
      <c r="H35" s="126"/>
      <c r="I35" s="126"/>
      <c r="J35" s="126"/>
      <c r="K35" s="35" t="s">
        <v>255</v>
      </c>
    </row>
    <row r="36" spans="1:11" ht="57" customHeight="1" hidden="1">
      <c r="A36" s="35">
        <v>12</v>
      </c>
      <c r="B36" s="164" t="s">
        <v>322</v>
      </c>
      <c r="C36" s="285" t="s">
        <v>657</v>
      </c>
      <c r="D36" s="125">
        <f t="shared" si="1"/>
        <v>0</v>
      </c>
      <c r="E36" s="63"/>
      <c r="F36" s="126">
        <f>2300-80-190-40-15-23</f>
        <v>1952</v>
      </c>
      <c r="G36" s="126"/>
      <c r="H36" s="126"/>
      <c r="I36" s="126"/>
      <c r="J36" s="126"/>
      <c r="K36" s="35" t="s">
        <v>255</v>
      </c>
    </row>
    <row r="37" spans="1:11" ht="58.5" customHeight="1" hidden="1">
      <c r="A37" s="35">
        <v>13</v>
      </c>
      <c r="B37" s="164" t="s">
        <v>365</v>
      </c>
      <c r="C37" s="285" t="s">
        <v>657</v>
      </c>
      <c r="D37" s="125">
        <f t="shared" si="1"/>
        <v>0</v>
      </c>
      <c r="E37" s="63"/>
      <c r="F37" s="126">
        <f>3200-2280</f>
        <v>920</v>
      </c>
      <c r="G37" s="126"/>
      <c r="H37" s="126"/>
      <c r="I37" s="126"/>
      <c r="J37" s="126"/>
      <c r="K37" s="35" t="s">
        <v>255</v>
      </c>
    </row>
    <row r="38" spans="1:11" ht="55.5" customHeight="1" hidden="1">
      <c r="A38" s="35">
        <v>14</v>
      </c>
      <c r="B38" s="164" t="s">
        <v>373</v>
      </c>
      <c r="C38" s="285" t="s">
        <v>657</v>
      </c>
      <c r="D38" s="125">
        <f t="shared" si="1"/>
        <v>0</v>
      </c>
      <c r="E38" s="63"/>
      <c r="F38" s="126">
        <f>0+1000</f>
        <v>1000</v>
      </c>
      <c r="G38" s="126"/>
      <c r="H38" s="126"/>
      <c r="I38" s="126"/>
      <c r="J38" s="126"/>
      <c r="K38" s="35" t="s">
        <v>255</v>
      </c>
    </row>
    <row r="39" spans="1:11" ht="53.25" customHeight="1" hidden="1">
      <c r="A39" s="35">
        <v>15</v>
      </c>
      <c r="B39" s="164" t="s">
        <v>382</v>
      </c>
      <c r="C39" s="285" t="s">
        <v>657</v>
      </c>
      <c r="D39" s="125">
        <f t="shared" si="1"/>
        <v>0</v>
      </c>
      <c r="E39" s="63"/>
      <c r="F39" s="126">
        <f>0+80</f>
        <v>80</v>
      </c>
      <c r="G39" s="126"/>
      <c r="H39" s="126"/>
      <c r="I39" s="126"/>
      <c r="J39" s="126"/>
      <c r="K39" s="35" t="s">
        <v>255</v>
      </c>
    </row>
    <row r="40" spans="1:11" ht="66.75" customHeight="1" hidden="1">
      <c r="A40" s="35">
        <v>16</v>
      </c>
      <c r="B40" s="425" t="s">
        <v>471</v>
      </c>
      <c r="C40" s="285" t="s">
        <v>657</v>
      </c>
      <c r="D40" s="125">
        <f t="shared" si="1"/>
        <v>0</v>
      </c>
      <c r="E40" s="63"/>
      <c r="F40" s="126">
        <f>0+1000-1000</f>
        <v>0</v>
      </c>
      <c r="G40" s="126"/>
      <c r="H40" s="126"/>
      <c r="I40" s="126"/>
      <c r="J40" s="126"/>
      <c r="K40" s="35" t="s">
        <v>255</v>
      </c>
    </row>
    <row r="41" spans="1:11" ht="57.75" customHeight="1" hidden="1">
      <c r="A41" s="773">
        <v>17</v>
      </c>
      <c r="B41" s="876" t="s">
        <v>480</v>
      </c>
      <c r="C41" s="285" t="s">
        <v>657</v>
      </c>
      <c r="D41" s="125">
        <f t="shared" si="1"/>
        <v>0</v>
      </c>
      <c r="E41" s="63"/>
      <c r="F41" s="126">
        <f>0+1000</f>
        <v>1000</v>
      </c>
      <c r="G41" s="126"/>
      <c r="H41" s="126"/>
      <c r="I41" s="126"/>
      <c r="J41" s="126"/>
      <c r="K41" s="773" t="s">
        <v>255</v>
      </c>
    </row>
    <row r="42" spans="1:11" ht="57" customHeight="1" hidden="1">
      <c r="A42" s="775"/>
      <c r="B42" s="877"/>
      <c r="C42" s="285" t="s">
        <v>657</v>
      </c>
      <c r="D42" s="125">
        <f t="shared" si="1"/>
        <v>0</v>
      </c>
      <c r="E42" s="63"/>
      <c r="F42" s="126"/>
      <c r="G42" s="126"/>
      <c r="H42" s="126"/>
      <c r="I42" s="126"/>
      <c r="J42" s="126">
        <v>1000</v>
      </c>
      <c r="K42" s="775"/>
    </row>
    <row r="43" spans="1:11" ht="12" customHeight="1" hidden="1">
      <c r="A43" s="773"/>
      <c r="B43" s="876"/>
      <c r="C43" s="285" t="s">
        <v>657</v>
      </c>
      <c r="D43" s="125">
        <f t="shared" si="1"/>
        <v>0</v>
      </c>
      <c r="E43" s="63"/>
      <c r="F43" s="126"/>
      <c r="G43" s="126"/>
      <c r="H43" s="126"/>
      <c r="I43" s="126"/>
      <c r="J43" s="126"/>
      <c r="K43" s="773"/>
    </row>
    <row r="44" spans="1:11" ht="15" customHeight="1" hidden="1">
      <c r="A44" s="775"/>
      <c r="B44" s="877"/>
      <c r="C44" s="285" t="s">
        <v>657</v>
      </c>
      <c r="D44" s="125">
        <f t="shared" si="1"/>
        <v>0</v>
      </c>
      <c r="E44" s="63"/>
      <c r="F44" s="126"/>
      <c r="G44" s="126"/>
      <c r="H44" s="126"/>
      <c r="I44" s="126"/>
      <c r="J44" s="126"/>
      <c r="K44" s="775"/>
    </row>
    <row r="45" spans="1:11" ht="57" customHeight="1" hidden="1">
      <c r="A45" s="268">
        <v>18</v>
      </c>
      <c r="B45" s="495" t="s">
        <v>626</v>
      </c>
      <c r="C45" s="285" t="s">
        <v>657</v>
      </c>
      <c r="D45" s="125">
        <f t="shared" si="1"/>
        <v>0</v>
      </c>
      <c r="E45" s="63"/>
      <c r="F45" s="126"/>
      <c r="G45" s="126"/>
      <c r="H45" s="126"/>
      <c r="I45" s="126"/>
      <c r="J45" s="126">
        <v>80</v>
      </c>
      <c r="K45" s="268" t="s">
        <v>255</v>
      </c>
    </row>
    <row r="46" spans="1:11" ht="49.5" customHeight="1">
      <c r="A46" s="268">
        <v>10</v>
      </c>
      <c r="B46" s="548" t="s">
        <v>761</v>
      </c>
      <c r="C46" s="285" t="s">
        <v>657</v>
      </c>
      <c r="D46" s="125">
        <f t="shared" si="1"/>
        <v>30</v>
      </c>
      <c r="E46" s="704">
        <f>15+15</f>
        <v>30</v>
      </c>
      <c r="F46" s="538"/>
      <c r="G46" s="538"/>
      <c r="H46" s="538"/>
      <c r="I46" s="538"/>
      <c r="J46" s="538"/>
      <c r="K46" s="544" t="s">
        <v>245</v>
      </c>
    </row>
    <row r="47" spans="1:11" ht="29.25" customHeight="1">
      <c r="A47" s="81"/>
      <c r="B47" s="56" t="s">
        <v>5</v>
      </c>
      <c r="C47" s="285"/>
      <c r="D47" s="79">
        <f>E47+F47+J47</f>
        <v>38657.3</v>
      </c>
      <c r="E47" s="79">
        <f aca="true" t="shared" si="2" ref="E47:J47">E19+E20+E23+E25+E27+E29+E30+E31+E32+E46</f>
        <v>31077</v>
      </c>
      <c r="F47" s="79">
        <f t="shared" si="2"/>
        <v>3680</v>
      </c>
      <c r="G47" s="79">
        <f t="shared" si="2"/>
        <v>0</v>
      </c>
      <c r="H47" s="79">
        <f t="shared" si="2"/>
        <v>0</v>
      </c>
      <c r="I47" s="79">
        <f t="shared" si="2"/>
        <v>0</v>
      </c>
      <c r="J47" s="79">
        <f t="shared" si="2"/>
        <v>3900.3</v>
      </c>
      <c r="K47" s="80"/>
    </row>
    <row r="48" spans="1:11" ht="15.75">
      <c r="A48" s="50"/>
      <c r="B48" s="4"/>
      <c r="C48" s="4"/>
      <c r="D48" s="6"/>
      <c r="E48" s="6"/>
      <c r="F48" s="6"/>
      <c r="G48" s="6"/>
      <c r="H48" s="6"/>
      <c r="I48" s="6"/>
      <c r="J48" s="6"/>
      <c r="K48" s="41"/>
    </row>
    <row r="49" spans="2:11" ht="15.75">
      <c r="B49" s="4"/>
      <c r="C49" s="4"/>
      <c r="D49" s="6"/>
      <c r="E49" s="6"/>
      <c r="F49" s="6"/>
      <c r="G49" s="6"/>
      <c r="H49" s="6"/>
      <c r="I49" s="6"/>
      <c r="J49" s="6"/>
      <c r="K49" s="41"/>
    </row>
    <row r="50" spans="2:11" ht="20.25" customHeight="1">
      <c r="B50" s="809" t="s">
        <v>18</v>
      </c>
      <c r="C50" s="809"/>
      <c r="D50" s="362"/>
      <c r="E50" s="8"/>
      <c r="F50" s="8"/>
      <c r="G50" s="9"/>
      <c r="H50" s="9"/>
      <c r="I50" s="9"/>
      <c r="J50" s="47"/>
      <c r="K50" s="47" t="s">
        <v>30</v>
      </c>
    </row>
    <row r="51" spans="2:11" ht="6.75" customHeight="1">
      <c r="B51" s="362"/>
      <c r="C51" s="362"/>
      <c r="D51" s="362"/>
      <c r="E51" s="8"/>
      <c r="F51" s="8"/>
      <c r="G51" s="9"/>
      <c r="H51" s="9"/>
      <c r="I51" s="9"/>
      <c r="J51" s="47"/>
      <c r="K51" s="47"/>
    </row>
    <row r="52" spans="2:11" ht="15.75" customHeight="1">
      <c r="B52" s="853" t="s">
        <v>558</v>
      </c>
      <c r="C52" s="853"/>
      <c r="D52" s="48"/>
      <c r="E52" s="7"/>
      <c r="F52" s="7"/>
      <c r="G52" s="7"/>
      <c r="H52" s="7"/>
      <c r="I52" s="7"/>
      <c r="J52" s="1"/>
      <c r="K52" s="1"/>
    </row>
    <row r="53" spans="2:11" ht="13.5" customHeight="1">
      <c r="B53" s="166"/>
      <c r="C53" s="166"/>
      <c r="D53" s="7"/>
      <c r="E53" s="7"/>
      <c r="F53" s="7"/>
      <c r="G53" s="7"/>
      <c r="H53" s="7"/>
      <c r="I53" s="7"/>
      <c r="J53" s="1"/>
      <c r="K53" s="1"/>
    </row>
    <row r="54" spans="2:11" ht="15.75">
      <c r="B54" s="42"/>
      <c r="C54" s="10"/>
      <c r="D54" s="43"/>
      <c r="E54" s="7"/>
      <c r="F54" s="7"/>
      <c r="G54" s="7"/>
      <c r="H54" s="7"/>
      <c r="I54" s="7"/>
      <c r="J54" s="1"/>
      <c r="K54" s="1"/>
    </row>
    <row r="55" spans="3:10" ht="15.75">
      <c r="C55" s="43"/>
      <c r="D55" s="7"/>
      <c r="E55" s="7"/>
      <c r="F55" s="7"/>
      <c r="G55" s="7"/>
      <c r="H55" s="7"/>
      <c r="I55" s="7"/>
      <c r="J55" s="7"/>
    </row>
    <row r="56" spans="3:10" ht="15.75">
      <c r="C56" s="44"/>
      <c r="D56" s="7"/>
      <c r="E56" s="7"/>
      <c r="F56" s="7"/>
      <c r="G56" s="7"/>
      <c r="H56" s="7"/>
      <c r="I56" s="7"/>
      <c r="J56" s="7"/>
    </row>
    <row r="58" ht="12.75">
      <c r="H58" s="5"/>
    </row>
  </sheetData>
  <sheetProtection/>
  <mergeCells count="60">
    <mergeCell ref="J32:J33"/>
    <mergeCell ref="A43:A44"/>
    <mergeCell ref="B43:B44"/>
    <mergeCell ref="K43:K44"/>
    <mergeCell ref="B50:C50"/>
    <mergeCell ref="B52:C52"/>
    <mergeCell ref="K32:K33"/>
    <mergeCell ref="A41:A42"/>
    <mergeCell ref="B41:B42"/>
    <mergeCell ref="K41:K42"/>
    <mergeCell ref="C27:C28"/>
    <mergeCell ref="D27:D28"/>
    <mergeCell ref="E27:E28"/>
    <mergeCell ref="F27:F28"/>
    <mergeCell ref="J27:J28"/>
    <mergeCell ref="A32:A33"/>
    <mergeCell ref="B32:B33"/>
    <mergeCell ref="C32:C33"/>
    <mergeCell ref="D32:D33"/>
    <mergeCell ref="E32:E33"/>
    <mergeCell ref="F32:F33"/>
    <mergeCell ref="A25:A26"/>
    <mergeCell ref="B25:B26"/>
    <mergeCell ref="K25:K26"/>
    <mergeCell ref="A27:A28"/>
    <mergeCell ref="B27:B28"/>
    <mergeCell ref="K27:K28"/>
    <mergeCell ref="C25:C26"/>
    <mergeCell ref="D25:D26"/>
    <mergeCell ref="E25:E26"/>
    <mergeCell ref="A23:A24"/>
    <mergeCell ref="B23:B24"/>
    <mergeCell ref="K23:K24"/>
    <mergeCell ref="C23:C24"/>
    <mergeCell ref="D23:D24"/>
    <mergeCell ref="E23:E24"/>
    <mergeCell ref="F23:F24"/>
    <mergeCell ref="A16:A18"/>
    <mergeCell ref="B16:B18"/>
    <mergeCell ref="C16:C18"/>
    <mergeCell ref="D16:D18"/>
    <mergeCell ref="E16:J16"/>
    <mergeCell ref="K16:K18"/>
    <mergeCell ref="E17:E18"/>
    <mergeCell ref="F17:F18"/>
    <mergeCell ref="G17:G18"/>
    <mergeCell ref="J25:J26"/>
    <mergeCell ref="D15:H15"/>
    <mergeCell ref="I17:I18"/>
    <mergeCell ref="J17:J18"/>
    <mergeCell ref="H17:H18"/>
    <mergeCell ref="C20:C22"/>
    <mergeCell ref="F25:F26"/>
    <mergeCell ref="J7:O7"/>
    <mergeCell ref="J8:K8"/>
    <mergeCell ref="J10:K10"/>
    <mergeCell ref="J11:K11"/>
    <mergeCell ref="B14:K14"/>
    <mergeCell ref="J23:J24"/>
    <mergeCell ref="K20:K22"/>
  </mergeCells>
  <printOptions horizontalCentered="1"/>
  <pageMargins left="0.5905511811023623" right="0.5905511811023623" top="1.1811023622047245" bottom="0.5905511811023623" header="0" footer="0"/>
  <pageSetup fitToHeight="0" fitToWidth="1" horizontalDpi="600" verticalDpi="600" orientation="landscape" paperSize="9" scale="71" r:id="rId1"/>
</worksheet>
</file>

<file path=xl/worksheets/sheet24.xml><?xml version="1.0" encoding="utf-8"?>
<worksheet xmlns="http://schemas.openxmlformats.org/spreadsheetml/2006/main" xmlns:r="http://schemas.openxmlformats.org/officeDocument/2006/relationships">
  <sheetPr>
    <tabColor rgb="FFFF0000"/>
    <pageSetUpPr fitToPage="1"/>
  </sheetPr>
  <dimension ref="A1:K45"/>
  <sheetViews>
    <sheetView view="pageBreakPreview" zoomScale="76" zoomScaleSheetLayoutView="76" zoomScalePageLayoutView="0" workbookViewId="0" topLeftCell="A1">
      <selection activeCell="D23" sqref="D23"/>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778" t="s">
        <v>451</v>
      </c>
      <c r="K1" s="778"/>
    </row>
    <row r="2" spans="2:11" ht="18.75">
      <c r="B2" s="15"/>
      <c r="C2" s="15"/>
      <c r="D2" s="15"/>
      <c r="E2" s="15"/>
      <c r="F2" s="15"/>
      <c r="G2" s="15"/>
      <c r="H2" s="15"/>
      <c r="I2" s="12" t="s">
        <v>11</v>
      </c>
      <c r="J2" s="778" t="s">
        <v>11</v>
      </c>
      <c r="K2" s="778"/>
    </row>
    <row r="3" spans="2:11" ht="18.75">
      <c r="B3" s="15"/>
      <c r="C3" s="15"/>
      <c r="D3" s="15"/>
      <c r="E3" s="15"/>
      <c r="F3" s="15"/>
      <c r="G3" s="15"/>
      <c r="H3" s="15"/>
      <c r="I3" s="12"/>
      <c r="J3" s="58" t="s">
        <v>291</v>
      </c>
      <c r="K3" s="58"/>
    </row>
    <row r="4" spans="2:11" ht="18.75">
      <c r="B4" s="15"/>
      <c r="C4" s="15"/>
      <c r="D4" s="15"/>
      <c r="E4" s="15"/>
      <c r="F4" s="15"/>
      <c r="G4" s="15"/>
      <c r="H4" s="15"/>
      <c r="I4" s="12" t="s">
        <v>21</v>
      </c>
      <c r="J4" s="58" t="s">
        <v>575</v>
      </c>
      <c r="K4" s="58"/>
    </row>
    <row r="5" spans="2:11" ht="18.75">
      <c r="B5" s="15"/>
      <c r="C5" s="15"/>
      <c r="D5" s="15"/>
      <c r="E5" s="15"/>
      <c r="F5" s="15"/>
      <c r="G5" s="15"/>
      <c r="H5" s="15"/>
      <c r="I5" s="12" t="s">
        <v>23</v>
      </c>
      <c r="J5" s="58" t="s">
        <v>576</v>
      </c>
      <c r="K5" s="58"/>
    </row>
    <row r="6" spans="2:11" ht="18.75">
      <c r="B6" s="15"/>
      <c r="C6" s="15"/>
      <c r="D6" s="15"/>
      <c r="E6" s="15"/>
      <c r="F6" s="15"/>
      <c r="G6" s="15"/>
      <c r="H6" s="15"/>
      <c r="I6" s="12"/>
      <c r="J6" s="58" t="s">
        <v>577</v>
      </c>
      <c r="K6" s="58"/>
    </row>
    <row r="7" spans="2:11" ht="18.75">
      <c r="B7" s="15"/>
      <c r="C7" s="15"/>
      <c r="D7" s="15"/>
      <c r="E7" s="15"/>
      <c r="F7" s="15"/>
      <c r="G7" s="15"/>
      <c r="H7" s="15"/>
      <c r="I7" s="12"/>
      <c r="J7" s="58" t="s">
        <v>564</v>
      </c>
      <c r="K7" s="58"/>
    </row>
    <row r="8" spans="2:11" ht="18.75">
      <c r="B8" s="15"/>
      <c r="C8" s="15"/>
      <c r="D8" s="15"/>
      <c r="E8" s="15"/>
      <c r="F8" s="15"/>
      <c r="G8" s="15"/>
      <c r="H8" s="16"/>
      <c r="I8" s="12" t="s">
        <v>24</v>
      </c>
      <c r="J8" s="58" t="s">
        <v>565</v>
      </c>
      <c r="K8" s="58"/>
    </row>
    <row r="9" spans="2:11" ht="21" customHeight="1">
      <c r="B9" s="15"/>
      <c r="C9" s="15"/>
      <c r="D9" s="15"/>
      <c r="E9" s="15"/>
      <c r="F9" s="15"/>
      <c r="G9" s="15"/>
      <c r="H9" s="16"/>
      <c r="I9" s="12" t="s">
        <v>25</v>
      </c>
      <c r="J9" s="336" t="s">
        <v>651</v>
      </c>
      <c r="K9" s="336"/>
    </row>
    <row r="10" spans="2:11" ht="15.75">
      <c r="B10" s="15"/>
      <c r="C10" s="15"/>
      <c r="D10" s="15"/>
      <c r="E10" s="15"/>
      <c r="F10" s="15"/>
      <c r="G10" s="15"/>
      <c r="H10" s="15"/>
      <c r="I10" s="15"/>
      <c r="J10" s="15"/>
      <c r="K10" s="15"/>
    </row>
    <row r="11" spans="1:11" ht="18.75">
      <c r="A11" s="769" t="s">
        <v>531</v>
      </c>
      <c r="B11" s="769"/>
      <c r="C11" s="769"/>
      <c r="D11" s="769"/>
      <c r="E11" s="769"/>
      <c r="F11" s="769"/>
      <c r="G11" s="769"/>
      <c r="H11" s="769"/>
      <c r="I11" s="769"/>
      <c r="J11" s="769"/>
      <c r="K11" s="769"/>
    </row>
    <row r="12" spans="2:11" ht="15.75">
      <c r="B12" s="15"/>
      <c r="C12" s="15"/>
      <c r="D12" s="785"/>
      <c r="E12" s="785"/>
      <c r="F12" s="785"/>
      <c r="G12" s="785"/>
      <c r="H12" s="785"/>
      <c r="I12" s="15"/>
      <c r="J12" s="15"/>
      <c r="K12" s="34" t="s">
        <v>391</v>
      </c>
    </row>
    <row r="13" spans="1:11" ht="18.75">
      <c r="A13" s="770" t="s">
        <v>32</v>
      </c>
      <c r="B13" s="770" t="s">
        <v>12</v>
      </c>
      <c r="C13" s="770" t="s">
        <v>13</v>
      </c>
      <c r="D13" s="770" t="s">
        <v>397</v>
      </c>
      <c r="E13" s="786" t="s">
        <v>9</v>
      </c>
      <c r="F13" s="786"/>
      <c r="G13" s="786"/>
      <c r="H13" s="786"/>
      <c r="I13" s="786"/>
      <c r="J13" s="849"/>
      <c r="K13" s="776" t="s">
        <v>15</v>
      </c>
    </row>
    <row r="14" spans="1:11" ht="12.75">
      <c r="A14" s="771"/>
      <c r="B14" s="771"/>
      <c r="C14" s="771"/>
      <c r="D14" s="771"/>
      <c r="E14" s="770" t="s">
        <v>394</v>
      </c>
      <c r="F14" s="770" t="s">
        <v>395</v>
      </c>
      <c r="G14" s="770" t="s">
        <v>27</v>
      </c>
      <c r="H14" s="770" t="s">
        <v>28</v>
      </c>
      <c r="I14" s="770" t="s">
        <v>29</v>
      </c>
      <c r="J14" s="776" t="s">
        <v>396</v>
      </c>
      <c r="K14" s="776"/>
    </row>
    <row r="15" spans="1:11" ht="24.75" customHeight="1">
      <c r="A15" s="772"/>
      <c r="B15" s="772"/>
      <c r="C15" s="772"/>
      <c r="D15" s="772"/>
      <c r="E15" s="772"/>
      <c r="F15" s="772"/>
      <c r="G15" s="772"/>
      <c r="H15" s="772"/>
      <c r="I15" s="772"/>
      <c r="J15" s="776"/>
      <c r="K15" s="776"/>
    </row>
    <row r="16" spans="1:11" ht="25.5" customHeight="1">
      <c r="A16" s="773">
        <v>1</v>
      </c>
      <c r="B16" s="779" t="s">
        <v>178</v>
      </c>
      <c r="C16" s="65" t="s">
        <v>16</v>
      </c>
      <c r="D16" s="408">
        <f>F16+E16+J16</f>
        <v>3058.7</v>
      </c>
      <c r="E16" s="408">
        <v>1521.7</v>
      </c>
      <c r="F16" s="409">
        <f>1600-63</f>
        <v>1537</v>
      </c>
      <c r="G16" s="409"/>
      <c r="H16" s="409"/>
      <c r="I16" s="409"/>
      <c r="J16" s="409"/>
      <c r="K16" s="773" t="s">
        <v>179</v>
      </c>
    </row>
    <row r="17" spans="1:11" ht="23.25" customHeight="1">
      <c r="A17" s="775"/>
      <c r="B17" s="780"/>
      <c r="C17" s="65" t="s">
        <v>539</v>
      </c>
      <c r="D17" s="408">
        <f>F17+E17+J17</f>
        <v>1650</v>
      </c>
      <c r="E17" s="408"/>
      <c r="F17" s="409"/>
      <c r="G17" s="409"/>
      <c r="H17" s="409"/>
      <c r="I17" s="409"/>
      <c r="J17" s="409">
        <v>1650</v>
      </c>
      <c r="K17" s="775"/>
    </row>
    <row r="18" spans="1:11" ht="32.25" customHeight="1">
      <c r="A18" s="773">
        <v>2</v>
      </c>
      <c r="B18" s="779" t="s">
        <v>412</v>
      </c>
      <c r="C18" s="220" t="s">
        <v>16</v>
      </c>
      <c r="D18" s="408">
        <f>F18+E18+J18</f>
        <v>11549.1</v>
      </c>
      <c r="E18" s="408">
        <f>6103+500+500</f>
        <v>7103</v>
      </c>
      <c r="F18" s="409">
        <f>0+877+2209+427+232+316.5+384.6</f>
        <v>4446.1</v>
      </c>
      <c r="G18" s="409"/>
      <c r="H18" s="409"/>
      <c r="I18" s="409"/>
      <c r="J18" s="409"/>
      <c r="K18" s="773" t="s">
        <v>256</v>
      </c>
    </row>
    <row r="19" spans="1:11" ht="21" customHeight="1">
      <c r="A19" s="775"/>
      <c r="B19" s="780"/>
      <c r="C19" s="65" t="s">
        <v>539</v>
      </c>
      <c r="D19" s="408">
        <f>F19+E19+J19</f>
        <v>2295.23</v>
      </c>
      <c r="E19" s="408"/>
      <c r="F19" s="409"/>
      <c r="G19" s="409"/>
      <c r="H19" s="409"/>
      <c r="I19" s="409"/>
      <c r="J19" s="409">
        <v>2295.23</v>
      </c>
      <c r="K19" s="775"/>
    </row>
    <row r="20" spans="1:11" ht="62.25" customHeight="1">
      <c r="A20" s="412" t="s">
        <v>356</v>
      </c>
      <c r="B20" s="413" t="s">
        <v>417</v>
      </c>
      <c r="C20" s="220"/>
      <c r="D20" s="408"/>
      <c r="E20" s="408"/>
      <c r="F20" s="409">
        <v>537</v>
      </c>
      <c r="G20" s="409"/>
      <c r="H20" s="409"/>
      <c r="I20" s="409"/>
      <c r="J20" s="409"/>
      <c r="K20" s="414" t="s">
        <v>256</v>
      </c>
    </row>
    <row r="21" spans="1:11" ht="37.5" customHeight="1">
      <c r="A21" s="412" t="s">
        <v>388</v>
      </c>
      <c r="B21" s="413" t="s">
        <v>418</v>
      </c>
      <c r="C21" s="220"/>
      <c r="D21" s="408"/>
      <c r="E21" s="408"/>
      <c r="F21" s="409">
        <v>20</v>
      </c>
      <c r="G21" s="409"/>
      <c r="H21" s="409"/>
      <c r="I21" s="409"/>
      <c r="J21" s="409"/>
      <c r="K21" s="414" t="s">
        <v>256</v>
      </c>
    </row>
    <row r="22" spans="1:11" ht="27.75" customHeight="1">
      <c r="A22" s="412" t="s">
        <v>413</v>
      </c>
      <c r="B22" s="413" t="s">
        <v>464</v>
      </c>
      <c r="C22" s="220"/>
      <c r="D22" s="408"/>
      <c r="E22" s="408"/>
      <c r="F22" s="409">
        <f>86.9+232+316.5</f>
        <v>635.4</v>
      </c>
      <c r="G22" s="409"/>
      <c r="H22" s="409"/>
      <c r="I22" s="409"/>
      <c r="J22" s="409"/>
      <c r="K22" s="414" t="s">
        <v>256</v>
      </c>
    </row>
    <row r="23" spans="1:11" ht="48.75" customHeight="1">
      <c r="A23" s="412" t="s">
        <v>414</v>
      </c>
      <c r="B23" s="413" t="s">
        <v>465</v>
      </c>
      <c r="C23" s="220"/>
      <c r="D23" s="408"/>
      <c r="E23" s="408"/>
      <c r="F23" s="409">
        <v>233.1</v>
      </c>
      <c r="G23" s="409"/>
      <c r="H23" s="409"/>
      <c r="I23" s="409"/>
      <c r="J23" s="409"/>
      <c r="K23" s="414" t="s">
        <v>256</v>
      </c>
    </row>
    <row r="24" spans="1:11" ht="45" customHeight="1">
      <c r="A24" s="412" t="s">
        <v>415</v>
      </c>
      <c r="B24" s="413" t="s">
        <v>422</v>
      </c>
      <c r="C24" s="220"/>
      <c r="D24" s="408"/>
      <c r="E24" s="408"/>
      <c r="F24" s="409">
        <v>1195</v>
      </c>
      <c r="G24" s="409"/>
      <c r="H24" s="409"/>
      <c r="I24" s="409"/>
      <c r="J24" s="409"/>
      <c r="K24" s="414" t="s">
        <v>256</v>
      </c>
    </row>
    <row r="25" spans="1:11" ht="31.5" customHeight="1">
      <c r="A25" s="412" t="s">
        <v>416</v>
      </c>
      <c r="B25" s="413" t="s">
        <v>423</v>
      </c>
      <c r="C25" s="220"/>
      <c r="D25" s="408"/>
      <c r="E25" s="408"/>
      <c r="F25" s="409">
        <v>463</v>
      </c>
      <c r="G25" s="409"/>
      <c r="H25" s="409"/>
      <c r="I25" s="409"/>
      <c r="J25" s="409"/>
      <c r="K25" s="414" t="s">
        <v>256</v>
      </c>
    </row>
    <row r="26" spans="1:11" ht="33" customHeight="1">
      <c r="A26" s="412" t="s">
        <v>419</v>
      </c>
      <c r="B26" s="413" t="s">
        <v>424</v>
      </c>
      <c r="C26" s="220"/>
      <c r="D26" s="408"/>
      <c r="E26" s="408"/>
      <c r="F26" s="409">
        <v>551</v>
      </c>
      <c r="G26" s="409"/>
      <c r="H26" s="409"/>
      <c r="I26" s="409"/>
      <c r="J26" s="409"/>
      <c r="K26" s="414" t="s">
        <v>256</v>
      </c>
    </row>
    <row r="27" spans="1:11" ht="33" customHeight="1">
      <c r="A27" s="412" t="s">
        <v>463</v>
      </c>
      <c r="B27" s="413" t="s">
        <v>461</v>
      </c>
      <c r="C27" s="220"/>
      <c r="D27" s="408"/>
      <c r="E27" s="408"/>
      <c r="F27" s="409">
        <f>427+384.6</f>
        <v>811.6</v>
      </c>
      <c r="G27" s="409"/>
      <c r="H27" s="409"/>
      <c r="I27" s="409"/>
      <c r="J27" s="409">
        <v>1541.96</v>
      </c>
      <c r="K27" s="414" t="s">
        <v>256</v>
      </c>
    </row>
    <row r="28" spans="1:11" ht="33.75" customHeight="1">
      <c r="A28" s="412" t="s">
        <v>490</v>
      </c>
      <c r="B28" s="413" t="s">
        <v>491</v>
      </c>
      <c r="C28" s="220"/>
      <c r="D28" s="408"/>
      <c r="E28" s="408"/>
      <c r="F28" s="409"/>
      <c r="G28" s="409"/>
      <c r="H28" s="409"/>
      <c r="I28" s="409"/>
      <c r="J28" s="409">
        <v>753.27</v>
      </c>
      <c r="K28" s="414" t="s">
        <v>256</v>
      </c>
    </row>
    <row r="29" spans="1:11" ht="33.75" customHeight="1">
      <c r="A29" s="412" t="s">
        <v>557</v>
      </c>
      <c r="B29" s="64" t="s">
        <v>582</v>
      </c>
      <c r="C29" s="220" t="s">
        <v>539</v>
      </c>
      <c r="D29" s="408">
        <f>E29+F29+J29</f>
        <v>2000</v>
      </c>
      <c r="E29" s="408"/>
      <c r="F29" s="409"/>
      <c r="G29" s="409"/>
      <c r="H29" s="409"/>
      <c r="I29" s="409"/>
      <c r="J29" s="409">
        <v>2000</v>
      </c>
      <c r="K29" s="414" t="s">
        <v>583</v>
      </c>
    </row>
    <row r="30" spans="1:11" ht="46.5" customHeight="1">
      <c r="A30" s="412" t="s">
        <v>460</v>
      </c>
      <c r="B30" s="158" t="s">
        <v>606</v>
      </c>
      <c r="C30" s="220"/>
      <c r="D30" s="408"/>
      <c r="E30" s="408"/>
      <c r="F30" s="409"/>
      <c r="G30" s="409"/>
      <c r="H30" s="409"/>
      <c r="I30" s="409"/>
      <c r="J30" s="409">
        <v>700</v>
      </c>
      <c r="K30" s="414" t="s">
        <v>583</v>
      </c>
    </row>
    <row r="31" spans="1:11" ht="41.25" customHeight="1">
      <c r="A31" s="412" t="s">
        <v>514</v>
      </c>
      <c r="B31" s="158" t="s">
        <v>607</v>
      </c>
      <c r="C31" s="220"/>
      <c r="D31" s="408"/>
      <c r="E31" s="408"/>
      <c r="F31" s="409"/>
      <c r="G31" s="409"/>
      <c r="H31" s="409"/>
      <c r="I31" s="409"/>
      <c r="J31" s="409">
        <v>1300</v>
      </c>
      <c r="K31" s="414" t="s">
        <v>583</v>
      </c>
    </row>
    <row r="32" spans="1:11" ht="213" customHeight="1">
      <c r="A32" s="35">
        <v>4</v>
      </c>
      <c r="B32" s="64" t="s">
        <v>257</v>
      </c>
      <c r="C32" s="220" t="s">
        <v>62</v>
      </c>
      <c r="D32" s="408">
        <v>13705</v>
      </c>
      <c r="E32" s="410">
        <v>13705</v>
      </c>
      <c r="F32" s="409"/>
      <c r="G32" s="409"/>
      <c r="H32" s="409"/>
      <c r="I32" s="409"/>
      <c r="J32" s="409"/>
      <c r="K32" s="35" t="s">
        <v>258</v>
      </c>
    </row>
    <row r="33" spans="1:11" ht="18.75">
      <c r="A33" s="69"/>
      <c r="B33" s="59" t="s">
        <v>5</v>
      </c>
      <c r="C33" s="70"/>
      <c r="D33" s="163">
        <f>D16+D18+D32+D17+D19</f>
        <v>32258.03</v>
      </c>
      <c r="E33" s="163">
        <f>E16+E18+E32</f>
        <v>22329.7</v>
      </c>
      <c r="F33" s="163">
        <f>F16+F18+F32</f>
        <v>5983.1</v>
      </c>
      <c r="G33" s="163">
        <f>G16+G18+G32</f>
        <v>0</v>
      </c>
      <c r="H33" s="163">
        <f>H16+H18+H32</f>
        <v>0</v>
      </c>
      <c r="I33" s="163">
        <f>I16+I18+I32</f>
        <v>0</v>
      </c>
      <c r="J33" s="163">
        <f>J16+J18+J32+J17+J19+J29</f>
        <v>5945.23</v>
      </c>
      <c r="K33" s="71"/>
    </row>
    <row r="34" spans="1:11" ht="15.75">
      <c r="A34" s="38"/>
      <c r="B34" s="18"/>
      <c r="C34" s="18"/>
      <c r="D34" s="19"/>
      <c r="E34" s="19"/>
      <c r="F34" s="19"/>
      <c r="G34" s="19"/>
      <c r="H34" s="19"/>
      <c r="I34" s="19"/>
      <c r="J34" s="19"/>
      <c r="K34" s="20"/>
    </row>
    <row r="35" spans="2:11" ht="15.75">
      <c r="B35" s="18"/>
      <c r="C35" s="18"/>
      <c r="D35" s="19"/>
      <c r="E35" s="19"/>
      <c r="F35" s="19"/>
      <c r="G35" s="19"/>
      <c r="H35" s="19"/>
      <c r="I35" s="19"/>
      <c r="J35" s="19"/>
      <c r="K35" s="20"/>
    </row>
    <row r="36" spans="2:11" ht="18.75">
      <c r="B36" s="51"/>
      <c r="C36" s="52"/>
      <c r="E36" s="19"/>
      <c r="F36" s="19"/>
      <c r="G36" s="19"/>
      <c r="H36" s="19"/>
      <c r="I36" s="19"/>
      <c r="J36" s="19"/>
      <c r="K36" s="52"/>
    </row>
    <row r="37" spans="2:11" ht="18.75">
      <c r="B37" s="748" t="s">
        <v>523</v>
      </c>
      <c r="C37" s="748"/>
      <c r="D37" s="352"/>
      <c r="E37" s="22"/>
      <c r="F37" s="22"/>
      <c r="G37" s="16"/>
      <c r="H37" s="16"/>
      <c r="I37" s="16"/>
      <c r="J37" s="23"/>
      <c r="K37" s="23" t="s">
        <v>30</v>
      </c>
    </row>
    <row r="38" spans="2:11" ht="15" customHeight="1">
      <c r="B38" s="352"/>
      <c r="C38" s="352"/>
      <c r="D38" s="352"/>
      <c r="E38" s="22"/>
      <c r="F38" s="22"/>
      <c r="G38" s="16"/>
      <c r="H38" s="16"/>
      <c r="I38" s="16"/>
      <c r="J38" s="23"/>
      <c r="K38" s="23"/>
    </row>
    <row r="39" spans="2:11" ht="18.75">
      <c r="B39" s="777" t="s">
        <v>558</v>
      </c>
      <c r="C39" s="777"/>
      <c r="D39" s="25"/>
      <c r="E39" s="26"/>
      <c r="F39" s="26"/>
      <c r="G39" s="26"/>
      <c r="H39" s="26"/>
      <c r="I39" s="26"/>
      <c r="J39" s="15"/>
      <c r="K39" s="15"/>
    </row>
    <row r="40" spans="2:11" ht="15.75">
      <c r="B40" s="27" t="s">
        <v>10</v>
      </c>
      <c r="C40" s="27"/>
      <c r="D40" s="26"/>
      <c r="E40" s="26"/>
      <c r="F40" s="26"/>
      <c r="G40" s="26"/>
      <c r="H40" s="26"/>
      <c r="I40" s="26"/>
      <c r="J40" s="15"/>
      <c r="K40" s="15"/>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24">
    <mergeCell ref="J1:K1"/>
    <mergeCell ref="J2:K2"/>
    <mergeCell ref="A11:K11"/>
    <mergeCell ref="D12:H12"/>
    <mergeCell ref="A13:A15"/>
    <mergeCell ref="B13:B15"/>
    <mergeCell ref="C13:C15"/>
    <mergeCell ref="D13:D15"/>
    <mergeCell ref="E13:J13"/>
    <mergeCell ref="B37:C37"/>
    <mergeCell ref="B39:C39"/>
    <mergeCell ref="K13:K15"/>
    <mergeCell ref="E14:E15"/>
    <mergeCell ref="F14:F15"/>
    <mergeCell ref="G14:G15"/>
    <mergeCell ref="H14:H15"/>
    <mergeCell ref="I14:I15"/>
    <mergeCell ref="J14:J15"/>
    <mergeCell ref="A16:A17"/>
    <mergeCell ref="B16:B17"/>
    <mergeCell ref="K16:K17"/>
    <mergeCell ref="A18:A19"/>
    <mergeCell ref="B18:B19"/>
    <mergeCell ref="K18:K19"/>
  </mergeCells>
  <printOptions horizontalCentered="1"/>
  <pageMargins left="1.1811023622047245" right="0.5905511811023623" top="1.1811023622047245" bottom="0.7874015748031497" header="0" footer="0"/>
  <pageSetup fitToWidth="0" fitToHeight="1" horizontalDpi="600" verticalDpi="600" orientation="landscape" paperSize="9" scale="38" r:id="rId1"/>
</worksheet>
</file>

<file path=xl/worksheets/sheet25.xml><?xml version="1.0" encoding="utf-8"?>
<worksheet xmlns="http://schemas.openxmlformats.org/spreadsheetml/2006/main" xmlns:r="http://schemas.openxmlformats.org/officeDocument/2006/relationships">
  <sheetPr>
    <tabColor theme="2" tint="-0.24997000396251678"/>
    <pageSetUpPr fitToPage="1"/>
  </sheetPr>
  <dimension ref="A1:O52"/>
  <sheetViews>
    <sheetView view="pageBreakPreview" zoomScale="76" zoomScaleSheetLayoutView="76" zoomScalePageLayoutView="0" workbookViewId="0" topLeftCell="A18">
      <selection activeCell="A1" sqref="A1:O47"/>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19</v>
      </c>
      <c r="J1" s="388" t="s">
        <v>452</v>
      </c>
      <c r="K1"/>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566</v>
      </c>
      <c r="K3" s="12"/>
      <c r="L3" s="15"/>
      <c r="M3" s="12"/>
      <c r="N3" s="12"/>
      <c r="O3" s="12"/>
    </row>
    <row r="4" spans="2:15" ht="15.75">
      <c r="B4" s="15"/>
      <c r="C4" s="15"/>
      <c r="D4" s="15"/>
      <c r="E4" s="15"/>
      <c r="F4" s="15"/>
      <c r="G4" s="15"/>
      <c r="H4" s="15"/>
      <c r="I4" s="12" t="s">
        <v>21</v>
      </c>
      <c r="J4" s="17" t="s">
        <v>567</v>
      </c>
      <c r="K4" s="17"/>
      <c r="L4" s="15"/>
      <c r="M4" s="12"/>
      <c r="N4" s="12"/>
      <c r="O4" s="12"/>
    </row>
    <row r="5" spans="2:15" ht="15.75">
      <c r="B5" s="15"/>
      <c r="C5" s="15"/>
      <c r="D5" s="15"/>
      <c r="E5" s="15"/>
      <c r="F5" s="15"/>
      <c r="G5" s="15"/>
      <c r="H5" s="15"/>
      <c r="I5" s="12" t="s">
        <v>23</v>
      </c>
      <c r="J5" s="17" t="s">
        <v>907</v>
      </c>
      <c r="K5" s="17"/>
      <c r="L5" s="15"/>
      <c r="M5" s="12"/>
      <c r="N5" s="12"/>
      <c r="O5" s="12"/>
    </row>
    <row r="6" spans="2:15" ht="15.75">
      <c r="B6" s="15"/>
      <c r="C6" s="15"/>
      <c r="D6" s="15"/>
      <c r="E6" s="15"/>
      <c r="F6" s="15"/>
      <c r="G6" s="15"/>
      <c r="H6" s="15"/>
      <c r="I6" s="12"/>
      <c r="J6" s="17" t="s">
        <v>924</v>
      </c>
      <c r="K6" s="17"/>
      <c r="L6" s="327"/>
      <c r="M6" s="12"/>
      <c r="N6" s="12"/>
      <c r="O6" s="12"/>
    </row>
    <row r="7" spans="2:15" ht="15.75" customHeight="1">
      <c r="B7" s="15"/>
      <c r="C7" s="15"/>
      <c r="D7" s="15"/>
      <c r="E7" s="15"/>
      <c r="F7" s="15"/>
      <c r="G7" s="15"/>
      <c r="H7" s="15"/>
      <c r="I7" s="12"/>
      <c r="J7" s="768" t="s">
        <v>920</v>
      </c>
      <c r="K7" s="768"/>
      <c r="L7" s="768"/>
      <c r="M7" s="768"/>
      <c r="N7" s="768"/>
      <c r="O7" s="768"/>
    </row>
    <row r="8" spans="2:15" ht="15.75">
      <c r="B8" s="15"/>
      <c r="C8" s="15"/>
      <c r="D8" s="15"/>
      <c r="E8" s="15"/>
      <c r="F8" s="15"/>
      <c r="G8" s="15"/>
      <c r="H8" s="16"/>
      <c r="I8" s="12" t="s">
        <v>24</v>
      </c>
      <c r="J8" s="768" t="s">
        <v>941</v>
      </c>
      <c r="K8" s="768"/>
      <c r="L8" s="730"/>
      <c r="M8" s="730"/>
      <c r="N8" s="730"/>
      <c r="O8" s="730"/>
    </row>
    <row r="9" spans="2:11" ht="21" customHeight="1">
      <c r="B9" s="15"/>
      <c r="C9" s="15"/>
      <c r="D9" s="15"/>
      <c r="E9" s="15"/>
      <c r="F9" s="15"/>
      <c r="G9" s="15"/>
      <c r="H9" s="16"/>
      <c r="I9" s="12" t="s">
        <v>25</v>
      </c>
      <c r="J9" s="336"/>
      <c r="K9" s="336"/>
    </row>
    <row r="10" spans="2:11" ht="15.75">
      <c r="B10" s="15"/>
      <c r="C10" s="15"/>
      <c r="D10" s="15"/>
      <c r="E10" s="15"/>
      <c r="F10" s="15"/>
      <c r="G10" s="15"/>
      <c r="H10" s="15"/>
      <c r="I10" s="15"/>
      <c r="J10" s="15"/>
      <c r="K10" s="15"/>
    </row>
    <row r="11" spans="1:11" ht="18.75">
      <c r="A11" s="769" t="s">
        <v>715</v>
      </c>
      <c r="B11" s="769"/>
      <c r="C11" s="769"/>
      <c r="D11" s="769"/>
      <c r="E11" s="769"/>
      <c r="F11" s="769"/>
      <c r="G11" s="769"/>
      <c r="H11" s="769"/>
      <c r="I11" s="769"/>
      <c r="J11" s="769"/>
      <c r="K11" s="769"/>
    </row>
    <row r="12" spans="2:11" ht="15.75">
      <c r="B12" s="15"/>
      <c r="C12" s="15"/>
      <c r="D12" s="785"/>
      <c r="E12" s="785"/>
      <c r="F12" s="785"/>
      <c r="G12" s="785"/>
      <c r="H12" s="785"/>
      <c r="I12" s="15"/>
      <c r="J12" s="15"/>
      <c r="K12" s="34" t="s">
        <v>391</v>
      </c>
    </row>
    <row r="13" spans="1:11" ht="18.75">
      <c r="A13" s="770" t="s">
        <v>32</v>
      </c>
      <c r="B13" s="770" t="s">
        <v>12</v>
      </c>
      <c r="C13" s="770" t="s">
        <v>13</v>
      </c>
      <c r="D13" s="770" t="s">
        <v>397</v>
      </c>
      <c r="E13" s="786" t="s">
        <v>9</v>
      </c>
      <c r="F13" s="786"/>
      <c r="G13" s="786"/>
      <c r="H13" s="786"/>
      <c r="I13" s="786"/>
      <c r="J13" s="849"/>
      <c r="K13" s="776" t="s">
        <v>15</v>
      </c>
    </row>
    <row r="14" spans="1:11" ht="12.75">
      <c r="A14" s="771"/>
      <c r="B14" s="771"/>
      <c r="C14" s="771"/>
      <c r="D14" s="771"/>
      <c r="E14" s="770">
        <v>2021</v>
      </c>
      <c r="F14" s="770">
        <v>2022</v>
      </c>
      <c r="G14" s="770" t="s">
        <v>27</v>
      </c>
      <c r="H14" s="770" t="s">
        <v>28</v>
      </c>
      <c r="I14" s="770" t="s">
        <v>29</v>
      </c>
      <c r="J14" s="776">
        <v>2023</v>
      </c>
      <c r="K14" s="776"/>
    </row>
    <row r="15" spans="1:11" ht="24.75" customHeight="1">
      <c r="A15" s="772"/>
      <c r="B15" s="772"/>
      <c r="C15" s="772"/>
      <c r="D15" s="772"/>
      <c r="E15" s="772"/>
      <c r="F15" s="772"/>
      <c r="G15" s="772"/>
      <c r="H15" s="772"/>
      <c r="I15" s="772"/>
      <c r="J15" s="776"/>
      <c r="K15" s="776"/>
    </row>
    <row r="16" spans="1:11" ht="25.5" customHeight="1">
      <c r="A16" s="770">
        <v>1</v>
      </c>
      <c r="B16" s="889" t="s">
        <v>714</v>
      </c>
      <c r="C16" s="736" t="s">
        <v>657</v>
      </c>
      <c r="D16" s="885">
        <f>E16+F16+J16</f>
        <v>959.4000000000001</v>
      </c>
      <c r="E16" s="885">
        <v>300</v>
      </c>
      <c r="F16" s="887">
        <v>320.1</v>
      </c>
      <c r="G16" s="163"/>
      <c r="H16" s="163"/>
      <c r="I16" s="163"/>
      <c r="J16" s="887">
        <v>339.3</v>
      </c>
      <c r="K16" s="773" t="s">
        <v>786</v>
      </c>
    </row>
    <row r="17" spans="1:11" ht="38.25" customHeight="1">
      <c r="A17" s="772"/>
      <c r="B17" s="890"/>
      <c r="C17" s="738"/>
      <c r="D17" s="886"/>
      <c r="E17" s="886"/>
      <c r="F17" s="888"/>
      <c r="G17" s="163"/>
      <c r="H17" s="163"/>
      <c r="I17" s="163"/>
      <c r="J17" s="888"/>
      <c r="K17" s="775"/>
    </row>
    <row r="18" spans="1:11" ht="32.25" customHeight="1">
      <c r="A18" s="770">
        <v>2</v>
      </c>
      <c r="B18" s="889" t="s">
        <v>412</v>
      </c>
      <c r="C18" s="736" t="s">
        <v>657</v>
      </c>
      <c r="D18" s="885">
        <f>E18+F18+J18</f>
        <v>4042</v>
      </c>
      <c r="E18" s="885">
        <f>E20+E21+E32</f>
        <v>4042</v>
      </c>
      <c r="F18" s="887">
        <f>F20+F21</f>
        <v>0</v>
      </c>
      <c r="G18" s="163"/>
      <c r="H18" s="163"/>
      <c r="I18" s="163"/>
      <c r="J18" s="887">
        <f>J20+J21</f>
        <v>0</v>
      </c>
      <c r="K18" s="773" t="s">
        <v>787</v>
      </c>
    </row>
    <row r="19" spans="1:11" ht="21" customHeight="1">
      <c r="A19" s="772"/>
      <c r="B19" s="890"/>
      <c r="C19" s="738"/>
      <c r="D19" s="886"/>
      <c r="E19" s="886"/>
      <c r="F19" s="888"/>
      <c r="G19" s="163"/>
      <c r="H19" s="163"/>
      <c r="I19" s="163"/>
      <c r="J19" s="888"/>
      <c r="K19" s="775"/>
    </row>
    <row r="20" spans="1:11" s="346" customFormat="1" ht="39.75" customHeight="1">
      <c r="A20" s="281" t="s">
        <v>356</v>
      </c>
      <c r="B20" s="164" t="s">
        <v>716</v>
      </c>
      <c r="C20" s="220" t="s">
        <v>657</v>
      </c>
      <c r="D20" s="502">
        <f>E20+F20+J20</f>
        <v>800</v>
      </c>
      <c r="E20" s="502">
        <v>800</v>
      </c>
      <c r="F20" s="502"/>
      <c r="G20" s="502"/>
      <c r="H20" s="502"/>
      <c r="I20" s="502"/>
      <c r="J20" s="502"/>
      <c r="K20" s="220"/>
    </row>
    <row r="21" spans="1:11" s="346" customFormat="1" ht="50.25" customHeight="1">
      <c r="A21" s="281" t="s">
        <v>388</v>
      </c>
      <c r="B21" s="164" t="s">
        <v>424</v>
      </c>
      <c r="C21" s="220" t="s">
        <v>657</v>
      </c>
      <c r="D21" s="502">
        <f>E21+F21+J21</f>
        <v>1700</v>
      </c>
      <c r="E21" s="502">
        <v>1700</v>
      </c>
      <c r="F21" s="502"/>
      <c r="G21" s="502"/>
      <c r="H21" s="502"/>
      <c r="I21" s="502"/>
      <c r="J21" s="502"/>
      <c r="K21" s="220"/>
    </row>
    <row r="22" spans="1:11" s="54" customFormat="1" ht="51" customHeight="1" hidden="1">
      <c r="A22" s="660" t="s">
        <v>413</v>
      </c>
      <c r="B22" s="705" t="s">
        <v>461</v>
      </c>
      <c r="C22" s="731" t="s">
        <v>657</v>
      </c>
      <c r="D22" s="502">
        <f aca="true" t="shared" si="0" ref="D22:D32">E22+F22+J22</f>
        <v>1542</v>
      </c>
      <c r="E22" s="707">
        <v>1542</v>
      </c>
      <c r="F22" s="707"/>
      <c r="G22" s="707"/>
      <c r="H22" s="707"/>
      <c r="I22" s="707"/>
      <c r="J22" s="707"/>
      <c r="K22" s="706"/>
    </row>
    <row r="23" spans="1:11" ht="48.75" customHeight="1" hidden="1">
      <c r="A23" s="412" t="s">
        <v>414</v>
      </c>
      <c r="B23" s="64" t="s">
        <v>465</v>
      </c>
      <c r="C23" s="731" t="s">
        <v>657</v>
      </c>
      <c r="D23" s="502">
        <f t="shared" si="0"/>
        <v>233.1</v>
      </c>
      <c r="E23" s="408"/>
      <c r="F23" s="409">
        <v>233.1</v>
      </c>
      <c r="G23" s="409"/>
      <c r="H23" s="409"/>
      <c r="I23" s="409"/>
      <c r="J23" s="409"/>
      <c r="K23" s="220" t="s">
        <v>256</v>
      </c>
    </row>
    <row r="24" spans="1:11" ht="45" customHeight="1" hidden="1">
      <c r="A24" s="412" t="s">
        <v>415</v>
      </c>
      <c r="B24" s="64" t="s">
        <v>422</v>
      </c>
      <c r="C24" s="731" t="s">
        <v>657</v>
      </c>
      <c r="D24" s="502">
        <f t="shared" si="0"/>
        <v>1195</v>
      </c>
      <c r="E24" s="408"/>
      <c r="F24" s="409">
        <v>1195</v>
      </c>
      <c r="G24" s="409"/>
      <c r="H24" s="409"/>
      <c r="I24" s="409"/>
      <c r="J24" s="409"/>
      <c r="K24" s="220" t="s">
        <v>256</v>
      </c>
    </row>
    <row r="25" spans="1:11" s="501" customFormat="1" ht="31.5" customHeight="1" hidden="1">
      <c r="A25" s="499" t="s">
        <v>416</v>
      </c>
      <c r="B25" s="563" t="s">
        <v>716</v>
      </c>
      <c r="C25" s="731" t="s">
        <v>657</v>
      </c>
      <c r="D25" s="502">
        <f t="shared" si="0"/>
        <v>800</v>
      </c>
      <c r="E25" s="500">
        <v>800</v>
      </c>
      <c r="F25" s="500"/>
      <c r="G25" s="500"/>
      <c r="H25" s="500"/>
      <c r="I25" s="500"/>
      <c r="J25" s="500"/>
      <c r="K25" s="220" t="s">
        <v>256</v>
      </c>
    </row>
    <row r="26" spans="1:11" s="501" customFormat="1" ht="33" customHeight="1" hidden="1">
      <c r="A26" s="499" t="s">
        <v>419</v>
      </c>
      <c r="B26" s="563" t="s">
        <v>424</v>
      </c>
      <c r="C26" s="731" t="s">
        <v>657</v>
      </c>
      <c r="D26" s="502">
        <f t="shared" si="0"/>
        <v>1700</v>
      </c>
      <c r="E26" s="500">
        <v>1700</v>
      </c>
      <c r="F26" s="500"/>
      <c r="G26" s="500"/>
      <c r="H26" s="500"/>
      <c r="I26" s="500"/>
      <c r="J26" s="500"/>
      <c r="K26" s="220" t="s">
        <v>256</v>
      </c>
    </row>
    <row r="27" spans="1:11" s="501" customFormat="1" ht="33" customHeight="1" hidden="1">
      <c r="A27" s="499" t="s">
        <v>463</v>
      </c>
      <c r="B27" s="563" t="s">
        <v>461</v>
      </c>
      <c r="C27" s="731" t="s">
        <v>657</v>
      </c>
      <c r="D27" s="502">
        <f t="shared" si="0"/>
        <v>1542</v>
      </c>
      <c r="E27" s="500">
        <v>1542</v>
      </c>
      <c r="F27" s="500"/>
      <c r="G27" s="500"/>
      <c r="H27" s="500"/>
      <c r="I27" s="500"/>
      <c r="J27" s="500"/>
      <c r="K27" s="220" t="s">
        <v>256</v>
      </c>
    </row>
    <row r="28" spans="1:11" ht="33.75" customHeight="1" hidden="1">
      <c r="A28" s="412" t="s">
        <v>490</v>
      </c>
      <c r="B28" s="64" t="s">
        <v>491</v>
      </c>
      <c r="C28" s="731" t="s">
        <v>657</v>
      </c>
      <c r="D28" s="502">
        <f t="shared" si="0"/>
        <v>753.27</v>
      </c>
      <c r="E28" s="408"/>
      <c r="F28" s="409"/>
      <c r="G28" s="409"/>
      <c r="H28" s="409"/>
      <c r="I28" s="409"/>
      <c r="J28" s="409">
        <v>753.27</v>
      </c>
      <c r="K28" s="220" t="s">
        <v>256</v>
      </c>
    </row>
    <row r="29" spans="1:11" ht="33.75" customHeight="1" hidden="1">
      <c r="A29" s="412" t="s">
        <v>557</v>
      </c>
      <c r="B29" s="64" t="s">
        <v>582</v>
      </c>
      <c r="C29" s="731" t="s">
        <v>657</v>
      </c>
      <c r="D29" s="502">
        <f t="shared" si="0"/>
        <v>2000</v>
      </c>
      <c r="E29" s="408"/>
      <c r="F29" s="409"/>
      <c r="G29" s="409"/>
      <c r="H29" s="409"/>
      <c r="I29" s="409"/>
      <c r="J29" s="409">
        <v>2000</v>
      </c>
      <c r="K29" s="220" t="s">
        <v>256</v>
      </c>
    </row>
    <row r="30" spans="1:11" ht="46.5" customHeight="1" hidden="1">
      <c r="A30" s="412" t="s">
        <v>460</v>
      </c>
      <c r="B30" s="164" t="s">
        <v>606</v>
      </c>
      <c r="C30" s="731" t="s">
        <v>657</v>
      </c>
      <c r="D30" s="502">
        <f t="shared" si="0"/>
        <v>700</v>
      </c>
      <c r="E30" s="408"/>
      <c r="F30" s="409"/>
      <c r="G30" s="409"/>
      <c r="H30" s="409"/>
      <c r="I30" s="409"/>
      <c r="J30" s="409">
        <v>700</v>
      </c>
      <c r="K30" s="220" t="s">
        <v>256</v>
      </c>
    </row>
    <row r="31" spans="1:11" ht="41.25" customHeight="1" hidden="1">
      <c r="A31" s="412" t="s">
        <v>514</v>
      </c>
      <c r="B31" s="164" t="s">
        <v>607</v>
      </c>
      <c r="C31" s="731" t="s">
        <v>657</v>
      </c>
      <c r="D31" s="502">
        <f t="shared" si="0"/>
        <v>1300</v>
      </c>
      <c r="E31" s="408"/>
      <c r="F31" s="409"/>
      <c r="G31" s="409"/>
      <c r="H31" s="409"/>
      <c r="I31" s="409"/>
      <c r="J31" s="409">
        <v>1300</v>
      </c>
      <c r="K31" s="220" t="s">
        <v>256</v>
      </c>
    </row>
    <row r="32" spans="1:11" ht="60" customHeight="1">
      <c r="A32" s="412" t="s">
        <v>413</v>
      </c>
      <c r="B32" s="164" t="s">
        <v>930</v>
      </c>
      <c r="C32" s="731" t="s">
        <v>657</v>
      </c>
      <c r="D32" s="502">
        <f t="shared" si="0"/>
        <v>1542</v>
      </c>
      <c r="E32" s="408">
        <v>1542</v>
      </c>
      <c r="F32" s="409"/>
      <c r="G32" s="409"/>
      <c r="H32" s="409"/>
      <c r="I32" s="409"/>
      <c r="J32" s="409"/>
      <c r="K32" s="731"/>
    </row>
    <row r="33" spans="1:11" ht="2.25" customHeight="1" hidden="1">
      <c r="A33" s="35">
        <v>4</v>
      </c>
      <c r="B33" s="64" t="s">
        <v>257</v>
      </c>
      <c r="C33" s="220" t="s">
        <v>657</v>
      </c>
      <c r="D33" s="408">
        <v>13705</v>
      </c>
      <c r="E33" s="410">
        <v>13705</v>
      </c>
      <c r="F33" s="409"/>
      <c r="G33" s="409"/>
      <c r="H33" s="409"/>
      <c r="I33" s="409"/>
      <c r="J33" s="409"/>
      <c r="K33" s="220" t="s">
        <v>256</v>
      </c>
    </row>
    <row r="34" spans="1:11" s="505" customFormat="1" ht="42.75" customHeight="1">
      <c r="A34" s="59">
        <v>3</v>
      </c>
      <c r="B34" s="128" t="s">
        <v>717</v>
      </c>
      <c r="C34" s="546" t="s">
        <v>657</v>
      </c>
      <c r="D34" s="503">
        <f>D35</f>
        <v>2000</v>
      </c>
      <c r="E34" s="503">
        <f aca="true" t="shared" si="1" ref="E34:J34">E35</f>
        <v>2000</v>
      </c>
      <c r="F34" s="503">
        <f t="shared" si="1"/>
        <v>0</v>
      </c>
      <c r="G34" s="503">
        <f t="shared" si="1"/>
        <v>0</v>
      </c>
      <c r="H34" s="503">
        <f t="shared" si="1"/>
        <v>0</v>
      </c>
      <c r="I34" s="503">
        <f t="shared" si="1"/>
        <v>0</v>
      </c>
      <c r="J34" s="503">
        <f t="shared" si="1"/>
        <v>0</v>
      </c>
      <c r="K34" s="220" t="s">
        <v>788</v>
      </c>
    </row>
    <row r="35" spans="1:11" ht="75.75" customHeight="1">
      <c r="A35" s="35" t="s">
        <v>460</v>
      </c>
      <c r="B35" s="64" t="s">
        <v>718</v>
      </c>
      <c r="C35" s="220" t="s">
        <v>657</v>
      </c>
      <c r="D35" s="408">
        <f>E35+F35+J35</f>
        <v>2000</v>
      </c>
      <c r="E35" s="410">
        <v>2000</v>
      </c>
      <c r="F35" s="409"/>
      <c r="G35" s="409"/>
      <c r="H35" s="409"/>
      <c r="I35" s="409"/>
      <c r="J35" s="409"/>
      <c r="K35" s="220"/>
    </row>
    <row r="36" spans="1:11" s="505" customFormat="1" ht="50.25" customHeight="1">
      <c r="A36" s="59">
        <v>4</v>
      </c>
      <c r="B36" s="128" t="s">
        <v>722</v>
      </c>
      <c r="C36" s="546" t="s">
        <v>657</v>
      </c>
      <c r="D36" s="503">
        <f>E36+F36+J36</f>
        <v>41.8</v>
      </c>
      <c r="E36" s="504">
        <f aca="true" t="shared" si="2" ref="E36:J36">E37+E38+E39</f>
        <v>41.8</v>
      </c>
      <c r="F36" s="504">
        <f t="shared" si="2"/>
        <v>0</v>
      </c>
      <c r="G36" s="504">
        <f t="shared" si="2"/>
        <v>0</v>
      </c>
      <c r="H36" s="504">
        <f t="shared" si="2"/>
        <v>0</v>
      </c>
      <c r="I36" s="504">
        <f t="shared" si="2"/>
        <v>0</v>
      </c>
      <c r="J36" s="504">
        <f t="shared" si="2"/>
        <v>0</v>
      </c>
      <c r="K36" s="220" t="s">
        <v>789</v>
      </c>
    </row>
    <row r="37" spans="1:11" ht="43.5" customHeight="1">
      <c r="A37" s="412" t="s">
        <v>476</v>
      </c>
      <c r="B37" s="64" t="s">
        <v>719</v>
      </c>
      <c r="C37" s="220" t="s">
        <v>657</v>
      </c>
      <c r="D37" s="408">
        <f>E37+F37+J37</f>
        <v>13.5</v>
      </c>
      <c r="E37" s="410">
        <v>13.5</v>
      </c>
      <c r="F37" s="409"/>
      <c r="G37" s="409"/>
      <c r="H37" s="409"/>
      <c r="I37" s="409"/>
      <c r="J37" s="409"/>
      <c r="K37" s="220"/>
    </row>
    <row r="38" spans="1:11" ht="43.5" customHeight="1">
      <c r="A38" s="412" t="s">
        <v>629</v>
      </c>
      <c r="B38" s="64" t="s">
        <v>720</v>
      </c>
      <c r="C38" s="220" t="s">
        <v>657</v>
      </c>
      <c r="D38" s="408">
        <f>E38+F38+J38</f>
        <v>13.5</v>
      </c>
      <c r="E38" s="410">
        <v>13.5</v>
      </c>
      <c r="F38" s="409"/>
      <c r="G38" s="409"/>
      <c r="H38" s="409"/>
      <c r="I38" s="409"/>
      <c r="J38" s="409"/>
      <c r="K38" s="220"/>
    </row>
    <row r="39" spans="1:11" ht="43.5" customHeight="1">
      <c r="A39" s="412" t="s">
        <v>630</v>
      </c>
      <c r="B39" s="64" t="s">
        <v>721</v>
      </c>
      <c r="C39" s="220" t="s">
        <v>657</v>
      </c>
      <c r="D39" s="408">
        <f>E39+F39+J39</f>
        <v>14.8</v>
      </c>
      <c r="E39" s="410">
        <v>14.8</v>
      </c>
      <c r="F39" s="409"/>
      <c r="G39" s="409"/>
      <c r="H39" s="409"/>
      <c r="I39" s="409"/>
      <c r="J39" s="409"/>
      <c r="K39" s="220"/>
    </row>
    <row r="40" spans="1:11" ht="24" customHeight="1">
      <c r="A40" s="69"/>
      <c r="B40" s="59" t="s">
        <v>5</v>
      </c>
      <c r="C40" s="70"/>
      <c r="D40" s="163">
        <f aca="true" t="shared" si="3" ref="D40:J40">D16+D18+D34+D36</f>
        <v>7043.2</v>
      </c>
      <c r="E40" s="163">
        <f>E16+E18+E34+E36</f>
        <v>6383.8</v>
      </c>
      <c r="F40" s="163">
        <f>F16+F18+F34+F36</f>
        <v>320.1</v>
      </c>
      <c r="G40" s="163">
        <f t="shared" si="3"/>
        <v>0</v>
      </c>
      <c r="H40" s="163">
        <f t="shared" si="3"/>
        <v>0</v>
      </c>
      <c r="I40" s="163">
        <f t="shared" si="3"/>
        <v>0</v>
      </c>
      <c r="J40" s="163">
        <f t="shared" si="3"/>
        <v>339.3</v>
      </c>
      <c r="K40" s="71"/>
    </row>
    <row r="41" spans="1:11" ht="10.5" customHeight="1">
      <c r="A41" s="564"/>
      <c r="B41" s="51"/>
      <c r="C41" s="51"/>
      <c r="D41" s="338"/>
      <c r="E41" s="338"/>
      <c r="F41" s="338"/>
      <c r="G41" s="338"/>
      <c r="H41" s="338"/>
      <c r="I41" s="338"/>
      <c r="J41" s="338"/>
      <c r="K41" s="339"/>
    </row>
    <row r="42" spans="1:11" ht="18.75" hidden="1">
      <c r="A42" s="67"/>
      <c r="B42" s="51"/>
      <c r="C42" s="51"/>
      <c r="D42" s="338"/>
      <c r="E42" s="338"/>
      <c r="F42" s="338"/>
      <c r="G42" s="338"/>
      <c r="H42" s="338"/>
      <c r="I42" s="338"/>
      <c r="J42" s="338"/>
      <c r="K42" s="339"/>
    </row>
    <row r="43" spans="1:11" ht="18.75">
      <c r="A43" s="67"/>
      <c r="B43" s="51"/>
      <c r="C43" s="52"/>
      <c r="D43" s="67"/>
      <c r="E43" s="338"/>
      <c r="F43" s="338"/>
      <c r="G43" s="338"/>
      <c r="H43" s="338"/>
      <c r="I43" s="338"/>
      <c r="J43" s="338"/>
      <c r="K43" s="52"/>
    </row>
    <row r="44" spans="2:11" s="600" customFormat="1" ht="20.25">
      <c r="B44" s="762" t="s">
        <v>523</v>
      </c>
      <c r="C44" s="762"/>
      <c r="D44" s="587"/>
      <c r="E44" s="589"/>
      <c r="F44" s="589"/>
      <c r="J44" s="602"/>
      <c r="K44" s="602" t="s">
        <v>30</v>
      </c>
    </row>
    <row r="45" spans="1:11" ht="15" customHeight="1">
      <c r="A45" s="67"/>
      <c r="B45" s="352"/>
      <c r="C45" s="352"/>
      <c r="D45" s="352"/>
      <c r="E45" s="22"/>
      <c r="F45" s="22"/>
      <c r="G45" s="67"/>
      <c r="H45" s="67"/>
      <c r="I45" s="67"/>
      <c r="J45" s="23"/>
      <c r="K45" s="23"/>
    </row>
    <row r="46" spans="1:11" ht="18.75">
      <c r="A46" s="67"/>
      <c r="B46" s="748" t="s">
        <v>558</v>
      </c>
      <c r="C46" s="748"/>
      <c r="D46" s="25"/>
      <c r="E46" s="22"/>
      <c r="F46" s="22"/>
      <c r="G46" s="22"/>
      <c r="H46" s="22"/>
      <c r="I46" s="22"/>
      <c r="J46" s="336"/>
      <c r="K46" s="336"/>
    </row>
    <row r="47" spans="2:11" ht="15.75">
      <c r="B47" s="27"/>
      <c r="C47" s="27"/>
      <c r="D47" s="26"/>
      <c r="E47" s="26"/>
      <c r="F47" s="26"/>
      <c r="G47" s="26"/>
      <c r="H47" s="26"/>
      <c r="I47" s="26"/>
      <c r="J47" s="15"/>
      <c r="K47" s="15"/>
    </row>
    <row r="48" spans="2:11" ht="15.75">
      <c r="B48" s="28"/>
      <c r="C48" s="29"/>
      <c r="D48" s="30"/>
      <c r="E48" s="26"/>
      <c r="F48" s="26"/>
      <c r="G48" s="26"/>
      <c r="H48" s="26"/>
      <c r="I48" s="26"/>
      <c r="J48" s="15"/>
      <c r="K48" s="15"/>
    </row>
    <row r="49" spans="3:10" ht="15.75">
      <c r="C49" s="30"/>
      <c r="D49" s="26"/>
      <c r="E49" s="26"/>
      <c r="F49" s="26"/>
      <c r="G49" s="26"/>
      <c r="H49" s="26"/>
      <c r="I49" s="26"/>
      <c r="J49" s="26"/>
    </row>
    <row r="50" spans="3:10" ht="15.75">
      <c r="C50" s="31"/>
      <c r="D50" s="26"/>
      <c r="E50" s="26"/>
      <c r="F50" s="26"/>
      <c r="G50" s="26"/>
      <c r="H50" s="26"/>
      <c r="I50" s="26"/>
      <c r="J50" s="26"/>
    </row>
    <row r="52" ht="12.75">
      <c r="H52" s="32"/>
    </row>
  </sheetData>
  <sheetProtection/>
  <mergeCells count="34">
    <mergeCell ref="A11:K11"/>
    <mergeCell ref="D12:H12"/>
    <mergeCell ref="A13:A15"/>
    <mergeCell ref="B13:B15"/>
    <mergeCell ref="C13:C15"/>
    <mergeCell ref="D13:D15"/>
    <mergeCell ref="E13:J13"/>
    <mergeCell ref="K13:K15"/>
    <mergeCell ref="E14:E15"/>
    <mergeCell ref="F14:F15"/>
    <mergeCell ref="G14:G15"/>
    <mergeCell ref="H14:H15"/>
    <mergeCell ref="I14:I15"/>
    <mergeCell ref="J14:J15"/>
    <mergeCell ref="A16:A17"/>
    <mergeCell ref="B16:B17"/>
    <mergeCell ref="E18:E19"/>
    <mergeCell ref="F18:F19"/>
    <mergeCell ref="K16:K17"/>
    <mergeCell ref="A18:A19"/>
    <mergeCell ref="B18:B19"/>
    <mergeCell ref="K18:K19"/>
    <mergeCell ref="J16:J17"/>
    <mergeCell ref="J18:J19"/>
    <mergeCell ref="J8:K8"/>
    <mergeCell ref="J7:O7"/>
    <mergeCell ref="B44:C44"/>
    <mergeCell ref="B46:C46"/>
    <mergeCell ref="C16:C17"/>
    <mergeCell ref="D16:D17"/>
    <mergeCell ref="E16:E17"/>
    <mergeCell ref="F16:F17"/>
    <mergeCell ref="C18:C19"/>
    <mergeCell ref="D18:D19"/>
  </mergeCells>
  <printOptions horizontalCentered="1"/>
  <pageMargins left="0.5905511811023623" right="0.5905511811023623" top="1.1811023622047245" bottom="0.1968503937007874" header="0" footer="0"/>
  <pageSetup fitToWidth="0" fitToHeight="1" horizontalDpi="600" verticalDpi="600" orientation="landscape" paperSize="9" scale="53" r:id="rId1"/>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N32"/>
  <sheetViews>
    <sheetView view="pageBreakPreview" zoomScaleSheetLayoutView="100" zoomScalePageLayoutView="0" workbookViewId="0" topLeftCell="A1">
      <selection activeCell="F22" sqref="F22"/>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767" t="s">
        <v>452</v>
      </c>
      <c r="K1" s="767"/>
      <c r="L1" s="13" t="s">
        <v>19</v>
      </c>
    </row>
    <row r="2" spans="2:12" ht="15.75">
      <c r="B2" s="15"/>
      <c r="C2" s="15"/>
      <c r="D2" s="15"/>
      <c r="E2" s="15"/>
      <c r="F2" s="15"/>
      <c r="G2" s="15"/>
      <c r="H2" s="15"/>
      <c r="I2" s="12" t="s">
        <v>11</v>
      </c>
      <c r="J2" s="767" t="s">
        <v>11</v>
      </c>
      <c r="K2" s="767"/>
      <c r="L2" s="12" t="s">
        <v>11</v>
      </c>
    </row>
    <row r="3" spans="2:12" ht="15.75">
      <c r="B3" s="15"/>
      <c r="C3" s="15"/>
      <c r="D3" s="15"/>
      <c r="E3" s="15"/>
      <c r="F3" s="15"/>
      <c r="G3" s="15"/>
      <c r="H3" s="15"/>
      <c r="I3" s="12"/>
      <c r="J3" s="12" t="s">
        <v>291</v>
      </c>
      <c r="K3" s="12"/>
      <c r="L3" s="12"/>
    </row>
    <row r="4" spans="2:12" ht="15.75">
      <c r="B4" s="15"/>
      <c r="C4" s="15"/>
      <c r="D4" s="15"/>
      <c r="E4" s="15"/>
      <c r="F4" s="15"/>
      <c r="G4" s="15"/>
      <c r="H4" s="15"/>
      <c r="I4" s="12" t="s">
        <v>21</v>
      </c>
      <c r="J4" s="12" t="s">
        <v>575</v>
      </c>
      <c r="K4" s="12"/>
      <c r="L4" s="12" t="s">
        <v>21</v>
      </c>
    </row>
    <row r="5" spans="2:12" ht="15.75">
      <c r="B5" s="15"/>
      <c r="C5" s="15"/>
      <c r="D5" s="15"/>
      <c r="E5" s="15"/>
      <c r="F5" s="15"/>
      <c r="G5" s="15"/>
      <c r="H5" s="15"/>
      <c r="I5" s="12" t="s">
        <v>23</v>
      </c>
      <c r="J5" s="12" t="s">
        <v>576</v>
      </c>
      <c r="K5" s="12"/>
      <c r="L5" s="12" t="s">
        <v>23</v>
      </c>
    </row>
    <row r="6" spans="2:12" ht="15.75">
      <c r="B6" s="15"/>
      <c r="C6" s="15"/>
      <c r="D6" s="15"/>
      <c r="E6" s="15"/>
      <c r="F6" s="15"/>
      <c r="G6" s="15"/>
      <c r="H6" s="15"/>
      <c r="I6" s="12"/>
      <c r="J6" s="12" t="s">
        <v>563</v>
      </c>
      <c r="K6" s="12"/>
      <c r="L6" s="12"/>
    </row>
    <row r="7" spans="2:12" ht="15.75">
      <c r="B7" s="15"/>
      <c r="C7" s="15"/>
      <c r="D7" s="15"/>
      <c r="E7" s="15"/>
      <c r="F7" s="15"/>
      <c r="G7" s="15"/>
      <c r="H7" s="15"/>
      <c r="I7" s="12"/>
      <c r="J7" s="12" t="s">
        <v>564</v>
      </c>
      <c r="K7" s="12"/>
      <c r="L7" s="12"/>
    </row>
    <row r="8" spans="2:12" ht="15.75">
      <c r="B8" s="15"/>
      <c r="C8" s="15"/>
      <c r="D8" s="15"/>
      <c r="E8" s="15"/>
      <c r="F8" s="15"/>
      <c r="G8" s="15"/>
      <c r="H8" s="16"/>
      <c r="I8" s="12" t="s">
        <v>24</v>
      </c>
      <c r="J8" s="12" t="s">
        <v>565</v>
      </c>
      <c r="K8" s="12"/>
      <c r="L8" s="12" t="s">
        <v>24</v>
      </c>
    </row>
    <row r="9" spans="2:12" ht="15.75">
      <c r="B9" s="15"/>
      <c r="C9" s="15"/>
      <c r="D9" s="15"/>
      <c r="E9" s="15"/>
      <c r="F9" s="15"/>
      <c r="G9" s="15"/>
      <c r="H9" s="15"/>
      <c r="I9" s="15"/>
      <c r="J9" s="15" t="s">
        <v>651</v>
      </c>
      <c r="K9" s="15"/>
      <c r="L9" s="15"/>
    </row>
    <row r="10" spans="2:12" ht="21.75" customHeight="1">
      <c r="B10" s="769" t="s">
        <v>441</v>
      </c>
      <c r="C10" s="769"/>
      <c r="D10" s="769"/>
      <c r="E10" s="769"/>
      <c r="F10" s="769"/>
      <c r="G10" s="769"/>
      <c r="H10" s="769"/>
      <c r="I10" s="769"/>
      <c r="J10" s="769"/>
      <c r="K10" s="769"/>
      <c r="L10" s="15"/>
    </row>
    <row r="11" spans="2:12" ht="15.75">
      <c r="B11" s="15"/>
      <c r="C11" s="15"/>
      <c r="D11" s="785"/>
      <c r="E11" s="785"/>
      <c r="F11" s="785"/>
      <c r="G11" s="785"/>
      <c r="H11" s="785"/>
      <c r="I11" s="15"/>
      <c r="J11" s="15"/>
      <c r="K11" s="34" t="s">
        <v>426</v>
      </c>
      <c r="L11" s="15"/>
    </row>
    <row r="12" spans="1:12" ht="15.75" customHeight="1">
      <c r="A12" s="783" t="s">
        <v>32</v>
      </c>
      <c r="B12" s="783" t="s">
        <v>12</v>
      </c>
      <c r="C12" s="783" t="s">
        <v>13</v>
      </c>
      <c r="D12" s="783" t="s">
        <v>406</v>
      </c>
      <c r="E12" s="892" t="s">
        <v>9</v>
      </c>
      <c r="F12" s="892"/>
      <c r="G12" s="892"/>
      <c r="H12" s="892"/>
      <c r="I12" s="892"/>
      <c r="J12" s="893"/>
      <c r="K12" s="891" t="s">
        <v>15</v>
      </c>
      <c r="L12" s="15"/>
    </row>
    <row r="13" spans="1:12" ht="15.75">
      <c r="A13" s="850"/>
      <c r="B13" s="850"/>
      <c r="C13" s="850"/>
      <c r="D13" s="850"/>
      <c r="E13" s="783">
        <v>2018</v>
      </c>
      <c r="F13" s="783">
        <v>2019</v>
      </c>
      <c r="G13" s="783" t="s">
        <v>27</v>
      </c>
      <c r="H13" s="783" t="s">
        <v>28</v>
      </c>
      <c r="I13" s="783" t="s">
        <v>29</v>
      </c>
      <c r="J13" s="891">
        <v>2020</v>
      </c>
      <c r="K13" s="891"/>
      <c r="L13" s="15"/>
    </row>
    <row r="14" spans="1:12" ht="15.75">
      <c r="A14" s="784"/>
      <c r="B14" s="784"/>
      <c r="C14" s="784"/>
      <c r="D14" s="784"/>
      <c r="E14" s="784"/>
      <c r="F14" s="784"/>
      <c r="G14" s="784"/>
      <c r="H14" s="784"/>
      <c r="I14" s="784"/>
      <c r="J14" s="891"/>
      <c r="K14" s="891"/>
      <c r="L14" s="15"/>
    </row>
    <row r="15" spans="1:12" ht="26.25" customHeight="1">
      <c r="A15" s="773">
        <v>1</v>
      </c>
      <c r="B15" s="787" t="s">
        <v>67</v>
      </c>
      <c r="C15" s="446" t="s">
        <v>16</v>
      </c>
      <c r="D15" s="108">
        <f>E15+F15+J15</f>
        <v>2900</v>
      </c>
      <c r="E15" s="109">
        <f>1300+100</f>
        <v>1400</v>
      </c>
      <c r="F15" s="109">
        <f>1300+200</f>
        <v>1500</v>
      </c>
      <c r="G15" s="109">
        <v>1100</v>
      </c>
      <c r="H15" s="109">
        <v>1100</v>
      </c>
      <c r="I15" s="109">
        <v>1100</v>
      </c>
      <c r="J15" s="109"/>
      <c r="K15" s="787" t="s">
        <v>68</v>
      </c>
      <c r="L15" s="15"/>
    </row>
    <row r="16" spans="1:14" ht="35.25" customHeight="1">
      <c r="A16" s="774"/>
      <c r="B16" s="789"/>
      <c r="C16" s="446" t="s">
        <v>539</v>
      </c>
      <c r="D16" s="108">
        <f>E16+F16+J16</f>
        <v>1300</v>
      </c>
      <c r="E16" s="110">
        <v>0</v>
      </c>
      <c r="F16" s="109"/>
      <c r="G16" s="109"/>
      <c r="H16" s="109"/>
      <c r="I16" s="109"/>
      <c r="J16" s="109">
        <v>1300</v>
      </c>
      <c r="K16" s="788"/>
      <c r="L16" s="15"/>
      <c r="N16" s="54">
        <v>441</v>
      </c>
    </row>
    <row r="17" spans="1:14" ht="56.25" customHeight="1">
      <c r="A17" s="774"/>
      <c r="B17" s="787" t="s">
        <v>544</v>
      </c>
      <c r="C17" s="446" t="s">
        <v>16</v>
      </c>
      <c r="D17" s="108">
        <f>E17+F17+J17</f>
        <v>1120</v>
      </c>
      <c r="E17" s="113">
        <f>200+90</f>
        <v>290</v>
      </c>
      <c r="F17" s="113">
        <f>200+100+100+130+170+130</f>
        <v>830</v>
      </c>
      <c r="G17" s="113">
        <v>200</v>
      </c>
      <c r="H17" s="113">
        <v>200</v>
      </c>
      <c r="I17" s="113">
        <v>200</v>
      </c>
      <c r="J17" s="113"/>
      <c r="K17" s="788"/>
      <c r="L17" s="15"/>
      <c r="N17" s="54"/>
    </row>
    <row r="18" spans="1:14" ht="22.5" customHeight="1">
      <c r="A18" s="775"/>
      <c r="B18" s="789"/>
      <c r="C18" s="446" t="s">
        <v>539</v>
      </c>
      <c r="D18" s="108">
        <f>E18+F18+J18</f>
        <v>1500</v>
      </c>
      <c r="E18" s="113"/>
      <c r="F18" s="113"/>
      <c r="G18" s="113"/>
      <c r="H18" s="113"/>
      <c r="I18" s="113"/>
      <c r="J18" s="113">
        <f>750+750</f>
        <v>1500</v>
      </c>
      <c r="K18" s="789"/>
      <c r="L18" s="15"/>
      <c r="N18" s="54"/>
    </row>
    <row r="19" spans="1:12" ht="32.25" customHeight="1">
      <c r="A19" s="84"/>
      <c r="B19" s="82" t="s">
        <v>5</v>
      </c>
      <c r="C19" s="111"/>
      <c r="D19" s="108">
        <f>D17+D15+D16+D18</f>
        <v>6820</v>
      </c>
      <c r="E19" s="108">
        <f>E15+E17</f>
        <v>1690</v>
      </c>
      <c r="F19" s="108">
        <f>F17+F15</f>
        <v>2330</v>
      </c>
      <c r="G19" s="108" t="e">
        <f>G15+G16+#REF!</f>
        <v>#REF!</v>
      </c>
      <c r="H19" s="108" t="e">
        <f>H15+H16+#REF!</f>
        <v>#REF!</v>
      </c>
      <c r="I19" s="108" t="e">
        <f>I15+I16+#REF!</f>
        <v>#REF!</v>
      </c>
      <c r="J19" s="108">
        <f>J17+J15+J16+J18</f>
        <v>2800</v>
      </c>
      <c r="K19" s="112"/>
      <c r="L19" s="15"/>
    </row>
    <row r="20" spans="2:12" ht="15.75">
      <c r="B20" s="18"/>
      <c r="C20" s="18"/>
      <c r="D20" s="19"/>
      <c r="E20" s="19"/>
      <c r="F20" s="19"/>
      <c r="G20" s="19"/>
      <c r="H20" s="19"/>
      <c r="I20" s="19"/>
      <c r="J20" s="19"/>
      <c r="K20" s="20"/>
      <c r="L20" s="15"/>
    </row>
    <row r="21" spans="2:12" ht="15.75" hidden="1">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9.75" customHeight="1">
      <c r="B23" s="51"/>
      <c r="C23" s="52"/>
      <c r="E23" s="19"/>
      <c r="F23" s="19"/>
      <c r="G23" s="19"/>
      <c r="H23" s="19"/>
      <c r="I23" s="19"/>
      <c r="J23" s="19"/>
      <c r="K23" s="52"/>
      <c r="L23" s="15"/>
    </row>
    <row r="24" spans="2:12" ht="18.75" customHeight="1">
      <c r="B24" s="809" t="s">
        <v>18</v>
      </c>
      <c r="C24" s="809"/>
      <c r="D24" s="352"/>
      <c r="E24" s="22"/>
      <c r="F24" s="22"/>
      <c r="G24" s="16"/>
      <c r="H24" s="16"/>
      <c r="I24" s="16"/>
      <c r="J24" s="23"/>
      <c r="K24" s="23" t="s">
        <v>30</v>
      </c>
      <c r="L24" s="23"/>
    </row>
    <row r="25" spans="2:12" ht="14.25" customHeight="1">
      <c r="B25" s="352"/>
      <c r="C25" s="352"/>
      <c r="D25" s="352"/>
      <c r="E25" s="22"/>
      <c r="F25" s="22"/>
      <c r="G25" s="16"/>
      <c r="H25" s="16"/>
      <c r="I25" s="16"/>
      <c r="J25" s="23"/>
      <c r="K25" s="23"/>
      <c r="L25" s="23"/>
    </row>
    <row r="26" spans="2:11" ht="18.75">
      <c r="B26" s="777" t="s">
        <v>558</v>
      </c>
      <c r="C26" s="777"/>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J1:K1"/>
    <mergeCell ref="J2:K2"/>
    <mergeCell ref="B10:K10"/>
    <mergeCell ref="D11:H11"/>
    <mergeCell ref="B15:B16"/>
    <mergeCell ref="B24:C24"/>
    <mergeCell ref="H13:H14"/>
    <mergeCell ref="K15:K18"/>
    <mergeCell ref="A12:A14"/>
    <mergeCell ref="B12:B14"/>
    <mergeCell ref="I13:I14"/>
    <mergeCell ref="J13:J14"/>
    <mergeCell ref="A15:A18"/>
    <mergeCell ref="C12:C14"/>
    <mergeCell ref="E12:J12"/>
    <mergeCell ref="B26:C26"/>
    <mergeCell ref="K12:K14"/>
    <mergeCell ref="E13:E14"/>
    <mergeCell ref="F13:F14"/>
    <mergeCell ref="G13:G14"/>
    <mergeCell ref="D12:D14"/>
    <mergeCell ref="B17:B18"/>
  </mergeCells>
  <printOptions horizontalCentered="1"/>
  <pageMargins left="0" right="0" top="1.1811023622047245" bottom="0" header="0" footer="0"/>
  <pageSetup fitToHeight="1" fitToWidth="1" horizontalDpi="600" verticalDpi="600" orientation="landscape" paperSize="9" scale="92" r:id="rId1"/>
</worksheet>
</file>

<file path=xl/worksheets/sheet27.xml><?xml version="1.0" encoding="utf-8"?>
<worksheet xmlns="http://schemas.openxmlformats.org/spreadsheetml/2006/main" xmlns:r="http://schemas.openxmlformats.org/officeDocument/2006/relationships">
  <sheetPr>
    <tabColor theme="2" tint="-0.24997000396251678"/>
  </sheetPr>
  <dimension ref="A1:P83"/>
  <sheetViews>
    <sheetView view="pageBreakPreview" zoomScale="75" zoomScaleSheetLayoutView="75" zoomScalePageLayoutView="0" workbookViewId="0" topLeftCell="A1">
      <selection activeCell="A1" sqref="A1:P27"/>
    </sheetView>
  </sheetViews>
  <sheetFormatPr defaultColWidth="9.140625" defaultRowHeight="12.75"/>
  <cols>
    <col min="1" max="1" width="6.140625" style="171" bestFit="1" customWidth="1"/>
    <col min="2" max="2" width="73.7109375" style="0" customWidth="1"/>
    <col min="3" max="3" width="17.7109375" style="0" customWidth="1"/>
    <col min="4" max="4" width="14.421875" style="0" customWidth="1"/>
    <col min="5" max="5" width="13.421875" style="256"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701</v>
      </c>
      <c r="L1" s="513"/>
      <c r="M1" s="2"/>
    </row>
    <row r="2" spans="11:16" ht="15.75">
      <c r="K2" s="12" t="s">
        <v>11</v>
      </c>
      <c r="L2" s="12"/>
      <c r="M2" s="15"/>
      <c r="N2" s="12"/>
      <c r="O2" s="12"/>
      <c r="P2" s="12"/>
    </row>
    <row r="3" spans="11:16" ht="15.75">
      <c r="K3" s="12" t="s">
        <v>566</v>
      </c>
      <c r="L3" s="12"/>
      <c r="M3" s="15"/>
      <c r="N3" s="12"/>
      <c r="O3" s="12"/>
      <c r="P3" s="12"/>
    </row>
    <row r="4" spans="11:16" ht="15.75">
      <c r="K4" s="17" t="s">
        <v>567</v>
      </c>
      <c r="L4" s="17"/>
      <c r="M4" s="15"/>
      <c r="N4" s="12"/>
      <c r="O4" s="12"/>
      <c r="P4" s="12"/>
    </row>
    <row r="5" spans="2:16" ht="15.75">
      <c r="B5" s="1"/>
      <c r="C5" s="1"/>
      <c r="D5" s="1"/>
      <c r="E5" s="257"/>
      <c r="F5" s="1"/>
      <c r="G5" s="1"/>
      <c r="H5" s="1"/>
      <c r="I5" s="1"/>
      <c r="J5" s="2" t="s">
        <v>71</v>
      </c>
      <c r="K5" s="17" t="s">
        <v>907</v>
      </c>
      <c r="L5" s="17"/>
      <c r="M5" s="15"/>
      <c r="N5" s="12"/>
      <c r="O5" s="12"/>
      <c r="P5" s="12"/>
    </row>
    <row r="6" spans="2:16" ht="15.75">
      <c r="B6" s="1"/>
      <c r="C6" s="1"/>
      <c r="D6" s="1"/>
      <c r="E6" s="257"/>
      <c r="F6" s="1"/>
      <c r="G6" s="1"/>
      <c r="H6" s="1"/>
      <c r="I6" s="1"/>
      <c r="J6" s="2"/>
      <c r="K6" s="17" t="s">
        <v>927</v>
      </c>
      <c r="L6" s="17"/>
      <c r="M6" s="327"/>
      <c r="N6" s="12"/>
      <c r="O6" s="12"/>
      <c r="P6" s="12"/>
    </row>
    <row r="7" spans="2:16" ht="15.75">
      <c r="B7" s="1"/>
      <c r="C7" s="1"/>
      <c r="D7" s="1"/>
      <c r="E7" s="257"/>
      <c r="F7" s="1"/>
      <c r="G7" s="1"/>
      <c r="H7" s="1"/>
      <c r="I7" s="1"/>
      <c r="J7" s="2"/>
      <c r="K7" s="17" t="s">
        <v>928</v>
      </c>
      <c r="L7" s="17"/>
      <c r="M7" s="327"/>
      <c r="N7" s="12"/>
      <c r="O7" s="12"/>
      <c r="P7" s="12"/>
    </row>
    <row r="8" spans="2:16" ht="15.75">
      <c r="B8" s="1"/>
      <c r="C8" s="1"/>
      <c r="D8" s="1"/>
      <c r="E8" s="257"/>
      <c r="F8" s="1"/>
      <c r="G8" s="1"/>
      <c r="H8" s="1"/>
      <c r="I8" s="9"/>
      <c r="J8" s="3" t="s">
        <v>83</v>
      </c>
      <c r="K8" s="768" t="s">
        <v>920</v>
      </c>
      <c r="L8" s="768"/>
      <c r="M8" s="768"/>
      <c r="N8" s="768"/>
      <c r="O8" s="768"/>
      <c r="P8" s="768"/>
    </row>
    <row r="9" spans="2:16" ht="15.75">
      <c r="B9" s="1"/>
      <c r="C9" s="1"/>
      <c r="D9" s="1"/>
      <c r="E9" s="257"/>
      <c r="F9" s="1"/>
      <c r="G9" s="1"/>
      <c r="H9" s="1"/>
      <c r="I9" s="9"/>
      <c r="J9" s="3"/>
      <c r="K9" s="768" t="s">
        <v>941</v>
      </c>
      <c r="L9" s="768"/>
      <c r="M9" s="730"/>
      <c r="N9" s="730"/>
      <c r="O9" s="730"/>
      <c r="P9" s="730"/>
    </row>
    <row r="10" spans="2:14" ht="18.75">
      <c r="B10" s="1"/>
      <c r="C10" s="1"/>
      <c r="D10" s="1"/>
      <c r="E10" s="257"/>
      <c r="F10" s="1"/>
      <c r="G10" s="1"/>
      <c r="H10" s="1"/>
      <c r="I10" s="9"/>
      <c r="J10" s="3"/>
      <c r="K10" s="344"/>
      <c r="L10" s="55"/>
      <c r="M10" s="3"/>
      <c r="N10" s="3"/>
    </row>
    <row r="11" spans="2:11" ht="15.75">
      <c r="B11" s="1"/>
      <c r="C11" s="1"/>
      <c r="D11" s="1"/>
      <c r="E11" s="257"/>
      <c r="F11" s="1"/>
      <c r="G11" s="1"/>
      <c r="H11" s="1"/>
      <c r="I11" s="1"/>
      <c r="J11" s="1"/>
      <c r="K11" s="1"/>
    </row>
    <row r="12" spans="1:11" ht="51" customHeight="1">
      <c r="A12" s="559"/>
      <c r="B12" s="894" t="s">
        <v>909</v>
      </c>
      <c r="C12" s="894"/>
      <c r="D12" s="894"/>
      <c r="E12" s="894"/>
      <c r="F12" s="894"/>
      <c r="G12" s="894"/>
      <c r="H12" s="894"/>
      <c r="I12" s="894"/>
      <c r="J12" s="894"/>
      <c r="K12" s="894"/>
    </row>
    <row r="13" spans="1:11" ht="15.75">
      <c r="A13" s="559"/>
      <c r="B13" s="1"/>
      <c r="C13" s="1"/>
      <c r="D13" s="1"/>
      <c r="E13" s="257"/>
      <c r="F13" s="1"/>
      <c r="G13" s="1"/>
      <c r="H13" s="1"/>
      <c r="I13" s="1"/>
      <c r="J13" s="1"/>
      <c r="K13" s="45" t="s">
        <v>426</v>
      </c>
    </row>
    <row r="14" spans="1:11" ht="18.75">
      <c r="A14" s="797" t="s">
        <v>84</v>
      </c>
      <c r="B14" s="816" t="s">
        <v>12</v>
      </c>
      <c r="C14" s="816" t="s">
        <v>13</v>
      </c>
      <c r="D14" s="816" t="s">
        <v>397</v>
      </c>
      <c r="E14" s="817" t="s">
        <v>9</v>
      </c>
      <c r="F14" s="817"/>
      <c r="G14" s="817"/>
      <c r="H14" s="817"/>
      <c r="I14" s="817"/>
      <c r="J14" s="817"/>
      <c r="K14" s="816" t="s">
        <v>15</v>
      </c>
    </row>
    <row r="15" spans="1:11" ht="40.5" customHeight="1">
      <c r="A15" s="798"/>
      <c r="B15" s="816"/>
      <c r="C15" s="816"/>
      <c r="D15" s="816"/>
      <c r="E15" s="233">
        <v>2021</v>
      </c>
      <c r="F15" s="56">
        <v>2022</v>
      </c>
      <c r="G15" s="56">
        <v>2023</v>
      </c>
      <c r="H15" s="172" t="s">
        <v>27</v>
      </c>
      <c r="I15" s="172" t="s">
        <v>28</v>
      </c>
      <c r="J15" s="172" t="s">
        <v>29</v>
      </c>
      <c r="K15" s="816"/>
    </row>
    <row r="16" spans="1:11" ht="37.5" hidden="1">
      <c r="A16" s="820">
        <v>14</v>
      </c>
      <c r="B16" s="827" t="s">
        <v>226</v>
      </c>
      <c r="C16" s="722" t="s">
        <v>16</v>
      </c>
      <c r="D16" s="237">
        <f>E16+F16+G16</f>
        <v>0</v>
      </c>
      <c r="E16" s="237"/>
      <c r="F16" s="237"/>
      <c r="G16" s="237"/>
      <c r="H16" s="648"/>
      <c r="I16" s="648"/>
      <c r="J16" s="648"/>
      <c r="K16" s="818" t="s">
        <v>192</v>
      </c>
    </row>
    <row r="17" spans="1:11" ht="18.75" hidden="1">
      <c r="A17" s="820"/>
      <c r="B17" s="827"/>
      <c r="C17" s="722" t="s">
        <v>539</v>
      </c>
      <c r="D17" s="237">
        <f>E17+F17+G17</f>
        <v>0</v>
      </c>
      <c r="E17" s="237"/>
      <c r="F17" s="237"/>
      <c r="G17" s="237"/>
      <c r="H17" s="648"/>
      <c r="I17" s="648"/>
      <c r="J17" s="648"/>
      <c r="K17" s="819"/>
    </row>
    <row r="18" spans="1:11" ht="37.5" hidden="1">
      <c r="A18" s="722">
        <v>15</v>
      </c>
      <c r="B18" s="164" t="s">
        <v>244</v>
      </c>
      <c r="C18" s="726" t="s">
        <v>16</v>
      </c>
      <c r="D18" s="237">
        <f>E18+F18+G18</f>
        <v>0</v>
      </c>
      <c r="E18" s="277"/>
      <c r="F18" s="277"/>
      <c r="G18" s="277"/>
      <c r="H18" s="654"/>
      <c r="I18" s="654"/>
      <c r="J18" s="654"/>
      <c r="K18" s="726" t="s">
        <v>245</v>
      </c>
    </row>
    <row r="19" spans="1:11" s="643" customFormat="1" ht="46.5" customHeight="1">
      <c r="A19" s="723">
        <v>1</v>
      </c>
      <c r="B19" s="164" t="s">
        <v>901</v>
      </c>
      <c r="C19" s="726" t="s">
        <v>237</v>
      </c>
      <c r="D19" s="237">
        <f>E19+F19+G19</f>
        <v>900</v>
      </c>
      <c r="E19" s="655">
        <v>250</v>
      </c>
      <c r="F19" s="277">
        <v>300</v>
      </c>
      <c r="G19" s="277">
        <v>350</v>
      </c>
      <c r="H19" s="641"/>
      <c r="I19" s="641"/>
      <c r="J19" s="641"/>
      <c r="K19" s="726" t="s">
        <v>245</v>
      </c>
    </row>
    <row r="20" spans="1:11" s="643" customFormat="1" ht="46.5" customHeight="1">
      <c r="A20" s="723">
        <v>2</v>
      </c>
      <c r="B20" s="164" t="s">
        <v>908</v>
      </c>
      <c r="C20" s="726" t="s">
        <v>237</v>
      </c>
      <c r="D20" s="237">
        <f>E20+F20+G20</f>
        <v>4800</v>
      </c>
      <c r="E20" s="655">
        <v>1500</v>
      </c>
      <c r="F20" s="655">
        <v>1600</v>
      </c>
      <c r="G20" s="655">
        <v>1700</v>
      </c>
      <c r="H20" s="655">
        <v>1500</v>
      </c>
      <c r="I20" s="655">
        <v>1500</v>
      </c>
      <c r="J20" s="655">
        <v>1500</v>
      </c>
      <c r="K20" s="726" t="s">
        <v>245</v>
      </c>
    </row>
    <row r="21" spans="1:11" ht="35.25" customHeight="1">
      <c r="A21" s="561"/>
      <c r="B21" s="714" t="s">
        <v>5</v>
      </c>
      <c r="C21" s="714"/>
      <c r="D21" s="309">
        <f>D19+D20</f>
        <v>5700</v>
      </c>
      <c r="E21" s="309">
        <f>E19+E20</f>
        <v>1750</v>
      </c>
      <c r="F21" s="309">
        <f>F19+F20</f>
        <v>1900</v>
      </c>
      <c r="G21" s="309">
        <f>G19+G20</f>
        <v>2050</v>
      </c>
      <c r="H21" s="309" t="e">
        <f>#REF!+#REF!+#REF!+#REF!+#REF!+#REF!+#REF!+#REF!+#REF!+#REF!+#REF!+#REF!+#REF!+#REF!+#REF!</f>
        <v>#REF!</v>
      </c>
      <c r="I21" s="309" t="e">
        <f>#REF!+#REF!+#REF!+#REF!+#REF!+#REF!+#REF!+#REF!+#REF!+#REF!+#REF!+#REF!+#REF!+#REF!+#REF!</f>
        <v>#REF!</v>
      </c>
      <c r="J21" s="309" t="e">
        <f>#REF!+#REF!+#REF!+#REF!+#REF!+#REF!+#REF!+#REF!+#REF!+#REF!+#REF!+#REF!+#REF!+#REF!+#REF!</f>
        <v>#REF!</v>
      </c>
      <c r="K21" s="310"/>
    </row>
    <row r="22" spans="1:11" ht="15.75" customHeight="1">
      <c r="A22" s="559"/>
      <c r="B22" s="4"/>
      <c r="C22" s="4"/>
      <c r="D22" s="188"/>
      <c r="E22" s="258"/>
      <c r="F22" s="188"/>
      <c r="G22" s="188"/>
      <c r="H22" s="188"/>
      <c r="I22" s="188"/>
      <c r="J22" s="188"/>
      <c r="K22" s="189"/>
    </row>
    <row r="23" spans="1:11" ht="22.5" customHeight="1">
      <c r="A23" s="559"/>
      <c r="B23" s="4"/>
      <c r="C23" s="4"/>
      <c r="D23" s="188"/>
      <c r="E23" s="258"/>
      <c r="F23" s="188"/>
      <c r="G23" s="188"/>
      <c r="H23" s="188"/>
      <c r="I23" s="188"/>
      <c r="J23" s="188"/>
      <c r="K23" s="189"/>
    </row>
    <row r="24" spans="1:11" ht="27.75" customHeight="1">
      <c r="A24" s="559"/>
      <c r="B24" s="4"/>
      <c r="C24" s="4"/>
      <c r="D24" s="188"/>
      <c r="E24" s="258"/>
      <c r="F24" s="188"/>
      <c r="G24" s="188"/>
      <c r="H24" s="188"/>
      <c r="I24" s="188"/>
      <c r="J24" s="188"/>
      <c r="K24" s="189"/>
    </row>
    <row r="25" spans="1:13" ht="33" customHeight="1">
      <c r="A25" s="559"/>
      <c r="B25" s="828" t="s">
        <v>18</v>
      </c>
      <c r="C25" s="828"/>
      <c r="D25" s="604"/>
      <c r="E25" s="605"/>
      <c r="F25" s="606"/>
      <c r="G25" s="606"/>
      <c r="H25" s="606"/>
      <c r="I25" s="606"/>
      <c r="J25" s="606"/>
      <c r="K25" s="607" t="s">
        <v>30</v>
      </c>
      <c r="L25" s="190"/>
      <c r="M25" s="190"/>
    </row>
    <row r="26" spans="1:12" ht="18.75">
      <c r="A26" s="559"/>
      <c r="B26" s="368"/>
      <c r="C26" s="48"/>
      <c r="D26" s="562"/>
      <c r="E26" s="369"/>
      <c r="F26" s="370"/>
      <c r="G26" s="370"/>
      <c r="H26" s="370"/>
      <c r="I26" s="370"/>
      <c r="J26" s="370"/>
      <c r="K26" s="48"/>
      <c r="L26" s="1"/>
    </row>
    <row r="27" spans="1:12" ht="18.75">
      <c r="A27" s="559"/>
      <c r="B27" s="415" t="s">
        <v>559</v>
      </c>
      <c r="C27" s="48"/>
      <c r="D27" s="48"/>
      <c r="E27" s="259"/>
      <c r="F27" s="8"/>
      <c r="G27" s="8"/>
      <c r="H27" s="562"/>
      <c r="I27" s="562"/>
      <c r="J27" s="562"/>
      <c r="K27" s="371"/>
      <c r="L27" s="1"/>
    </row>
    <row r="28" spans="2:11" ht="15.75">
      <c r="B28" s="1"/>
      <c r="C28" s="43"/>
      <c r="D28" s="7"/>
      <c r="E28" s="260"/>
      <c r="F28" s="7"/>
      <c r="G28" s="7"/>
      <c r="H28" s="7"/>
      <c r="I28" s="7"/>
      <c r="J28" s="7"/>
      <c r="K28" s="1"/>
    </row>
    <row r="29" spans="2:11" ht="15.75">
      <c r="B29" s="1"/>
      <c r="C29" s="44"/>
      <c r="D29" s="7"/>
      <c r="E29" s="260"/>
      <c r="F29" s="7"/>
      <c r="G29" s="7"/>
      <c r="H29" s="7"/>
      <c r="I29" s="7"/>
      <c r="J29" s="7"/>
      <c r="K29" s="1"/>
    </row>
    <row r="30" spans="2:11" ht="15.75">
      <c r="B30" s="1"/>
      <c r="C30" s="1"/>
      <c r="D30" s="1"/>
      <c r="E30" s="257"/>
      <c r="F30" s="1"/>
      <c r="G30" s="1"/>
      <c r="H30" s="1"/>
      <c r="I30" s="1"/>
      <c r="J30" s="1"/>
      <c r="K30" s="1"/>
    </row>
    <row r="31" spans="2:11" ht="15.75">
      <c r="B31" s="1"/>
      <c r="C31" s="1"/>
      <c r="D31" s="1"/>
      <c r="E31" s="257"/>
      <c r="F31" s="1"/>
      <c r="G31" s="1"/>
      <c r="H31" s="1"/>
      <c r="I31" s="1"/>
      <c r="J31" s="1"/>
      <c r="K31" s="1"/>
    </row>
    <row r="32" spans="2:11" ht="15.75">
      <c r="B32" s="1"/>
      <c r="C32" s="1"/>
      <c r="D32" s="1"/>
      <c r="E32" s="257"/>
      <c r="F32" s="1"/>
      <c r="G32" s="1"/>
      <c r="H32" s="1"/>
      <c r="I32" s="1"/>
      <c r="J32" s="1"/>
      <c r="K32" s="1"/>
    </row>
    <row r="33" spans="2:11" ht="15.75">
      <c r="B33" s="1"/>
      <c r="C33" s="1"/>
      <c r="D33" s="1"/>
      <c r="E33" s="257"/>
      <c r="F33" s="1"/>
      <c r="G33" s="1"/>
      <c r="H33" s="1"/>
      <c r="I33" s="1"/>
      <c r="J33" s="1"/>
      <c r="K33" s="1"/>
    </row>
    <row r="34" spans="2:11" ht="15.75">
      <c r="B34" s="1"/>
      <c r="C34" s="1"/>
      <c r="D34" s="1"/>
      <c r="E34" s="257"/>
      <c r="F34" s="1"/>
      <c r="G34" s="1"/>
      <c r="H34" s="1"/>
      <c r="I34" s="1"/>
      <c r="J34" s="1"/>
      <c r="K34" s="1"/>
    </row>
    <row r="35" spans="2:11" ht="15.75">
      <c r="B35" s="1"/>
      <c r="C35" s="1"/>
      <c r="D35" s="1"/>
      <c r="E35" s="257"/>
      <c r="F35" s="1"/>
      <c r="G35" s="1"/>
      <c r="H35" s="1"/>
      <c r="I35" s="1"/>
      <c r="J35" s="1"/>
      <c r="K35" s="1"/>
    </row>
    <row r="36" spans="2:11" ht="15.75">
      <c r="B36" s="1"/>
      <c r="C36" s="1"/>
      <c r="D36" s="1"/>
      <c r="E36" s="257"/>
      <c r="F36" s="1"/>
      <c r="G36" s="1"/>
      <c r="H36" s="1"/>
      <c r="I36" s="1"/>
      <c r="J36" s="1"/>
      <c r="K36" s="1"/>
    </row>
    <row r="37" spans="2:11" ht="15.75">
      <c r="B37" s="1"/>
      <c r="C37" s="1"/>
      <c r="D37" s="1"/>
      <c r="E37" s="257"/>
      <c r="F37" s="1"/>
      <c r="G37" s="1"/>
      <c r="H37" s="1"/>
      <c r="I37" s="1"/>
      <c r="J37" s="1"/>
      <c r="K37" s="1"/>
    </row>
    <row r="38" spans="2:11" ht="15.75">
      <c r="B38" s="1"/>
      <c r="C38" s="1"/>
      <c r="D38" s="1"/>
      <c r="E38" s="257"/>
      <c r="F38" s="1"/>
      <c r="G38" s="1"/>
      <c r="H38" s="1"/>
      <c r="I38" s="1"/>
      <c r="J38" s="1"/>
      <c r="K38" s="1"/>
    </row>
    <row r="39" spans="2:11" ht="15.75">
      <c r="B39" s="1"/>
      <c r="C39" s="1"/>
      <c r="D39" s="1"/>
      <c r="E39" s="257"/>
      <c r="F39" s="1"/>
      <c r="G39" s="1"/>
      <c r="H39" s="1"/>
      <c r="I39" s="1"/>
      <c r="J39" s="1"/>
      <c r="K39" s="1"/>
    </row>
    <row r="40" spans="2:11" ht="15.75">
      <c r="B40" s="1"/>
      <c r="C40" s="1"/>
      <c r="D40" s="1"/>
      <c r="E40" s="257"/>
      <c r="F40" s="1"/>
      <c r="G40" s="1"/>
      <c r="H40" s="1"/>
      <c r="I40" s="1"/>
      <c r="J40" s="1"/>
      <c r="K40" s="1"/>
    </row>
    <row r="41" spans="2:11" ht="15.75">
      <c r="B41" s="1"/>
      <c r="C41" s="1"/>
      <c r="D41" s="1"/>
      <c r="E41" s="257"/>
      <c r="F41" s="1"/>
      <c r="G41" s="1"/>
      <c r="H41" s="1"/>
      <c r="I41" s="1"/>
      <c r="J41" s="1"/>
      <c r="K41" s="1"/>
    </row>
    <row r="42" spans="2:11" ht="15.75">
      <c r="B42" s="1"/>
      <c r="C42" s="1"/>
      <c r="D42" s="1"/>
      <c r="E42" s="257"/>
      <c r="F42" s="1"/>
      <c r="G42" s="1"/>
      <c r="H42" s="1"/>
      <c r="I42" s="1"/>
      <c r="J42" s="1"/>
      <c r="K42" s="1"/>
    </row>
    <row r="43" spans="2:11" ht="15.75">
      <c r="B43" s="1"/>
      <c r="C43" s="1"/>
      <c r="D43" s="1"/>
      <c r="E43" s="257"/>
      <c r="F43" s="1"/>
      <c r="G43" s="1"/>
      <c r="H43" s="1"/>
      <c r="I43" s="1"/>
      <c r="J43" s="1"/>
      <c r="K43" s="1"/>
    </row>
    <row r="44" spans="2:11" ht="15.75">
      <c r="B44" s="1"/>
      <c r="C44" s="1"/>
      <c r="D44" s="1"/>
      <c r="E44" s="257"/>
      <c r="F44" s="1"/>
      <c r="G44" s="1"/>
      <c r="H44" s="1"/>
      <c r="I44" s="1"/>
      <c r="J44" s="1"/>
      <c r="K44" s="1"/>
    </row>
    <row r="45" spans="2:11" ht="15.75">
      <c r="B45" s="1"/>
      <c r="C45" s="1"/>
      <c r="D45" s="1"/>
      <c r="E45" s="257"/>
      <c r="F45" s="1"/>
      <c r="G45" s="1"/>
      <c r="H45" s="1"/>
      <c r="I45" s="1"/>
      <c r="J45" s="1"/>
      <c r="K45" s="1"/>
    </row>
    <row r="46" spans="2:11" ht="15.75">
      <c r="B46" s="1"/>
      <c r="C46" s="1"/>
      <c r="D46" s="1"/>
      <c r="E46" s="257"/>
      <c r="F46" s="1"/>
      <c r="G46" s="1"/>
      <c r="H46" s="1"/>
      <c r="I46" s="1"/>
      <c r="J46" s="1"/>
      <c r="K46" s="1"/>
    </row>
    <row r="47" spans="2:11" ht="15.75">
      <c r="B47" s="1"/>
      <c r="C47" s="1"/>
      <c r="D47" s="1"/>
      <c r="E47" s="257"/>
      <c r="F47" s="1"/>
      <c r="G47" s="1"/>
      <c r="H47" s="1"/>
      <c r="I47" s="1"/>
      <c r="J47" s="1"/>
      <c r="K47" s="1"/>
    </row>
    <row r="48" spans="2:11" ht="15.75">
      <c r="B48" s="1"/>
      <c r="C48" s="1"/>
      <c r="D48" s="1"/>
      <c r="E48" s="257"/>
      <c r="F48" s="1"/>
      <c r="G48" s="1"/>
      <c r="H48" s="1"/>
      <c r="I48" s="1"/>
      <c r="J48" s="1"/>
      <c r="K48" s="1"/>
    </row>
    <row r="49" spans="2:11" ht="15.75">
      <c r="B49" s="1"/>
      <c r="C49" s="1"/>
      <c r="D49" s="1"/>
      <c r="E49" s="257"/>
      <c r="F49" s="1"/>
      <c r="G49" s="1"/>
      <c r="H49" s="1"/>
      <c r="I49" s="1"/>
      <c r="J49" s="1"/>
      <c r="K49" s="1"/>
    </row>
    <row r="50" spans="2:11" ht="15.75">
      <c r="B50" s="1"/>
      <c r="C50" s="1"/>
      <c r="D50" s="1"/>
      <c r="E50" s="257"/>
      <c r="F50" s="1"/>
      <c r="G50" s="1"/>
      <c r="H50" s="1"/>
      <c r="I50" s="1"/>
      <c r="J50" s="1"/>
      <c r="K50" s="1"/>
    </row>
    <row r="51" spans="2:11" ht="15.75">
      <c r="B51" s="1"/>
      <c r="C51" s="1"/>
      <c r="D51" s="1"/>
      <c r="E51" s="257"/>
      <c r="F51" s="1"/>
      <c r="G51" s="1"/>
      <c r="H51" s="1"/>
      <c r="I51" s="1"/>
      <c r="J51" s="1"/>
      <c r="K51" s="1"/>
    </row>
    <row r="52" spans="2:11" ht="15.75">
      <c r="B52" s="1"/>
      <c r="C52" s="1"/>
      <c r="D52" s="1"/>
      <c r="E52" s="257"/>
      <c r="F52" s="1"/>
      <c r="G52" s="1"/>
      <c r="H52" s="1"/>
      <c r="I52" s="1"/>
      <c r="J52" s="1"/>
      <c r="K52" s="1"/>
    </row>
    <row r="53" spans="2:11" ht="15.75">
      <c r="B53" s="1"/>
      <c r="C53" s="1"/>
      <c r="D53" s="1"/>
      <c r="E53" s="257"/>
      <c r="F53" s="1"/>
      <c r="G53" s="1"/>
      <c r="H53" s="1"/>
      <c r="I53" s="1"/>
      <c r="J53" s="1"/>
      <c r="K53" s="1"/>
    </row>
    <row r="54" spans="2:11" ht="15.75">
      <c r="B54" s="1"/>
      <c r="C54" s="1"/>
      <c r="D54" s="1"/>
      <c r="E54" s="257"/>
      <c r="F54" s="1"/>
      <c r="G54" s="1"/>
      <c r="H54" s="1"/>
      <c r="I54" s="1"/>
      <c r="J54" s="1"/>
      <c r="K54" s="1"/>
    </row>
    <row r="55" spans="2:11" ht="15.75">
      <c r="B55" s="1"/>
      <c r="C55" s="1"/>
      <c r="D55" s="1"/>
      <c r="E55" s="257"/>
      <c r="F55" s="1"/>
      <c r="G55" s="1"/>
      <c r="H55" s="1"/>
      <c r="I55" s="1"/>
      <c r="J55" s="1"/>
      <c r="K55" s="1"/>
    </row>
    <row r="56" spans="2:11" ht="15.75">
      <c r="B56" s="1"/>
      <c r="C56" s="1"/>
      <c r="D56" s="1"/>
      <c r="E56" s="257"/>
      <c r="F56" s="1"/>
      <c r="G56" s="1"/>
      <c r="H56" s="1"/>
      <c r="I56" s="1"/>
      <c r="J56" s="1"/>
      <c r="K56" s="1"/>
    </row>
    <row r="57" spans="2:11" ht="15.75">
      <c r="B57" s="1"/>
      <c r="C57" s="1"/>
      <c r="D57" s="1"/>
      <c r="E57" s="257"/>
      <c r="F57" s="1"/>
      <c r="G57" s="1"/>
      <c r="H57" s="1"/>
      <c r="I57" s="1"/>
      <c r="J57" s="1"/>
      <c r="K57" s="1"/>
    </row>
    <row r="58" spans="2:11" ht="15.75">
      <c r="B58" s="1"/>
      <c r="C58" s="1"/>
      <c r="D58" s="1"/>
      <c r="E58" s="257"/>
      <c r="F58" s="1"/>
      <c r="G58" s="1"/>
      <c r="H58" s="1"/>
      <c r="I58" s="1"/>
      <c r="J58" s="1"/>
      <c r="K58" s="1"/>
    </row>
    <row r="59" spans="2:11" ht="15.75">
      <c r="B59" s="1"/>
      <c r="C59" s="1"/>
      <c r="D59" s="1"/>
      <c r="E59" s="257"/>
      <c r="F59" s="1"/>
      <c r="G59" s="1"/>
      <c r="H59" s="1"/>
      <c r="I59" s="1"/>
      <c r="J59" s="1"/>
      <c r="K59" s="1"/>
    </row>
    <row r="60" spans="2:11" ht="15.75">
      <c r="B60" s="1"/>
      <c r="C60" s="1"/>
      <c r="D60" s="1"/>
      <c r="E60" s="257"/>
      <c r="F60" s="1"/>
      <c r="G60" s="1"/>
      <c r="H60" s="1"/>
      <c r="I60" s="1"/>
      <c r="J60" s="1"/>
      <c r="K60" s="1"/>
    </row>
    <row r="61" spans="2:11" ht="15.75">
      <c r="B61" s="1"/>
      <c r="C61" s="1"/>
      <c r="D61" s="1"/>
      <c r="E61" s="257"/>
      <c r="F61" s="1"/>
      <c r="G61" s="1"/>
      <c r="H61" s="1"/>
      <c r="I61" s="1"/>
      <c r="J61" s="1"/>
      <c r="K61" s="1"/>
    </row>
    <row r="62" spans="2:11" ht="15.75">
      <c r="B62" s="1"/>
      <c r="C62" s="1"/>
      <c r="D62" s="1"/>
      <c r="E62" s="257"/>
      <c r="F62" s="1"/>
      <c r="G62" s="1"/>
      <c r="H62" s="1"/>
      <c r="I62" s="1"/>
      <c r="J62" s="1"/>
      <c r="K62" s="1"/>
    </row>
    <row r="63" spans="2:11" ht="15.75">
      <c r="B63" s="1"/>
      <c r="C63" s="1"/>
      <c r="D63" s="1"/>
      <c r="E63" s="257"/>
      <c r="F63" s="1"/>
      <c r="G63" s="1"/>
      <c r="H63" s="1"/>
      <c r="I63" s="1"/>
      <c r="J63" s="1"/>
      <c r="K63" s="1"/>
    </row>
    <row r="64" spans="2:11" ht="15.75">
      <c r="B64" s="1"/>
      <c r="C64" s="1"/>
      <c r="D64" s="1"/>
      <c r="E64" s="257"/>
      <c r="F64" s="1"/>
      <c r="G64" s="1"/>
      <c r="H64" s="1"/>
      <c r="I64" s="1"/>
      <c r="J64" s="1"/>
      <c r="K64" s="1"/>
    </row>
    <row r="65" spans="2:11" ht="15.75">
      <c r="B65" s="1"/>
      <c r="C65" s="1"/>
      <c r="D65" s="1"/>
      <c r="E65" s="257"/>
      <c r="F65" s="1"/>
      <c r="G65" s="1"/>
      <c r="H65" s="1"/>
      <c r="I65" s="1"/>
      <c r="J65" s="1"/>
      <c r="K65" s="1"/>
    </row>
    <row r="66" spans="2:11" ht="15.75">
      <c r="B66" s="1"/>
      <c r="C66" s="1"/>
      <c r="D66" s="1"/>
      <c r="E66" s="257"/>
      <c r="F66" s="1"/>
      <c r="G66" s="1"/>
      <c r="H66" s="1"/>
      <c r="I66" s="1"/>
      <c r="J66" s="1"/>
      <c r="K66" s="1"/>
    </row>
    <row r="67" spans="2:11" ht="15.75">
      <c r="B67" s="1"/>
      <c r="C67" s="1"/>
      <c r="D67" s="1"/>
      <c r="E67" s="257"/>
      <c r="F67" s="1"/>
      <c r="G67" s="1"/>
      <c r="H67" s="1"/>
      <c r="I67" s="1"/>
      <c r="J67" s="1"/>
      <c r="K67" s="1"/>
    </row>
    <row r="68" spans="2:11" ht="15.75">
      <c r="B68" s="1"/>
      <c r="C68" s="1"/>
      <c r="D68" s="1"/>
      <c r="E68" s="257"/>
      <c r="F68" s="1"/>
      <c r="G68" s="1"/>
      <c r="H68" s="1"/>
      <c r="I68" s="1"/>
      <c r="J68" s="1"/>
      <c r="K68" s="1"/>
    </row>
    <row r="69" spans="2:11" ht="15.75">
      <c r="B69" s="1"/>
      <c r="C69" s="1"/>
      <c r="D69" s="1"/>
      <c r="E69" s="257"/>
      <c r="F69" s="1"/>
      <c r="G69" s="1"/>
      <c r="H69" s="1"/>
      <c r="I69" s="1"/>
      <c r="J69" s="1"/>
      <c r="K69" s="1"/>
    </row>
    <row r="70" spans="2:11" ht="15.75">
      <c r="B70" s="1"/>
      <c r="C70" s="1"/>
      <c r="D70" s="1"/>
      <c r="E70" s="257"/>
      <c r="F70" s="1"/>
      <c r="G70" s="1"/>
      <c r="H70" s="1"/>
      <c r="I70" s="1"/>
      <c r="J70" s="1"/>
      <c r="K70" s="1"/>
    </row>
    <row r="71" spans="2:11" ht="15.75">
      <c r="B71" s="1"/>
      <c r="C71" s="1"/>
      <c r="D71" s="1"/>
      <c r="E71" s="257"/>
      <c r="F71" s="1"/>
      <c r="G71" s="1"/>
      <c r="H71" s="1"/>
      <c r="I71" s="1"/>
      <c r="J71" s="1"/>
      <c r="K71" s="1"/>
    </row>
    <row r="72" spans="2:11" ht="15.75">
      <c r="B72" s="1"/>
      <c r="C72" s="1"/>
      <c r="D72" s="1"/>
      <c r="E72" s="257"/>
      <c r="F72" s="1"/>
      <c r="G72" s="1"/>
      <c r="H72" s="1"/>
      <c r="I72" s="1"/>
      <c r="J72" s="1"/>
      <c r="K72" s="1"/>
    </row>
    <row r="73" spans="2:11" ht="15.75">
      <c r="B73" s="1"/>
      <c r="C73" s="1"/>
      <c r="D73" s="1"/>
      <c r="E73" s="257"/>
      <c r="F73" s="1"/>
      <c r="G73" s="1"/>
      <c r="H73" s="1"/>
      <c r="I73" s="1"/>
      <c r="J73" s="1"/>
      <c r="K73" s="1"/>
    </row>
    <row r="74" spans="2:11" ht="15.75">
      <c r="B74" s="1"/>
      <c r="C74" s="1"/>
      <c r="D74" s="1"/>
      <c r="E74" s="257"/>
      <c r="F74" s="1"/>
      <c r="G74" s="1"/>
      <c r="H74" s="1"/>
      <c r="I74" s="1"/>
      <c r="J74" s="1"/>
      <c r="K74" s="1"/>
    </row>
    <row r="75" spans="2:11" ht="15.75">
      <c r="B75" s="1"/>
      <c r="C75" s="1"/>
      <c r="D75" s="1"/>
      <c r="E75" s="257"/>
      <c r="F75" s="1"/>
      <c r="G75" s="1"/>
      <c r="H75" s="1"/>
      <c r="I75" s="1"/>
      <c r="J75" s="1"/>
      <c r="K75" s="1"/>
    </row>
    <row r="76" spans="2:11" ht="15.75">
      <c r="B76" s="1"/>
      <c r="C76" s="1"/>
      <c r="D76" s="1"/>
      <c r="E76" s="257"/>
      <c r="F76" s="1"/>
      <c r="G76" s="1"/>
      <c r="H76" s="1"/>
      <c r="I76" s="1"/>
      <c r="J76" s="1"/>
      <c r="K76" s="1"/>
    </row>
    <row r="77" spans="2:11" ht="15.75">
      <c r="B77" s="1"/>
      <c r="C77" s="1"/>
      <c r="D77" s="1"/>
      <c r="E77" s="257"/>
      <c r="F77" s="1"/>
      <c r="G77" s="1"/>
      <c r="H77" s="1"/>
      <c r="I77" s="1"/>
      <c r="J77" s="1"/>
      <c r="K77" s="1"/>
    </row>
    <row r="78" spans="2:11" ht="15.75">
      <c r="B78" s="1"/>
      <c r="C78" s="1"/>
      <c r="D78" s="1"/>
      <c r="E78" s="257"/>
      <c r="F78" s="1"/>
      <c r="G78" s="1"/>
      <c r="H78" s="1"/>
      <c r="I78" s="1"/>
      <c r="J78" s="1"/>
      <c r="K78" s="1"/>
    </row>
    <row r="79" spans="2:11" ht="15.75">
      <c r="B79" s="1"/>
      <c r="C79" s="1"/>
      <c r="D79" s="1"/>
      <c r="E79" s="257"/>
      <c r="F79" s="1"/>
      <c r="G79" s="1"/>
      <c r="H79" s="1"/>
      <c r="I79" s="1"/>
      <c r="J79" s="1"/>
      <c r="K79" s="1"/>
    </row>
    <row r="80" spans="2:11" ht="15.75">
      <c r="B80" s="1"/>
      <c r="C80" s="1"/>
      <c r="D80" s="1"/>
      <c r="E80" s="257"/>
      <c r="F80" s="1"/>
      <c r="G80" s="1"/>
      <c r="H80" s="1"/>
      <c r="I80" s="1"/>
      <c r="J80" s="1"/>
      <c r="K80" s="1"/>
    </row>
    <row r="81" spans="2:11" ht="15.75">
      <c r="B81" s="1"/>
      <c r="C81" s="1"/>
      <c r="D81" s="1"/>
      <c r="E81" s="257"/>
      <c r="F81" s="1"/>
      <c r="G81" s="1"/>
      <c r="H81" s="1"/>
      <c r="I81" s="1"/>
      <c r="J81" s="1"/>
      <c r="K81" s="1"/>
    </row>
    <row r="82" spans="2:11" ht="15.75">
      <c r="B82" s="1"/>
      <c r="C82" s="1"/>
      <c r="D82" s="1"/>
      <c r="E82" s="257"/>
      <c r="F82" s="1"/>
      <c r="G82" s="1"/>
      <c r="H82" s="1"/>
      <c r="I82" s="1"/>
      <c r="J82" s="1"/>
      <c r="K82" s="1"/>
    </row>
    <row r="83" spans="2:11" ht="15.75">
      <c r="B83" s="1"/>
      <c r="C83" s="1"/>
      <c r="D83" s="1"/>
      <c r="E83" s="257"/>
      <c r="F83" s="1"/>
      <c r="G83" s="1"/>
      <c r="H83" s="1"/>
      <c r="I83" s="1"/>
      <c r="J83" s="1"/>
      <c r="K83" s="1"/>
    </row>
  </sheetData>
  <sheetProtection/>
  <mergeCells count="13">
    <mergeCell ref="B25:C25"/>
    <mergeCell ref="K9:L9"/>
    <mergeCell ref="K8:P8"/>
    <mergeCell ref="B12:K12"/>
    <mergeCell ref="A14:A15"/>
    <mergeCell ref="B14:B15"/>
    <mergeCell ref="C14:C15"/>
    <mergeCell ref="D14:D15"/>
    <mergeCell ref="E14:J14"/>
    <mergeCell ref="K14:K15"/>
    <mergeCell ref="A16:A17"/>
    <mergeCell ref="B16:B17"/>
    <mergeCell ref="K16:K17"/>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28.xml><?xml version="1.0" encoding="utf-8"?>
<worksheet xmlns="http://schemas.openxmlformats.org/spreadsheetml/2006/main" xmlns:r="http://schemas.openxmlformats.org/officeDocument/2006/relationships">
  <sheetPr>
    <tabColor theme="2" tint="-0.24997000396251678"/>
    <pageSetUpPr fitToPage="1"/>
  </sheetPr>
  <dimension ref="A1:O33"/>
  <sheetViews>
    <sheetView view="pageBreakPreview" zoomScaleSheetLayoutView="100" zoomScalePageLayoutView="0" workbookViewId="0" topLeftCell="A5">
      <selection activeCell="A1" sqref="A1:O27"/>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19</v>
      </c>
      <c r="J1" s="1" t="s">
        <v>454</v>
      </c>
      <c r="K1"/>
      <c r="L1" s="13" t="s">
        <v>19</v>
      </c>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566</v>
      </c>
      <c r="K3" s="12"/>
      <c r="L3" s="15"/>
      <c r="M3" s="12"/>
      <c r="N3" s="12"/>
      <c r="O3" s="12"/>
    </row>
    <row r="4" spans="2:15" ht="15.75">
      <c r="B4" s="15"/>
      <c r="C4" s="15"/>
      <c r="D4" s="15"/>
      <c r="E4" s="15"/>
      <c r="F4" s="15"/>
      <c r="G4" s="15"/>
      <c r="H4" s="15"/>
      <c r="I4" s="12" t="s">
        <v>21</v>
      </c>
      <c r="J4" s="17" t="s">
        <v>567</v>
      </c>
      <c r="K4" s="17"/>
      <c r="L4" s="15"/>
      <c r="M4" s="12"/>
      <c r="N4" s="12"/>
      <c r="O4" s="12"/>
    </row>
    <row r="5" spans="2:15" ht="15.75">
      <c r="B5" s="15"/>
      <c r="C5" s="15"/>
      <c r="D5" s="15"/>
      <c r="E5" s="15"/>
      <c r="F5" s="15"/>
      <c r="G5" s="15"/>
      <c r="H5" s="15"/>
      <c r="I5" s="12" t="s">
        <v>23</v>
      </c>
      <c r="J5" s="17" t="s">
        <v>907</v>
      </c>
      <c r="K5" s="17"/>
      <c r="L5" s="15"/>
      <c r="M5" s="12"/>
      <c r="N5" s="12"/>
      <c r="O5" s="12"/>
    </row>
    <row r="6" spans="2:15" ht="15.75">
      <c r="B6" s="15"/>
      <c r="C6" s="15"/>
      <c r="D6" s="15"/>
      <c r="E6" s="15"/>
      <c r="F6" s="15"/>
      <c r="G6" s="15"/>
      <c r="H6" s="15"/>
      <c r="I6" s="12"/>
      <c r="J6" s="17" t="s">
        <v>927</v>
      </c>
      <c r="K6" s="17"/>
      <c r="L6" s="327"/>
      <c r="M6" s="12"/>
      <c r="N6" s="12"/>
      <c r="O6" s="12"/>
    </row>
    <row r="7" spans="2:15" ht="15.75">
      <c r="B7" s="15"/>
      <c r="C7" s="15"/>
      <c r="D7" s="15"/>
      <c r="E7" s="15"/>
      <c r="F7" s="15"/>
      <c r="G7" s="15"/>
      <c r="H7" s="15"/>
      <c r="I7" s="12"/>
      <c r="J7" s="17" t="s">
        <v>928</v>
      </c>
      <c r="K7" s="17"/>
      <c r="L7" s="327"/>
      <c r="M7" s="12"/>
      <c r="N7" s="12"/>
      <c r="O7" s="12"/>
    </row>
    <row r="8" spans="2:15" ht="15.75" customHeight="1">
      <c r="B8" s="15"/>
      <c r="C8" s="15"/>
      <c r="D8" s="15"/>
      <c r="E8" s="15"/>
      <c r="F8" s="15"/>
      <c r="G8" s="15"/>
      <c r="H8" s="15"/>
      <c r="I8" s="12"/>
      <c r="J8" s="768" t="s">
        <v>920</v>
      </c>
      <c r="K8" s="768"/>
      <c r="L8" s="768"/>
      <c r="M8" s="768"/>
      <c r="N8" s="768"/>
      <c r="O8" s="768"/>
    </row>
    <row r="9" spans="2:15" ht="15.75">
      <c r="B9" s="15"/>
      <c r="C9" s="15"/>
      <c r="D9" s="15"/>
      <c r="E9" s="15"/>
      <c r="F9" s="15"/>
      <c r="G9" s="15"/>
      <c r="H9" s="16"/>
      <c r="I9" s="12" t="s">
        <v>24</v>
      </c>
      <c r="J9" s="768" t="s">
        <v>941</v>
      </c>
      <c r="K9" s="768"/>
      <c r="L9" s="730"/>
      <c r="M9" s="730"/>
      <c r="N9" s="730"/>
      <c r="O9" s="730"/>
    </row>
    <row r="10" spans="2:12" ht="15.75">
      <c r="B10" s="15"/>
      <c r="C10" s="15"/>
      <c r="D10" s="15"/>
      <c r="E10" s="15"/>
      <c r="F10" s="15"/>
      <c r="G10" s="15"/>
      <c r="H10" s="15"/>
      <c r="I10" s="15"/>
      <c r="J10" s="15"/>
      <c r="K10" s="15"/>
      <c r="L10" s="15"/>
    </row>
    <row r="11" spans="2:12" ht="21.75" customHeight="1">
      <c r="B11" s="769" t="s">
        <v>712</v>
      </c>
      <c r="C11" s="769"/>
      <c r="D11" s="769"/>
      <c r="E11" s="769"/>
      <c r="F11" s="769"/>
      <c r="G11" s="769"/>
      <c r="H11" s="769"/>
      <c r="I11" s="769"/>
      <c r="J11" s="769"/>
      <c r="K11" s="769"/>
      <c r="L11" s="15"/>
    </row>
    <row r="12" spans="2:12" ht="15.75">
      <c r="B12" s="15"/>
      <c r="C12" s="15"/>
      <c r="D12" s="785"/>
      <c r="E12" s="785"/>
      <c r="F12" s="785"/>
      <c r="G12" s="785"/>
      <c r="H12" s="785"/>
      <c r="I12" s="15"/>
      <c r="J12" s="15"/>
      <c r="K12" s="34" t="s">
        <v>426</v>
      </c>
      <c r="L12" s="15"/>
    </row>
    <row r="13" spans="1:12" ht="21" customHeight="1">
      <c r="A13" s="770" t="s">
        <v>32</v>
      </c>
      <c r="B13" s="770" t="s">
        <v>12</v>
      </c>
      <c r="C13" s="770" t="s">
        <v>13</v>
      </c>
      <c r="D13" s="770" t="s">
        <v>406</v>
      </c>
      <c r="E13" s="786" t="s">
        <v>9</v>
      </c>
      <c r="F13" s="786"/>
      <c r="G13" s="786"/>
      <c r="H13" s="786"/>
      <c r="I13" s="786"/>
      <c r="J13" s="849"/>
      <c r="K13" s="776" t="s">
        <v>15</v>
      </c>
      <c r="L13" s="15"/>
    </row>
    <row r="14" spans="1:12" ht="15.75">
      <c r="A14" s="771"/>
      <c r="B14" s="771"/>
      <c r="C14" s="771"/>
      <c r="D14" s="771"/>
      <c r="E14" s="770">
        <v>2021</v>
      </c>
      <c r="F14" s="903">
        <v>2022</v>
      </c>
      <c r="G14" s="786"/>
      <c r="H14" s="849"/>
      <c r="I14" s="770" t="s">
        <v>700</v>
      </c>
      <c r="J14" s="776">
        <v>2023</v>
      </c>
      <c r="K14" s="776"/>
      <c r="L14" s="15"/>
    </row>
    <row r="15" spans="1:12" ht="15.75">
      <c r="A15" s="772"/>
      <c r="B15" s="772"/>
      <c r="C15" s="772"/>
      <c r="D15" s="772"/>
      <c r="E15" s="772"/>
      <c r="F15" s="904"/>
      <c r="G15" s="905"/>
      <c r="H15" s="906"/>
      <c r="I15" s="772"/>
      <c r="J15" s="776"/>
      <c r="K15" s="776"/>
      <c r="L15" s="15"/>
    </row>
    <row r="16" spans="1:12" ht="26.25" customHeight="1">
      <c r="A16" s="792">
        <v>1</v>
      </c>
      <c r="B16" s="895" t="s">
        <v>844</v>
      </c>
      <c r="C16" s="773" t="s">
        <v>657</v>
      </c>
      <c r="D16" s="897">
        <f>E16+F16+J16</f>
        <v>4797</v>
      </c>
      <c r="E16" s="899">
        <v>1500</v>
      </c>
      <c r="F16" s="901">
        <v>1600.5</v>
      </c>
      <c r="G16" s="62"/>
      <c r="H16" s="62"/>
      <c r="I16" s="62"/>
      <c r="J16" s="901">
        <v>1696.5</v>
      </c>
      <c r="K16" s="773" t="s">
        <v>783</v>
      </c>
      <c r="L16" s="15"/>
    </row>
    <row r="17" spans="1:14" ht="55.5" customHeight="1">
      <c r="A17" s="792"/>
      <c r="B17" s="896"/>
      <c r="C17" s="775"/>
      <c r="D17" s="898"/>
      <c r="E17" s="900"/>
      <c r="F17" s="902"/>
      <c r="G17" s="62"/>
      <c r="H17" s="62"/>
      <c r="I17" s="62"/>
      <c r="J17" s="902"/>
      <c r="K17" s="774"/>
      <c r="L17" s="15"/>
      <c r="N17" s="54">
        <v>441</v>
      </c>
    </row>
    <row r="18" spans="1:14" ht="56.25" customHeight="1">
      <c r="A18" s="773">
        <v>2</v>
      </c>
      <c r="B18" s="895" t="s">
        <v>845</v>
      </c>
      <c r="C18" s="773" t="s">
        <v>657</v>
      </c>
      <c r="D18" s="897">
        <f>E18+F18+J18</f>
        <v>7195.6</v>
      </c>
      <c r="E18" s="881">
        <v>2250</v>
      </c>
      <c r="F18" s="881">
        <v>2400.8</v>
      </c>
      <c r="G18" s="621"/>
      <c r="H18" s="621"/>
      <c r="I18" s="621"/>
      <c r="J18" s="881">
        <v>2544.8</v>
      </c>
      <c r="K18" s="774"/>
      <c r="L18" s="15"/>
      <c r="N18" s="54"/>
    </row>
    <row r="19" spans="1:14" ht="52.5" customHeight="1">
      <c r="A19" s="775"/>
      <c r="B19" s="896"/>
      <c r="C19" s="775"/>
      <c r="D19" s="898"/>
      <c r="E19" s="882"/>
      <c r="F19" s="882"/>
      <c r="G19" s="621"/>
      <c r="H19" s="621"/>
      <c r="I19" s="621"/>
      <c r="J19" s="882"/>
      <c r="K19" s="775"/>
      <c r="L19" s="15"/>
      <c r="N19" s="54"/>
    </row>
    <row r="20" spans="1:12" ht="32.25" customHeight="1">
      <c r="A20" s="69"/>
      <c r="B20" s="59" t="s">
        <v>5</v>
      </c>
      <c r="C20" s="70"/>
      <c r="D20" s="61">
        <f aca="true" t="shared" si="0" ref="D20:J20">D16+D18</f>
        <v>11992.6</v>
      </c>
      <c r="E20" s="61">
        <f>E16+E18</f>
        <v>3750</v>
      </c>
      <c r="F20" s="61">
        <f t="shared" si="0"/>
        <v>4001.3</v>
      </c>
      <c r="G20" s="61">
        <f t="shared" si="0"/>
        <v>0</v>
      </c>
      <c r="H20" s="61">
        <f t="shared" si="0"/>
        <v>0</v>
      </c>
      <c r="I20" s="61">
        <f t="shared" si="0"/>
        <v>0</v>
      </c>
      <c r="J20" s="61">
        <f t="shared" si="0"/>
        <v>4241.3</v>
      </c>
      <c r="K20" s="71"/>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51"/>
      <c r="C24" s="52"/>
      <c r="E24" s="19"/>
      <c r="F24" s="19"/>
      <c r="G24" s="19"/>
      <c r="H24" s="19"/>
      <c r="I24" s="19"/>
      <c r="J24" s="19"/>
      <c r="K24" s="52"/>
      <c r="L24" s="15"/>
    </row>
    <row r="25" spans="2:12" ht="18.75" customHeight="1">
      <c r="B25" s="809" t="s">
        <v>18</v>
      </c>
      <c r="C25" s="809"/>
      <c r="D25" s="352"/>
      <c r="E25" s="22"/>
      <c r="F25" s="22"/>
      <c r="G25" s="16"/>
      <c r="H25" s="16"/>
      <c r="I25" s="16"/>
      <c r="J25" s="23"/>
      <c r="K25" s="23" t="s">
        <v>30</v>
      </c>
      <c r="L25" s="23"/>
    </row>
    <row r="26" spans="2:12" ht="14.25" customHeight="1">
      <c r="B26" s="352"/>
      <c r="C26" s="352"/>
      <c r="D26" s="352"/>
      <c r="E26" s="22"/>
      <c r="F26" s="22"/>
      <c r="G26" s="16"/>
      <c r="H26" s="16"/>
      <c r="I26" s="16"/>
      <c r="J26" s="23"/>
      <c r="K26" s="23"/>
      <c r="L26" s="23"/>
    </row>
    <row r="27" spans="2:11" ht="18.75">
      <c r="B27" s="777" t="s">
        <v>558</v>
      </c>
      <c r="C27" s="777"/>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1">
    <mergeCell ref="E14:E15"/>
    <mergeCell ref="F18:F19"/>
    <mergeCell ref="J18:J19"/>
    <mergeCell ref="J14:J15"/>
    <mergeCell ref="K13:K15"/>
    <mergeCell ref="J16:J17"/>
    <mergeCell ref="B25:C25"/>
    <mergeCell ref="F14:H15"/>
    <mergeCell ref="A13:A15"/>
    <mergeCell ref="B13:B15"/>
    <mergeCell ref="C13:C15"/>
    <mergeCell ref="D13:D15"/>
    <mergeCell ref="E13:J13"/>
    <mergeCell ref="B27:C27"/>
    <mergeCell ref="C16:C17"/>
    <mergeCell ref="D16:D17"/>
    <mergeCell ref="E16:E17"/>
    <mergeCell ref="F16:F17"/>
    <mergeCell ref="C18:C19"/>
    <mergeCell ref="E18:E19"/>
    <mergeCell ref="D18:D19"/>
    <mergeCell ref="J9:K9"/>
    <mergeCell ref="J8:O8"/>
    <mergeCell ref="A16:A17"/>
    <mergeCell ref="A18:A19"/>
    <mergeCell ref="B16:B17"/>
    <mergeCell ref="K16:K19"/>
    <mergeCell ref="B18:B19"/>
    <mergeCell ref="I14:I15"/>
    <mergeCell ref="B11:K11"/>
    <mergeCell ref="D12:H12"/>
  </mergeCells>
  <printOptions horizontalCentered="1"/>
  <pageMargins left="0" right="0" top="1.1811023622047245" bottom="0" header="0" footer="0"/>
  <pageSetup fitToHeight="1" fitToWidth="1" horizontalDpi="600" verticalDpi="600" orientation="landscape" paperSize="9" scale="83"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N162"/>
  <sheetViews>
    <sheetView view="pageBreakPreview" zoomScale="71" zoomScaleSheetLayoutView="71" zoomScalePageLayoutView="0" workbookViewId="0" topLeftCell="A1">
      <selection activeCell="J20" sqref="J20"/>
    </sheetView>
  </sheetViews>
  <sheetFormatPr defaultColWidth="9.140625" defaultRowHeight="12.75"/>
  <cols>
    <col min="1" max="1" width="5.28125" style="16" customWidth="1"/>
    <col min="2" max="2" width="84.00390625" style="12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88"/>
      <c r="C1" s="15"/>
      <c r="D1" s="15"/>
      <c r="E1" s="15"/>
      <c r="F1" s="15"/>
      <c r="G1" s="15"/>
      <c r="H1" s="15"/>
      <c r="I1" s="914" t="s">
        <v>453</v>
      </c>
      <c r="J1" s="914"/>
      <c r="K1" s="13" t="s">
        <v>19</v>
      </c>
    </row>
    <row r="2" spans="2:11" ht="15.75">
      <c r="B2" s="88"/>
      <c r="C2" s="15"/>
      <c r="D2" s="15"/>
      <c r="E2" s="15"/>
      <c r="F2" s="15"/>
      <c r="G2" s="15"/>
      <c r="H2" s="15"/>
      <c r="I2" s="767" t="s">
        <v>11</v>
      </c>
      <c r="J2" s="767"/>
      <c r="K2" s="12" t="s">
        <v>11</v>
      </c>
    </row>
    <row r="3" spans="2:11" ht="15.75">
      <c r="B3" s="88"/>
      <c r="C3" s="15"/>
      <c r="D3" s="15"/>
      <c r="E3" s="15"/>
      <c r="F3" s="15"/>
      <c r="G3" s="15"/>
      <c r="H3" s="15"/>
      <c r="I3" s="12" t="s">
        <v>291</v>
      </c>
      <c r="J3" s="12"/>
      <c r="K3" s="12"/>
    </row>
    <row r="4" spans="2:11" ht="15.75">
      <c r="B4" s="88"/>
      <c r="C4" s="15"/>
      <c r="D4" s="15"/>
      <c r="E4" s="15"/>
      <c r="F4" s="15"/>
      <c r="G4" s="15"/>
      <c r="H4" s="15"/>
      <c r="I4" s="12" t="s">
        <v>575</v>
      </c>
      <c r="J4" s="12"/>
      <c r="K4" s="12" t="s">
        <v>21</v>
      </c>
    </row>
    <row r="5" spans="2:11" ht="15.75">
      <c r="B5" s="88"/>
      <c r="C5" s="15"/>
      <c r="D5" s="15"/>
      <c r="E5" s="15"/>
      <c r="F5" s="15"/>
      <c r="G5" s="15"/>
      <c r="H5" s="15"/>
      <c r="I5" s="12" t="s">
        <v>569</v>
      </c>
      <c r="J5" s="12"/>
      <c r="K5" s="12" t="s">
        <v>23</v>
      </c>
    </row>
    <row r="6" spans="2:11" ht="15.75">
      <c r="B6" s="88"/>
      <c r="C6" s="15"/>
      <c r="D6" s="15"/>
      <c r="E6" s="15"/>
      <c r="F6" s="15"/>
      <c r="G6" s="15"/>
      <c r="H6" s="15"/>
      <c r="I6" s="12" t="s">
        <v>563</v>
      </c>
      <c r="J6" s="12"/>
      <c r="K6" s="12"/>
    </row>
    <row r="7" spans="2:11" ht="15.75">
      <c r="B7" s="88"/>
      <c r="C7" s="15"/>
      <c r="D7" s="15"/>
      <c r="E7" s="15"/>
      <c r="F7" s="15"/>
      <c r="G7" s="15"/>
      <c r="H7" s="15"/>
      <c r="I7" s="12" t="s">
        <v>578</v>
      </c>
      <c r="J7" s="12"/>
      <c r="K7" s="12"/>
    </row>
    <row r="8" spans="2:11" ht="15.75">
      <c r="B8" s="88"/>
      <c r="C8" s="15"/>
      <c r="D8" s="15"/>
      <c r="E8" s="15"/>
      <c r="F8" s="15"/>
      <c r="G8" s="15"/>
      <c r="I8" s="12" t="s">
        <v>565</v>
      </c>
      <c r="J8" s="12"/>
      <c r="K8" s="12" t="s">
        <v>24</v>
      </c>
    </row>
    <row r="9" spans="2:14" ht="15.75" customHeight="1">
      <c r="B9" s="88"/>
      <c r="C9" s="15"/>
      <c r="D9" s="15"/>
      <c r="E9" s="15"/>
      <c r="F9" s="15"/>
      <c r="G9" s="15"/>
      <c r="I9" s="768" t="s">
        <v>651</v>
      </c>
      <c r="J9" s="768"/>
      <c r="K9" s="17"/>
      <c r="L9" s="17"/>
      <c r="M9" s="17"/>
      <c r="N9" s="17"/>
    </row>
    <row r="10" spans="2:11" ht="15.75">
      <c r="B10" s="88"/>
      <c r="C10" s="15"/>
      <c r="D10" s="15"/>
      <c r="E10" s="15"/>
      <c r="F10" s="15"/>
      <c r="G10" s="15"/>
      <c r="H10" s="15"/>
      <c r="I10" s="15"/>
      <c r="J10" s="15"/>
      <c r="K10" s="15"/>
    </row>
    <row r="11" spans="1:11" ht="18.75" customHeight="1">
      <c r="A11" s="852" t="s">
        <v>532</v>
      </c>
      <c r="B11" s="852"/>
      <c r="C11" s="852"/>
      <c r="D11" s="852"/>
      <c r="E11" s="852"/>
      <c r="F11" s="852"/>
      <c r="G11" s="852"/>
      <c r="H11" s="852"/>
      <c r="I11" s="852"/>
      <c r="J11" s="852"/>
      <c r="K11" s="15"/>
    </row>
    <row r="12" spans="2:11" ht="15.75">
      <c r="B12" s="88"/>
      <c r="C12" s="15"/>
      <c r="D12" s="785"/>
      <c r="E12" s="785"/>
      <c r="F12" s="785"/>
      <c r="G12" s="785"/>
      <c r="H12" s="785"/>
      <c r="I12" s="15"/>
      <c r="J12" s="34" t="s">
        <v>391</v>
      </c>
      <c r="K12" s="15"/>
    </row>
    <row r="13" spans="1:11" ht="15.75" customHeight="1">
      <c r="A13" s="776" t="s">
        <v>6</v>
      </c>
      <c r="B13" s="754" t="s">
        <v>12</v>
      </c>
      <c r="C13" s="903" t="s">
        <v>13</v>
      </c>
      <c r="D13" s="770" t="s">
        <v>401</v>
      </c>
      <c r="E13" s="903" t="s">
        <v>9</v>
      </c>
      <c r="F13" s="786"/>
      <c r="G13" s="786"/>
      <c r="H13" s="786"/>
      <c r="I13" s="786"/>
      <c r="J13" s="776" t="s">
        <v>15</v>
      </c>
      <c r="K13" s="15"/>
    </row>
    <row r="14" spans="1:11" ht="15.75" customHeight="1">
      <c r="A14" s="776"/>
      <c r="B14" s="754"/>
      <c r="C14" s="913"/>
      <c r="D14" s="771"/>
      <c r="E14" s="770" t="s">
        <v>402</v>
      </c>
      <c r="F14" s="903" t="s">
        <v>403</v>
      </c>
      <c r="G14" s="786"/>
      <c r="H14" s="849"/>
      <c r="I14" s="770" t="s">
        <v>396</v>
      </c>
      <c r="J14" s="776"/>
      <c r="K14" s="15"/>
    </row>
    <row r="15" spans="1:11" ht="23.25" customHeight="1">
      <c r="A15" s="776"/>
      <c r="B15" s="754"/>
      <c r="C15" s="904"/>
      <c r="D15" s="772"/>
      <c r="E15" s="772"/>
      <c r="F15" s="904"/>
      <c r="G15" s="905"/>
      <c r="H15" s="906"/>
      <c r="I15" s="772"/>
      <c r="J15" s="776"/>
      <c r="K15" s="15"/>
    </row>
    <row r="16" spans="1:13" ht="56.25" customHeight="1">
      <c r="A16" s="35">
        <v>1</v>
      </c>
      <c r="B16" s="116" t="s">
        <v>0</v>
      </c>
      <c r="C16" s="115" t="s">
        <v>124</v>
      </c>
      <c r="D16" s="66">
        <f aca="true" t="shared" si="0" ref="D16:D22">E16</f>
        <v>10230</v>
      </c>
      <c r="E16" s="87">
        <f>E17+E18+E19+E20+E21+E22</f>
        <v>10230</v>
      </c>
      <c r="F16" s="87">
        <f>F17+F18+F19+F20+F21+F22</f>
        <v>0</v>
      </c>
      <c r="G16" s="87">
        <f>G17+G18+G19+G20+G21+G22</f>
        <v>0</v>
      </c>
      <c r="H16" s="87">
        <f>H17+H18+H19+H20+H21+H22</f>
        <v>0</v>
      </c>
      <c r="I16" s="87">
        <f>I17+I18+I19+I20+I21+I22</f>
        <v>0</v>
      </c>
      <c r="J16" s="35" t="s">
        <v>41</v>
      </c>
      <c r="K16" s="15"/>
      <c r="M16" s="114"/>
    </row>
    <row r="17" spans="1:13" ht="42" customHeight="1">
      <c r="A17" s="35"/>
      <c r="B17" s="239" t="s">
        <v>195</v>
      </c>
      <c r="C17" s="115" t="s">
        <v>124</v>
      </c>
      <c r="D17" s="66">
        <f t="shared" si="0"/>
        <v>1980</v>
      </c>
      <c r="E17" s="240">
        <v>1980</v>
      </c>
      <c r="F17" s="74"/>
      <c r="G17" s="62"/>
      <c r="H17" s="62"/>
      <c r="I17" s="117"/>
      <c r="J17" s="35"/>
      <c r="K17" s="15"/>
      <c r="M17" s="114"/>
    </row>
    <row r="18" spans="1:13" ht="48" customHeight="1">
      <c r="A18" s="35"/>
      <c r="B18" s="239" t="s">
        <v>196</v>
      </c>
      <c r="C18" s="115" t="s">
        <v>124</v>
      </c>
      <c r="D18" s="66">
        <f t="shared" si="0"/>
        <v>3000</v>
      </c>
      <c r="E18" s="240">
        <v>3000</v>
      </c>
      <c r="F18" s="74"/>
      <c r="G18" s="62"/>
      <c r="H18" s="62"/>
      <c r="I18" s="117"/>
      <c r="J18" s="35"/>
      <c r="K18" s="15"/>
      <c r="M18" s="114"/>
    </row>
    <row r="19" spans="1:13" ht="63" customHeight="1">
      <c r="A19" s="35"/>
      <c r="B19" s="239" t="s">
        <v>404</v>
      </c>
      <c r="C19" s="115" t="s">
        <v>124</v>
      </c>
      <c r="D19" s="66">
        <f t="shared" si="0"/>
        <v>3700</v>
      </c>
      <c r="E19" s="207">
        <v>3700</v>
      </c>
      <c r="F19" s="74"/>
      <c r="G19" s="62"/>
      <c r="H19" s="62"/>
      <c r="I19" s="117"/>
      <c r="J19" s="35"/>
      <c r="K19" s="15"/>
      <c r="M19" s="114"/>
    </row>
    <row r="20" spans="1:13" ht="60.75" customHeight="1">
      <c r="A20" s="76"/>
      <c r="B20" s="239" t="s">
        <v>197</v>
      </c>
      <c r="C20" s="115" t="s">
        <v>124</v>
      </c>
      <c r="D20" s="66">
        <f t="shared" si="0"/>
        <v>350</v>
      </c>
      <c r="E20" s="207">
        <v>350</v>
      </c>
      <c r="F20" s="74"/>
      <c r="G20" s="62"/>
      <c r="H20" s="62"/>
      <c r="I20" s="117"/>
      <c r="J20" s="35"/>
      <c r="K20" s="15"/>
      <c r="M20" s="114"/>
    </row>
    <row r="21" spans="1:13" ht="56.25" customHeight="1">
      <c r="A21" s="35"/>
      <c r="B21" s="239" t="s">
        <v>198</v>
      </c>
      <c r="C21" s="115" t="s">
        <v>124</v>
      </c>
      <c r="D21" s="66">
        <f t="shared" si="0"/>
        <v>500</v>
      </c>
      <c r="E21" s="207">
        <v>500</v>
      </c>
      <c r="F21" s="74"/>
      <c r="G21" s="62"/>
      <c r="H21" s="62"/>
      <c r="I21" s="118"/>
      <c r="J21" s="35"/>
      <c r="K21" s="15"/>
      <c r="M21" s="114"/>
    </row>
    <row r="22" spans="1:13" ht="59.25" customHeight="1">
      <c r="A22" s="35"/>
      <c r="B22" s="239" t="s">
        <v>199</v>
      </c>
      <c r="C22" s="115" t="s">
        <v>124</v>
      </c>
      <c r="D22" s="66">
        <f t="shared" si="0"/>
        <v>700</v>
      </c>
      <c r="E22" s="207">
        <v>700</v>
      </c>
      <c r="F22" s="74"/>
      <c r="G22" s="62"/>
      <c r="H22" s="62"/>
      <c r="I22" s="118"/>
      <c r="J22" s="35"/>
      <c r="K22" s="15"/>
      <c r="M22" s="114"/>
    </row>
    <row r="23" spans="1:13" ht="57" customHeight="1">
      <c r="A23" s="35">
        <v>2</v>
      </c>
      <c r="B23" s="116" t="s">
        <v>1</v>
      </c>
      <c r="C23" s="115" t="s">
        <v>124</v>
      </c>
      <c r="D23" s="66">
        <f>E23+F23</f>
        <v>25400</v>
      </c>
      <c r="E23" s="87">
        <f>E24+E25+E26+E27</f>
        <v>10400</v>
      </c>
      <c r="F23" s="87">
        <f>F24+F25+F26+F27+F28+F29+F30</f>
        <v>15000</v>
      </c>
      <c r="G23" s="87">
        <f>G24+G25+G26+G27+G28+G29+G30</f>
        <v>0</v>
      </c>
      <c r="H23" s="87">
        <f>H24+H25+H26+H27+H28+H29+H30</f>
        <v>0</v>
      </c>
      <c r="I23" s="87">
        <f>I24+I25+I26+I27+I28+I29+I30</f>
        <v>0</v>
      </c>
      <c r="J23" s="35" t="s">
        <v>42</v>
      </c>
      <c r="K23" s="15"/>
      <c r="M23" s="114"/>
    </row>
    <row r="24" spans="1:13" ht="45" customHeight="1">
      <c r="A24" s="35"/>
      <c r="B24" s="239" t="s">
        <v>200</v>
      </c>
      <c r="C24" s="115" t="s">
        <v>124</v>
      </c>
      <c r="D24" s="66">
        <f aca="true" t="shared" si="1" ref="D24:D30">E24+F24</f>
        <v>4000</v>
      </c>
      <c r="E24" s="207">
        <v>4000</v>
      </c>
      <c r="F24" s="74"/>
      <c r="G24" s="62"/>
      <c r="H24" s="62"/>
      <c r="I24" s="117"/>
      <c r="J24" s="35"/>
      <c r="K24" s="15"/>
      <c r="M24" s="114"/>
    </row>
    <row r="25" spans="1:13" ht="48" customHeight="1">
      <c r="A25" s="35"/>
      <c r="B25" s="239" t="s">
        <v>201</v>
      </c>
      <c r="C25" s="115" t="s">
        <v>124</v>
      </c>
      <c r="D25" s="66">
        <f t="shared" si="1"/>
        <v>2500</v>
      </c>
      <c r="E25" s="207">
        <v>2500</v>
      </c>
      <c r="F25" s="74"/>
      <c r="G25" s="62"/>
      <c r="H25" s="62"/>
      <c r="I25" s="117"/>
      <c r="J25" s="35"/>
      <c r="K25" s="15"/>
      <c r="M25" s="114"/>
    </row>
    <row r="26" spans="1:13" ht="38.25" customHeight="1">
      <c r="A26" s="35"/>
      <c r="B26" s="239" t="s">
        <v>202</v>
      </c>
      <c r="C26" s="115" t="s">
        <v>124</v>
      </c>
      <c r="D26" s="66">
        <f t="shared" si="1"/>
        <v>3000</v>
      </c>
      <c r="E26" s="207">
        <v>3000</v>
      </c>
      <c r="F26" s="74"/>
      <c r="G26" s="62"/>
      <c r="H26" s="62"/>
      <c r="I26" s="117"/>
      <c r="J26" s="35"/>
      <c r="K26" s="15"/>
      <c r="M26" s="114"/>
    </row>
    <row r="27" spans="1:13" ht="45.75" customHeight="1">
      <c r="A27" s="35"/>
      <c r="B27" s="239" t="s">
        <v>203</v>
      </c>
      <c r="C27" s="115" t="s">
        <v>124</v>
      </c>
      <c r="D27" s="66">
        <f t="shared" si="1"/>
        <v>900</v>
      </c>
      <c r="E27" s="207">
        <v>900</v>
      </c>
      <c r="F27" s="74"/>
      <c r="G27" s="62"/>
      <c r="H27" s="62"/>
      <c r="I27" s="117"/>
      <c r="J27" s="35"/>
      <c r="K27" s="15"/>
      <c r="M27" s="114"/>
    </row>
    <row r="28" spans="1:13" ht="45.75" customHeight="1">
      <c r="A28" s="35"/>
      <c r="B28" s="239" t="s">
        <v>323</v>
      </c>
      <c r="C28" s="115" t="s">
        <v>124</v>
      </c>
      <c r="D28" s="66">
        <f t="shared" si="1"/>
        <v>5000</v>
      </c>
      <c r="E28" s="207"/>
      <c r="F28" s="74">
        <v>5000</v>
      </c>
      <c r="G28" s="62"/>
      <c r="H28" s="62"/>
      <c r="I28" s="117"/>
      <c r="J28" s="35"/>
      <c r="K28" s="15"/>
      <c r="M28" s="114"/>
    </row>
    <row r="29" spans="1:13" ht="45.75" customHeight="1">
      <c r="A29" s="35"/>
      <c r="B29" s="239" t="s">
        <v>324</v>
      </c>
      <c r="C29" s="115" t="s">
        <v>124</v>
      </c>
      <c r="D29" s="66">
        <f t="shared" si="1"/>
        <v>7000</v>
      </c>
      <c r="E29" s="207"/>
      <c r="F29" s="74">
        <v>7000</v>
      </c>
      <c r="G29" s="62"/>
      <c r="H29" s="62"/>
      <c r="I29" s="117"/>
      <c r="J29" s="35"/>
      <c r="K29" s="15"/>
      <c r="M29" s="114"/>
    </row>
    <row r="30" spans="1:13" ht="45.75" customHeight="1">
      <c r="A30" s="35"/>
      <c r="B30" s="239" t="s">
        <v>325</v>
      </c>
      <c r="C30" s="115" t="s">
        <v>124</v>
      </c>
      <c r="D30" s="66">
        <f t="shared" si="1"/>
        <v>3000</v>
      </c>
      <c r="E30" s="207"/>
      <c r="F30" s="74">
        <v>3000</v>
      </c>
      <c r="G30" s="62"/>
      <c r="H30" s="62"/>
      <c r="I30" s="117"/>
      <c r="J30" s="35"/>
      <c r="K30" s="15"/>
      <c r="M30" s="114"/>
    </row>
    <row r="31" spans="1:13" ht="50.25" customHeight="1">
      <c r="A31" s="35">
        <v>3</v>
      </c>
      <c r="B31" s="116" t="s">
        <v>46</v>
      </c>
      <c r="C31" s="115" t="s">
        <v>124</v>
      </c>
      <c r="D31" s="66">
        <f>E31+F31</f>
        <v>25454.5</v>
      </c>
      <c r="E31" s="87">
        <f>E32+E33+E34+E35+E38+E39</f>
        <v>9202.1</v>
      </c>
      <c r="F31" s="61">
        <f>F36+F37</f>
        <v>16252.400000000001</v>
      </c>
      <c r="G31" s="61">
        <f>G36+G37</f>
        <v>0</v>
      </c>
      <c r="H31" s="61">
        <f>H36+H37</f>
        <v>0</v>
      </c>
      <c r="I31" s="61">
        <f>I36+I37</f>
        <v>0</v>
      </c>
      <c r="J31" s="35" t="s">
        <v>47</v>
      </c>
      <c r="K31" s="15"/>
      <c r="M31" s="114"/>
    </row>
    <row r="32" spans="1:13" ht="62.25" customHeight="1">
      <c r="A32" s="35"/>
      <c r="B32" s="241" t="s">
        <v>204</v>
      </c>
      <c r="C32" s="115" t="s">
        <v>124</v>
      </c>
      <c r="D32" s="66">
        <f aca="true" t="shared" si="2" ref="D32:D44">E32</f>
        <v>454.8</v>
      </c>
      <c r="E32" s="242">
        <v>454.8</v>
      </c>
      <c r="F32" s="74"/>
      <c r="G32" s="62"/>
      <c r="H32" s="62"/>
      <c r="I32" s="120"/>
      <c r="J32" s="35"/>
      <c r="K32" s="15"/>
      <c r="M32" s="114"/>
    </row>
    <row r="33" spans="1:13" ht="42.75" customHeight="1">
      <c r="A33" s="35"/>
      <c r="B33" s="241" t="s">
        <v>205</v>
      </c>
      <c r="C33" s="115" t="s">
        <v>124</v>
      </c>
      <c r="D33" s="66">
        <f t="shared" si="2"/>
        <v>918.2</v>
      </c>
      <c r="E33" s="242">
        <v>918.2</v>
      </c>
      <c r="F33" s="74"/>
      <c r="G33" s="62"/>
      <c r="H33" s="62"/>
      <c r="I33" s="121"/>
      <c r="J33" s="35"/>
      <c r="K33" s="15"/>
      <c r="M33" s="114"/>
    </row>
    <row r="34" spans="1:13" ht="36.75" customHeight="1">
      <c r="A34" s="35"/>
      <c r="B34" s="241" t="s">
        <v>206</v>
      </c>
      <c r="C34" s="115" t="s">
        <v>124</v>
      </c>
      <c r="D34" s="66">
        <f t="shared" si="2"/>
        <v>5000</v>
      </c>
      <c r="E34" s="242">
        <v>5000</v>
      </c>
      <c r="F34" s="74"/>
      <c r="G34" s="62"/>
      <c r="H34" s="62"/>
      <c r="I34" s="121"/>
      <c r="J34" s="35"/>
      <c r="K34" s="15"/>
      <c r="M34" s="114"/>
    </row>
    <row r="35" spans="1:13" ht="51" customHeight="1">
      <c r="A35" s="35"/>
      <c r="B35" s="241" t="s">
        <v>207</v>
      </c>
      <c r="C35" s="115" t="s">
        <v>124</v>
      </c>
      <c r="D35" s="66">
        <f t="shared" si="2"/>
        <v>2700</v>
      </c>
      <c r="E35" s="242">
        <v>2700</v>
      </c>
      <c r="F35" s="74"/>
      <c r="G35" s="62"/>
      <c r="H35" s="62"/>
      <c r="I35" s="121"/>
      <c r="J35" s="35"/>
      <c r="K35" s="15"/>
      <c r="M35" s="114"/>
    </row>
    <row r="36" spans="1:13" ht="51" customHeight="1">
      <c r="A36" s="35"/>
      <c r="B36" s="241" t="s">
        <v>361</v>
      </c>
      <c r="C36" s="115" t="s">
        <v>124</v>
      </c>
      <c r="D36" s="66">
        <f>E36+F36</f>
        <v>9987.2</v>
      </c>
      <c r="E36" s="242"/>
      <c r="F36" s="74">
        <v>9987.2</v>
      </c>
      <c r="G36" s="62"/>
      <c r="H36" s="62"/>
      <c r="I36" s="121"/>
      <c r="J36" s="35"/>
      <c r="K36" s="15"/>
      <c r="M36" s="114"/>
    </row>
    <row r="37" spans="1:13" ht="51" customHeight="1">
      <c r="A37" s="35"/>
      <c r="B37" s="241" t="s">
        <v>362</v>
      </c>
      <c r="C37" s="115" t="s">
        <v>124</v>
      </c>
      <c r="D37" s="66">
        <f>E37+F37</f>
        <v>6265.2</v>
      </c>
      <c r="E37" s="242"/>
      <c r="F37" s="74">
        <v>6265.2</v>
      </c>
      <c r="G37" s="62"/>
      <c r="H37" s="62"/>
      <c r="I37" s="121"/>
      <c r="J37" s="35"/>
      <c r="K37" s="15"/>
      <c r="M37" s="114"/>
    </row>
    <row r="38" spans="1:13" ht="51" customHeight="1">
      <c r="A38" s="35"/>
      <c r="B38" s="241" t="s">
        <v>367</v>
      </c>
      <c r="C38" s="115" t="s">
        <v>124</v>
      </c>
      <c r="D38" s="66">
        <f>E38+F38</f>
        <v>85</v>
      </c>
      <c r="E38" s="242">
        <f>0+85</f>
        <v>85</v>
      </c>
      <c r="F38" s="74"/>
      <c r="G38" s="62"/>
      <c r="H38" s="62"/>
      <c r="I38" s="121"/>
      <c r="J38" s="35"/>
      <c r="K38" s="15"/>
      <c r="M38" s="114"/>
    </row>
    <row r="39" spans="1:13" ht="51" customHeight="1">
      <c r="A39" s="35"/>
      <c r="B39" s="241" t="s">
        <v>368</v>
      </c>
      <c r="C39" s="115" t="s">
        <v>124</v>
      </c>
      <c r="D39" s="66">
        <f>E39+F39</f>
        <v>44.1</v>
      </c>
      <c r="E39" s="242">
        <v>44.1</v>
      </c>
      <c r="F39" s="74"/>
      <c r="G39" s="62"/>
      <c r="H39" s="62"/>
      <c r="I39" s="121"/>
      <c r="J39" s="35"/>
      <c r="K39" s="15"/>
      <c r="M39" s="114"/>
    </row>
    <row r="40" spans="1:13" ht="67.5" customHeight="1">
      <c r="A40" s="35">
        <v>4</v>
      </c>
      <c r="B40" s="116" t="s">
        <v>2</v>
      </c>
      <c r="C40" s="115" t="s">
        <v>124</v>
      </c>
      <c r="D40" s="66">
        <f t="shared" si="2"/>
        <v>537.8</v>
      </c>
      <c r="E40" s="87">
        <f>E41+E42+E43+E44</f>
        <v>537.8</v>
      </c>
      <c r="F40" s="87">
        <f>F41+F42+F43+F44</f>
        <v>0</v>
      </c>
      <c r="G40" s="87">
        <f>G41+G42+G43+G44</f>
        <v>0</v>
      </c>
      <c r="H40" s="87">
        <f>H41+H42+H43+H44</f>
        <v>0</v>
      </c>
      <c r="I40" s="87">
        <f>I41+I42+I43+I44</f>
        <v>0</v>
      </c>
      <c r="J40" s="35" t="s">
        <v>43</v>
      </c>
      <c r="K40" s="15"/>
      <c r="M40" s="114"/>
    </row>
    <row r="41" spans="1:13" ht="67.5" customHeight="1">
      <c r="A41" s="35"/>
      <c r="B41" s="239" t="s">
        <v>208</v>
      </c>
      <c r="C41" s="115" t="s">
        <v>124</v>
      </c>
      <c r="D41" s="66">
        <f t="shared" si="2"/>
        <v>13</v>
      </c>
      <c r="E41" s="243">
        <v>13</v>
      </c>
      <c r="F41" s="74"/>
      <c r="G41" s="62"/>
      <c r="H41" s="62"/>
      <c r="I41" s="119"/>
      <c r="J41" s="35"/>
      <c r="K41" s="15"/>
      <c r="M41" s="114"/>
    </row>
    <row r="42" spans="1:13" ht="67.5" customHeight="1">
      <c r="A42" s="35"/>
      <c r="B42" s="239" t="s">
        <v>209</v>
      </c>
      <c r="C42" s="115" t="s">
        <v>124</v>
      </c>
      <c r="D42" s="66">
        <f t="shared" si="2"/>
        <v>9</v>
      </c>
      <c r="E42" s="243">
        <v>9</v>
      </c>
      <c r="F42" s="74"/>
      <c r="G42" s="62"/>
      <c r="H42" s="62"/>
      <c r="I42" s="119"/>
      <c r="J42" s="35"/>
      <c r="K42" s="15"/>
      <c r="M42" s="114"/>
    </row>
    <row r="43" spans="1:13" ht="67.5" customHeight="1">
      <c r="A43" s="35"/>
      <c r="B43" s="239" t="s">
        <v>228</v>
      </c>
      <c r="C43" s="115" t="s">
        <v>124</v>
      </c>
      <c r="D43" s="66">
        <f t="shared" si="2"/>
        <v>200</v>
      </c>
      <c r="E43" s="243">
        <v>200</v>
      </c>
      <c r="F43" s="74"/>
      <c r="G43" s="62"/>
      <c r="H43" s="62"/>
      <c r="I43" s="119"/>
      <c r="J43" s="35"/>
      <c r="K43" s="15"/>
      <c r="M43" s="114"/>
    </row>
    <row r="44" spans="1:13" ht="63" customHeight="1">
      <c r="A44" s="35"/>
      <c r="B44" s="239" t="s">
        <v>210</v>
      </c>
      <c r="C44" s="115" t="s">
        <v>124</v>
      </c>
      <c r="D44" s="66">
        <f t="shared" si="2"/>
        <v>315.8</v>
      </c>
      <c r="E44" s="243">
        <v>315.8</v>
      </c>
      <c r="F44" s="74"/>
      <c r="G44" s="62"/>
      <c r="H44" s="62"/>
      <c r="I44" s="120"/>
      <c r="J44" s="35"/>
      <c r="K44" s="15"/>
      <c r="M44" s="114"/>
    </row>
    <row r="45" spans="1:13" ht="25.5" customHeight="1">
      <c r="A45" s="773">
        <v>5</v>
      </c>
      <c r="B45" s="907" t="s">
        <v>3</v>
      </c>
      <c r="C45" s="115" t="s">
        <v>124</v>
      </c>
      <c r="D45" s="66">
        <f>E45+F45+I45</f>
        <v>37220</v>
      </c>
      <c r="E45" s="87">
        <f>E47+E49+E50+E51+E52+E61+E62+E63+E64+E65+E66+E67</f>
        <v>11085</v>
      </c>
      <c r="F45" s="87">
        <f>F47+F49+F50+F51+F52+F61+F62+F63+F64+F65+F66+F67+F53+F55+F56+F57+F58+F60</f>
        <v>26135</v>
      </c>
      <c r="G45" s="87">
        <f>G47+G49+G50+G51+G52+G61+G62+G63+G64+G65+G66+G67+G53+G55+G56+G57+G58+G60</f>
        <v>0</v>
      </c>
      <c r="H45" s="87">
        <f>H47+H49+H50+H51+H52+H61+H62+H63+H64+H65+H66+H67+H53+H55+H56+H57+H58+H60</f>
        <v>0</v>
      </c>
      <c r="I45" s="87"/>
      <c r="J45" s="773" t="s">
        <v>44</v>
      </c>
      <c r="K45" s="15"/>
      <c r="M45" s="114"/>
    </row>
    <row r="46" spans="1:13" ht="25.5" customHeight="1">
      <c r="A46" s="775"/>
      <c r="B46" s="908"/>
      <c r="C46" s="115" t="s">
        <v>539</v>
      </c>
      <c r="D46" s="66">
        <f>E46+F46+I46</f>
        <v>3797.4</v>
      </c>
      <c r="E46" s="87"/>
      <c r="F46" s="87"/>
      <c r="G46" s="445"/>
      <c r="H46" s="445"/>
      <c r="I46" s="87">
        <f>I48+I54+I59+I68</f>
        <v>3797.4</v>
      </c>
      <c r="J46" s="775"/>
      <c r="K46" s="15"/>
      <c r="M46" s="114"/>
    </row>
    <row r="47" spans="1:13" ht="20.25" customHeight="1">
      <c r="A47" s="773"/>
      <c r="B47" s="911" t="s">
        <v>211</v>
      </c>
      <c r="C47" s="115" t="s">
        <v>124</v>
      </c>
      <c r="D47" s="66">
        <f>E47+F47</f>
        <v>2600</v>
      </c>
      <c r="E47" s="216">
        <v>1250</v>
      </c>
      <c r="F47" s="74">
        <v>1350</v>
      </c>
      <c r="G47" s="62"/>
      <c r="H47" s="62"/>
      <c r="I47" s="121"/>
      <c r="J47" s="773"/>
      <c r="K47" s="15"/>
      <c r="M47" s="114"/>
    </row>
    <row r="48" spans="1:13" ht="21.75" customHeight="1">
      <c r="A48" s="775"/>
      <c r="B48" s="912"/>
      <c r="C48" s="115" t="s">
        <v>539</v>
      </c>
      <c r="D48" s="66">
        <f>E48+F48+I48</f>
        <v>1350</v>
      </c>
      <c r="E48" s="216"/>
      <c r="F48" s="74"/>
      <c r="G48" s="62"/>
      <c r="H48" s="62"/>
      <c r="I48" s="121">
        <v>1350</v>
      </c>
      <c r="J48" s="775"/>
      <c r="K48" s="15"/>
      <c r="M48" s="114"/>
    </row>
    <row r="49" spans="1:13" ht="42" customHeight="1">
      <c r="A49" s="35"/>
      <c r="B49" s="239" t="s">
        <v>212</v>
      </c>
      <c r="C49" s="115" t="s">
        <v>124</v>
      </c>
      <c r="D49" s="66">
        <f aca="true" t="shared" si="3" ref="D49:D64">E49+F49</f>
        <v>2310</v>
      </c>
      <c r="E49" s="216">
        <v>1110</v>
      </c>
      <c r="F49" s="74">
        <v>1200</v>
      </c>
      <c r="G49" s="62"/>
      <c r="H49" s="62"/>
      <c r="I49" s="121"/>
      <c r="J49" s="35"/>
      <c r="K49" s="15"/>
      <c r="M49" s="114"/>
    </row>
    <row r="50" spans="1:13" ht="38.25" customHeight="1">
      <c r="A50" s="35"/>
      <c r="B50" s="239" t="s">
        <v>213</v>
      </c>
      <c r="C50" s="115" t="s">
        <v>124</v>
      </c>
      <c r="D50" s="66">
        <f t="shared" si="3"/>
        <v>7100</v>
      </c>
      <c r="E50" s="216">
        <v>3500</v>
      </c>
      <c r="F50" s="74">
        <v>3600</v>
      </c>
      <c r="G50" s="62"/>
      <c r="H50" s="62"/>
      <c r="I50" s="121"/>
      <c r="J50" s="35"/>
      <c r="K50" s="15"/>
      <c r="M50" s="114"/>
    </row>
    <row r="51" spans="1:13" ht="38.25" customHeight="1">
      <c r="A51" s="35"/>
      <c r="B51" s="239" t="s">
        <v>214</v>
      </c>
      <c r="C51" s="115" t="s">
        <v>124</v>
      </c>
      <c r="D51" s="66">
        <f t="shared" si="3"/>
        <v>6500</v>
      </c>
      <c r="E51" s="216">
        <v>3200</v>
      </c>
      <c r="F51" s="74">
        <v>3300</v>
      </c>
      <c r="G51" s="62"/>
      <c r="H51" s="62"/>
      <c r="I51" s="121"/>
      <c r="J51" s="35"/>
      <c r="K51" s="15"/>
      <c r="M51" s="114"/>
    </row>
    <row r="52" spans="1:13" ht="38.25" customHeight="1">
      <c r="A52" s="35"/>
      <c r="B52" s="239" t="s">
        <v>215</v>
      </c>
      <c r="C52" s="115" t="s">
        <v>124</v>
      </c>
      <c r="D52" s="66">
        <f t="shared" si="3"/>
        <v>1300</v>
      </c>
      <c r="E52" s="216">
        <v>600</v>
      </c>
      <c r="F52" s="74">
        <v>700</v>
      </c>
      <c r="G52" s="62"/>
      <c r="H52" s="62"/>
      <c r="I52" s="121"/>
      <c r="J52" s="35"/>
      <c r="K52" s="15"/>
      <c r="M52" s="114"/>
    </row>
    <row r="53" spans="1:13" ht="22.5" customHeight="1">
      <c r="A53" s="773"/>
      <c r="B53" s="911" t="s">
        <v>326</v>
      </c>
      <c r="C53" s="115" t="s">
        <v>124</v>
      </c>
      <c r="D53" s="66">
        <f t="shared" si="3"/>
        <v>700</v>
      </c>
      <c r="E53" s="216"/>
      <c r="F53" s="74">
        <v>700</v>
      </c>
      <c r="G53" s="62"/>
      <c r="H53" s="62"/>
      <c r="I53" s="121"/>
      <c r="J53" s="773"/>
      <c r="K53" s="15"/>
      <c r="M53" s="114"/>
    </row>
    <row r="54" spans="1:13" ht="21.75" customHeight="1">
      <c r="A54" s="775"/>
      <c r="B54" s="912"/>
      <c r="C54" s="115" t="s">
        <v>539</v>
      </c>
      <c r="D54" s="66">
        <f t="shared" si="3"/>
        <v>0</v>
      </c>
      <c r="E54" s="216"/>
      <c r="F54" s="74"/>
      <c r="G54" s="62"/>
      <c r="H54" s="62"/>
      <c r="I54" s="121">
        <v>700</v>
      </c>
      <c r="J54" s="775"/>
      <c r="K54" s="15"/>
      <c r="M54" s="114"/>
    </row>
    <row r="55" spans="1:13" ht="38.25" customHeight="1">
      <c r="A55" s="35"/>
      <c r="B55" s="239" t="s">
        <v>327</v>
      </c>
      <c r="C55" s="115" t="s">
        <v>124</v>
      </c>
      <c r="D55" s="66">
        <f t="shared" si="3"/>
        <v>5200</v>
      </c>
      <c r="E55" s="216"/>
      <c r="F55" s="74">
        <v>5200</v>
      </c>
      <c r="G55" s="62"/>
      <c r="H55" s="62"/>
      <c r="I55" s="121"/>
      <c r="J55" s="35"/>
      <c r="K55" s="15"/>
      <c r="M55" s="114"/>
    </row>
    <row r="56" spans="1:13" ht="38.25" customHeight="1">
      <c r="A56" s="35"/>
      <c r="B56" s="239" t="s">
        <v>328</v>
      </c>
      <c r="C56" s="115" t="s">
        <v>124</v>
      </c>
      <c r="D56" s="66">
        <f t="shared" si="3"/>
        <v>3700</v>
      </c>
      <c r="E56" s="216"/>
      <c r="F56" s="74">
        <v>3700</v>
      </c>
      <c r="G56" s="62"/>
      <c r="H56" s="62"/>
      <c r="I56" s="121"/>
      <c r="J56" s="35"/>
      <c r="K56" s="15"/>
      <c r="M56" s="114"/>
    </row>
    <row r="57" spans="1:13" ht="38.25" customHeight="1">
      <c r="A57" s="35"/>
      <c r="B57" s="239" t="s">
        <v>329</v>
      </c>
      <c r="C57" s="115" t="s">
        <v>124</v>
      </c>
      <c r="D57" s="66">
        <f t="shared" si="3"/>
        <v>3100</v>
      </c>
      <c r="E57" s="216"/>
      <c r="F57" s="74">
        <v>3100</v>
      </c>
      <c r="G57" s="62"/>
      <c r="H57" s="62"/>
      <c r="I57" s="121"/>
      <c r="J57" s="35"/>
      <c r="K57" s="15"/>
      <c r="M57" s="114"/>
    </row>
    <row r="58" spans="1:13" ht="21.75" customHeight="1">
      <c r="A58" s="773"/>
      <c r="B58" s="911" t="s">
        <v>330</v>
      </c>
      <c r="C58" s="115" t="s">
        <v>124</v>
      </c>
      <c r="D58" s="66">
        <f t="shared" si="3"/>
        <v>1700</v>
      </c>
      <c r="E58" s="216"/>
      <c r="F58" s="74">
        <v>1700</v>
      </c>
      <c r="G58" s="62"/>
      <c r="H58" s="62"/>
      <c r="I58" s="121"/>
      <c r="J58" s="773"/>
      <c r="K58" s="15"/>
      <c r="M58" s="114"/>
    </row>
    <row r="59" spans="1:13" ht="20.25" customHeight="1">
      <c r="A59" s="775"/>
      <c r="B59" s="912"/>
      <c r="C59" s="115" t="s">
        <v>539</v>
      </c>
      <c r="D59" s="66">
        <f>E59+F59+I59</f>
        <v>1700</v>
      </c>
      <c r="E59" s="216"/>
      <c r="F59" s="74"/>
      <c r="G59" s="62"/>
      <c r="H59" s="62"/>
      <c r="I59" s="121">
        <v>1700</v>
      </c>
      <c r="J59" s="775"/>
      <c r="K59" s="15"/>
      <c r="M59" s="114"/>
    </row>
    <row r="60" spans="1:13" ht="38.25" customHeight="1">
      <c r="A60" s="35"/>
      <c r="B60" s="239" t="s">
        <v>331</v>
      </c>
      <c r="C60" s="115" t="s">
        <v>124</v>
      </c>
      <c r="D60" s="66">
        <f t="shared" si="3"/>
        <v>300</v>
      </c>
      <c r="E60" s="216"/>
      <c r="F60" s="74">
        <v>300</v>
      </c>
      <c r="G60" s="62"/>
      <c r="H60" s="62"/>
      <c r="I60" s="121"/>
      <c r="J60" s="35"/>
      <c r="K60" s="15"/>
      <c r="M60" s="114"/>
    </row>
    <row r="61" spans="1:13" ht="38.25" customHeight="1">
      <c r="A61" s="35"/>
      <c r="B61" s="239" t="s">
        <v>216</v>
      </c>
      <c r="C61" s="115" t="s">
        <v>124</v>
      </c>
      <c r="D61" s="66">
        <f t="shared" si="3"/>
        <v>160</v>
      </c>
      <c r="E61" s="216">
        <v>75</v>
      </c>
      <c r="F61" s="74">
        <v>85</v>
      </c>
      <c r="G61" s="62"/>
      <c r="H61" s="62"/>
      <c r="I61" s="121"/>
      <c r="J61" s="35"/>
      <c r="K61" s="15"/>
      <c r="M61" s="114"/>
    </row>
    <row r="62" spans="1:13" ht="38.25" customHeight="1">
      <c r="A62" s="35"/>
      <c r="B62" s="239" t="s">
        <v>217</v>
      </c>
      <c r="C62" s="115" t="s">
        <v>124</v>
      </c>
      <c r="D62" s="66">
        <f t="shared" si="3"/>
        <v>36</v>
      </c>
      <c r="E62" s="216">
        <v>36</v>
      </c>
      <c r="F62" s="74"/>
      <c r="G62" s="62"/>
      <c r="H62" s="62"/>
      <c r="I62" s="121"/>
      <c r="J62" s="35"/>
      <c r="K62" s="15"/>
      <c r="M62" s="114"/>
    </row>
    <row r="63" spans="1:13" ht="38.25" customHeight="1">
      <c r="A63" s="35"/>
      <c r="B63" s="239" t="s">
        <v>218</v>
      </c>
      <c r="C63" s="115" t="s">
        <v>124</v>
      </c>
      <c r="D63" s="66">
        <f t="shared" si="3"/>
        <v>710</v>
      </c>
      <c r="E63" s="216">
        <v>110</v>
      </c>
      <c r="F63" s="74">
        <v>600</v>
      </c>
      <c r="G63" s="62"/>
      <c r="H63" s="62"/>
      <c r="I63" s="121"/>
      <c r="J63" s="35"/>
      <c r="K63" s="15"/>
      <c r="M63" s="114"/>
    </row>
    <row r="64" spans="1:13" ht="69" customHeight="1">
      <c r="A64" s="35"/>
      <c r="B64" s="239" t="s">
        <v>219</v>
      </c>
      <c r="C64" s="115" t="s">
        <v>124</v>
      </c>
      <c r="D64" s="66">
        <f t="shared" si="3"/>
        <v>910</v>
      </c>
      <c r="E64" s="216">
        <v>310</v>
      </c>
      <c r="F64" s="74">
        <v>600</v>
      </c>
      <c r="G64" s="62"/>
      <c r="H64" s="62"/>
      <c r="I64" s="121"/>
      <c r="J64" s="35"/>
      <c r="K64" s="15"/>
      <c r="M64" s="114"/>
    </row>
    <row r="65" spans="1:13" ht="44.25" customHeight="1">
      <c r="A65" s="35"/>
      <c r="B65" s="239" t="s">
        <v>220</v>
      </c>
      <c r="C65" s="115" t="s">
        <v>124</v>
      </c>
      <c r="D65" s="66">
        <f aca="true" t="shared" si="4" ref="D65:D73">E65</f>
        <v>175</v>
      </c>
      <c r="E65" s="216">
        <v>175</v>
      </c>
      <c r="F65" s="74"/>
      <c r="G65" s="62"/>
      <c r="H65" s="62"/>
      <c r="I65" s="121"/>
      <c r="J65" s="35"/>
      <c r="K65" s="15"/>
      <c r="M65" s="114"/>
    </row>
    <row r="66" spans="1:13" ht="66" customHeight="1">
      <c r="A66" s="35"/>
      <c r="B66" s="239" t="s">
        <v>221</v>
      </c>
      <c r="C66" s="115" t="s">
        <v>124</v>
      </c>
      <c r="D66" s="66">
        <f t="shared" si="4"/>
        <v>320</v>
      </c>
      <c r="E66" s="216">
        <v>320</v>
      </c>
      <c r="F66" s="74"/>
      <c r="G66" s="62"/>
      <c r="H66" s="62"/>
      <c r="I66" s="121"/>
      <c r="J66" s="35"/>
      <c r="K66" s="15"/>
      <c r="M66" s="114"/>
    </row>
    <row r="67" spans="1:13" ht="38.25" customHeight="1">
      <c r="A67" s="35"/>
      <c r="B67" s="239" t="s">
        <v>222</v>
      </c>
      <c r="C67" s="115" t="s">
        <v>124</v>
      </c>
      <c r="D67" s="66">
        <f t="shared" si="4"/>
        <v>399</v>
      </c>
      <c r="E67" s="216">
        <v>399</v>
      </c>
      <c r="F67" s="74"/>
      <c r="G67" s="62"/>
      <c r="H67" s="62"/>
      <c r="I67" s="121"/>
      <c r="J67" s="35"/>
      <c r="K67" s="15"/>
      <c r="M67" s="114"/>
    </row>
    <row r="68" spans="1:13" ht="38.25" customHeight="1">
      <c r="A68" s="35"/>
      <c r="B68" s="239" t="s">
        <v>472</v>
      </c>
      <c r="C68" s="115" t="s">
        <v>539</v>
      </c>
      <c r="D68" s="66">
        <f>E68+F68+I68</f>
        <v>47.4</v>
      </c>
      <c r="E68" s="216"/>
      <c r="F68" s="74"/>
      <c r="G68" s="62"/>
      <c r="H68" s="62"/>
      <c r="I68" s="121">
        <v>47.4</v>
      </c>
      <c r="J68" s="35"/>
      <c r="K68" s="15"/>
      <c r="M68" s="114"/>
    </row>
    <row r="69" spans="1:13" ht="22.5" customHeight="1">
      <c r="A69" s="773">
        <v>6</v>
      </c>
      <c r="B69" s="907" t="s">
        <v>4</v>
      </c>
      <c r="C69" s="115" t="s">
        <v>124</v>
      </c>
      <c r="D69" s="66">
        <f>E69+F69+I69</f>
        <v>6506.2</v>
      </c>
      <c r="E69" s="87">
        <f>E71+E72+E73</f>
        <v>3006.2</v>
      </c>
      <c r="F69" s="87">
        <f>F71+F72+F73+F74</f>
        <v>3500</v>
      </c>
      <c r="G69" s="87">
        <f>G71+G72+G73+G74</f>
        <v>0</v>
      </c>
      <c r="H69" s="87">
        <f>H71+H72+H73+H74</f>
        <v>0</v>
      </c>
      <c r="I69" s="87"/>
      <c r="J69" s="773" t="s">
        <v>45</v>
      </c>
      <c r="K69" s="15"/>
      <c r="M69" s="114"/>
    </row>
    <row r="70" spans="1:13" ht="30" customHeight="1">
      <c r="A70" s="775"/>
      <c r="B70" s="908"/>
      <c r="C70" s="115" t="s">
        <v>539</v>
      </c>
      <c r="D70" s="66">
        <f>E70+F70+I70</f>
        <v>3500</v>
      </c>
      <c r="E70" s="87"/>
      <c r="F70" s="87"/>
      <c r="G70" s="445"/>
      <c r="H70" s="445"/>
      <c r="I70" s="87">
        <v>3500</v>
      </c>
      <c r="J70" s="775"/>
      <c r="K70" s="15"/>
      <c r="M70" s="114"/>
    </row>
    <row r="71" spans="1:13" ht="56.25" customHeight="1">
      <c r="A71" s="35"/>
      <c r="B71" s="244" t="s">
        <v>144</v>
      </c>
      <c r="C71" s="115" t="s">
        <v>124</v>
      </c>
      <c r="D71" s="66">
        <f t="shared" si="4"/>
        <v>1812</v>
      </c>
      <c r="E71" s="207">
        <v>1812</v>
      </c>
      <c r="F71" s="210"/>
      <c r="G71" s="62"/>
      <c r="H71" s="62"/>
      <c r="I71" s="118"/>
      <c r="J71" s="35"/>
      <c r="K71" s="15"/>
      <c r="M71" s="114"/>
    </row>
    <row r="72" spans="1:13" ht="53.25" customHeight="1">
      <c r="A72" s="35"/>
      <c r="B72" s="244" t="s">
        <v>145</v>
      </c>
      <c r="C72" s="115" t="s">
        <v>124</v>
      </c>
      <c r="D72" s="66">
        <f t="shared" si="4"/>
        <v>597.1</v>
      </c>
      <c r="E72" s="207">
        <v>597.1</v>
      </c>
      <c r="F72" s="210"/>
      <c r="G72" s="62"/>
      <c r="H72" s="62"/>
      <c r="I72" s="118"/>
      <c r="J72" s="35"/>
      <c r="K72" s="15"/>
      <c r="M72" s="114"/>
    </row>
    <row r="73" spans="1:13" ht="45" customHeight="1">
      <c r="A73" s="35"/>
      <c r="B73" s="244" t="s">
        <v>146</v>
      </c>
      <c r="C73" s="115" t="s">
        <v>124</v>
      </c>
      <c r="D73" s="66">
        <f t="shared" si="4"/>
        <v>597.1</v>
      </c>
      <c r="E73" s="207">
        <v>597.1</v>
      </c>
      <c r="F73" s="210"/>
      <c r="G73" s="62"/>
      <c r="H73" s="62"/>
      <c r="I73" s="118"/>
      <c r="J73" s="35"/>
      <c r="K73" s="15"/>
      <c r="M73" s="114"/>
    </row>
    <row r="74" spans="1:13" ht="19.5" customHeight="1">
      <c r="A74" s="773"/>
      <c r="B74" s="909" t="s">
        <v>360</v>
      </c>
      <c r="C74" s="115" t="s">
        <v>124</v>
      </c>
      <c r="D74" s="66">
        <f>E74+F74</f>
        <v>3500</v>
      </c>
      <c r="E74" s="207"/>
      <c r="F74" s="210">
        <v>3500</v>
      </c>
      <c r="G74" s="62"/>
      <c r="H74" s="62"/>
      <c r="I74" s="118"/>
      <c r="J74" s="773"/>
      <c r="K74" s="15"/>
      <c r="M74" s="114"/>
    </row>
    <row r="75" spans="1:13" ht="20.25" customHeight="1">
      <c r="A75" s="775"/>
      <c r="B75" s="910"/>
      <c r="C75" s="115" t="s">
        <v>539</v>
      </c>
      <c r="D75" s="66">
        <f>E75+F75+I75</f>
        <v>3500</v>
      </c>
      <c r="E75" s="207"/>
      <c r="F75" s="210"/>
      <c r="G75" s="62"/>
      <c r="H75" s="62"/>
      <c r="I75" s="118">
        <v>3500</v>
      </c>
      <c r="J75" s="775"/>
      <c r="K75" s="15"/>
      <c r="M75" s="114"/>
    </row>
    <row r="76" spans="1:13" ht="58.5" customHeight="1">
      <c r="A76" s="35">
        <v>7</v>
      </c>
      <c r="B76" s="245" t="s">
        <v>39</v>
      </c>
      <c r="C76" s="115" t="s">
        <v>124</v>
      </c>
      <c r="D76" s="66">
        <f>E76+F76+I76</f>
        <v>76733.072</v>
      </c>
      <c r="E76" s="87">
        <f>E77+E78+E79+E80+E81+E82+E83+E84+E85+E86+E87+E88+E89+E90+E91+E92+E93+E94+E95+E96+E97+E98+E99+E100+E101+E102+E103+E104+E105+E106+E107+E108</f>
        <v>50100.2</v>
      </c>
      <c r="F76" s="87">
        <f>F77+F78+F79+F80+F81+F82+F83+F84+F85+F86+F87+F88+F89+F90+F91+F92+F93+F94+F95+F96+F97+F98+F99+F100+F101+F102+F103+F104+F105+F106+F107+F108+F109+F110+F111+F112+F113+F114+F115+F116+F117+F118+F119+F120+F121+F122+F123+F124+F125+F126+F127+F128+F129+F130</f>
        <v>26632.872000000007</v>
      </c>
      <c r="G76" s="87">
        <f>G77+G78+G79+G80+G81+G82+G83+G84+G85+G86+G87+G88+G89+G90+G91+G92+G93+G94+G95+G96+G97+G98+G99+G100+G101+G102+G103+G104+G105+G106+G107+G108+G109+G110+G111+G112+G113+G114+G115+G116+G117+G118+G119+G120+G121+G122+G123+G124+G125+G126+G127+G128+G129+G130</f>
        <v>0</v>
      </c>
      <c r="H76" s="87">
        <f>H77+H78+H79+H80+H81+H82+H83+H84+H85+H86+H87+H88+H89+H90+H91+H92+H93+H94+H95+H96+H97+H98+H99+H100+H101+H102+H103+H104+H105+H106+H107+H108+H109+H110+H111+H112+H113+H114+H115+H116+H117+H118+H119+H120+H121+H122+H123+H124+H125+H126+H127+H128+H129+H130</f>
        <v>0</v>
      </c>
      <c r="I76" s="87">
        <f>I77+I78+I79+I80+I81+I82+I83+I84+I85+I86+I87+I88+I89+I90+I91+I92+I93+I94+I95+I96+I97+I98+I99+I100+I101+I102+I103+I104+I105+I106+I107+I108+I109+I110+I111+I112+I113+I114+I115+I116+I117+I118+I119+I120+I121+I122+I123+I124+I125+I126+I127+I128+I129+I130</f>
        <v>0</v>
      </c>
      <c r="J76" s="35" t="s">
        <v>40</v>
      </c>
      <c r="K76" s="15"/>
      <c r="M76" s="114"/>
    </row>
    <row r="77" spans="1:13" ht="86.25" customHeight="1">
      <c r="A77" s="35"/>
      <c r="B77" s="246" t="s">
        <v>147</v>
      </c>
      <c r="C77" s="115" t="s">
        <v>124</v>
      </c>
      <c r="D77" s="217">
        <f>E77+F77+I77</f>
        <v>55</v>
      </c>
      <c r="E77" s="207">
        <v>55</v>
      </c>
      <c r="F77" s="214"/>
      <c r="G77" s="62"/>
      <c r="H77" s="62"/>
      <c r="I77" s="122"/>
      <c r="J77" s="35"/>
      <c r="K77" s="15"/>
      <c r="M77" s="114"/>
    </row>
    <row r="78" spans="1:13" ht="58.5" customHeight="1">
      <c r="A78" s="35"/>
      <c r="B78" s="246" t="s">
        <v>227</v>
      </c>
      <c r="C78" s="115" t="s">
        <v>124</v>
      </c>
      <c r="D78" s="217">
        <f aca="true" t="shared" si="5" ref="D78:D107">E78+F78+I78</f>
        <v>1500</v>
      </c>
      <c r="E78" s="207">
        <v>1500</v>
      </c>
      <c r="F78" s="214"/>
      <c r="G78" s="62"/>
      <c r="H78" s="62"/>
      <c r="I78" s="122"/>
      <c r="J78" s="35"/>
      <c r="K78" s="15"/>
      <c r="M78" s="114"/>
    </row>
    <row r="79" spans="1:13" ht="79.5" customHeight="1">
      <c r="A79" s="35"/>
      <c r="B79" s="247" t="s">
        <v>148</v>
      </c>
      <c r="C79" s="115" t="s">
        <v>124</v>
      </c>
      <c r="D79" s="217">
        <f t="shared" si="5"/>
        <v>1308</v>
      </c>
      <c r="E79" s="207">
        <v>1308</v>
      </c>
      <c r="F79" s="214"/>
      <c r="G79" s="62"/>
      <c r="H79" s="62"/>
      <c r="I79" s="122"/>
      <c r="J79" s="35"/>
      <c r="K79" s="15"/>
      <c r="M79" s="114"/>
    </row>
    <row r="80" spans="1:13" ht="58.5" customHeight="1">
      <c r="A80" s="35"/>
      <c r="B80" s="248" t="s">
        <v>149</v>
      </c>
      <c r="C80" s="115" t="s">
        <v>124</v>
      </c>
      <c r="D80" s="217">
        <f t="shared" si="5"/>
        <v>650</v>
      </c>
      <c r="E80" s="207">
        <v>650</v>
      </c>
      <c r="F80" s="214"/>
      <c r="G80" s="62"/>
      <c r="H80" s="62"/>
      <c r="I80" s="122"/>
      <c r="J80" s="35"/>
      <c r="K80" s="15"/>
      <c r="M80" s="114"/>
    </row>
    <row r="81" spans="1:13" ht="38.25" customHeight="1">
      <c r="A81" s="35"/>
      <c r="B81" s="248" t="s">
        <v>150</v>
      </c>
      <c r="C81" s="115" t="s">
        <v>124</v>
      </c>
      <c r="D81" s="217">
        <f t="shared" si="5"/>
        <v>1100</v>
      </c>
      <c r="E81" s="207">
        <v>1100</v>
      </c>
      <c r="F81" s="214"/>
      <c r="G81" s="62"/>
      <c r="H81" s="62"/>
      <c r="I81" s="122"/>
      <c r="J81" s="35"/>
      <c r="K81" s="15"/>
      <c r="M81" s="114"/>
    </row>
    <row r="82" spans="1:13" ht="93" customHeight="1">
      <c r="A82" s="35"/>
      <c r="B82" s="249" t="s">
        <v>151</v>
      </c>
      <c r="C82" s="115" t="s">
        <v>124</v>
      </c>
      <c r="D82" s="217">
        <f t="shared" si="5"/>
        <v>30</v>
      </c>
      <c r="E82" s="215">
        <v>30</v>
      </c>
      <c r="F82" s="214"/>
      <c r="G82" s="62"/>
      <c r="H82" s="62"/>
      <c r="I82" s="122"/>
      <c r="J82" s="35"/>
      <c r="K82" s="15"/>
      <c r="M82" s="114"/>
    </row>
    <row r="83" spans="1:13" ht="58.5" customHeight="1">
      <c r="A83" s="35"/>
      <c r="B83" s="249" t="s">
        <v>152</v>
      </c>
      <c r="C83" s="115" t="s">
        <v>124</v>
      </c>
      <c r="D83" s="217">
        <f t="shared" si="5"/>
        <v>6500</v>
      </c>
      <c r="E83" s="216">
        <v>6500</v>
      </c>
      <c r="F83" s="214"/>
      <c r="G83" s="62"/>
      <c r="H83" s="62"/>
      <c r="I83" s="122"/>
      <c r="J83" s="35"/>
      <c r="K83" s="15"/>
      <c r="M83" s="114"/>
    </row>
    <row r="84" spans="1:13" ht="58.5" customHeight="1">
      <c r="A84" s="35"/>
      <c r="B84" s="251" t="s">
        <v>153</v>
      </c>
      <c r="C84" s="115" t="s">
        <v>124</v>
      </c>
      <c r="D84" s="217">
        <f t="shared" si="5"/>
        <v>1535</v>
      </c>
      <c r="E84" s="216">
        <v>1535</v>
      </c>
      <c r="F84" s="214"/>
      <c r="G84" s="62"/>
      <c r="H84" s="62"/>
      <c r="I84" s="122"/>
      <c r="J84" s="35"/>
      <c r="K84" s="15"/>
      <c r="M84" s="114"/>
    </row>
    <row r="85" spans="1:13" ht="58.5" customHeight="1">
      <c r="A85" s="35"/>
      <c r="B85" s="252" t="s">
        <v>154</v>
      </c>
      <c r="C85" s="115" t="s">
        <v>124</v>
      </c>
      <c r="D85" s="217">
        <f t="shared" si="5"/>
        <v>70</v>
      </c>
      <c r="E85" s="216">
        <v>70</v>
      </c>
      <c r="F85" s="214"/>
      <c r="G85" s="62"/>
      <c r="H85" s="62"/>
      <c r="I85" s="122"/>
      <c r="J85" s="35"/>
      <c r="K85" s="15"/>
      <c r="M85" s="114"/>
    </row>
    <row r="86" spans="1:13" ht="55.5" customHeight="1">
      <c r="A86" s="35"/>
      <c r="B86" s="252" t="s">
        <v>155</v>
      </c>
      <c r="C86" s="115" t="s">
        <v>124</v>
      </c>
      <c r="D86" s="217">
        <f t="shared" si="5"/>
        <v>850</v>
      </c>
      <c r="E86" s="216">
        <v>850</v>
      </c>
      <c r="F86" s="214"/>
      <c r="G86" s="62"/>
      <c r="H86" s="62"/>
      <c r="I86" s="122"/>
      <c r="J86" s="35"/>
      <c r="K86" s="15"/>
      <c r="M86" s="114"/>
    </row>
    <row r="87" spans="1:13" ht="77.25" customHeight="1">
      <c r="A87" s="35"/>
      <c r="B87" s="252" t="s">
        <v>156</v>
      </c>
      <c r="C87" s="115" t="s">
        <v>124</v>
      </c>
      <c r="D87" s="217">
        <f t="shared" si="5"/>
        <v>300</v>
      </c>
      <c r="E87" s="216">
        <v>300</v>
      </c>
      <c r="F87" s="214"/>
      <c r="G87" s="62"/>
      <c r="H87" s="62"/>
      <c r="I87" s="122"/>
      <c r="J87" s="35"/>
      <c r="K87" s="15"/>
      <c r="M87" s="114"/>
    </row>
    <row r="88" spans="1:13" ht="100.5" customHeight="1">
      <c r="A88" s="35"/>
      <c r="B88" s="252" t="s">
        <v>157</v>
      </c>
      <c r="C88" s="115" t="s">
        <v>124</v>
      </c>
      <c r="D88" s="217">
        <f t="shared" si="5"/>
        <v>280</v>
      </c>
      <c r="E88" s="216">
        <v>280</v>
      </c>
      <c r="F88" s="214"/>
      <c r="G88" s="62"/>
      <c r="H88" s="62"/>
      <c r="I88" s="122"/>
      <c r="J88" s="35"/>
      <c r="K88" s="15"/>
      <c r="M88" s="114"/>
    </row>
    <row r="89" spans="1:13" ht="79.5" customHeight="1">
      <c r="A89" s="35"/>
      <c r="B89" s="252" t="s">
        <v>158</v>
      </c>
      <c r="C89" s="115" t="s">
        <v>124</v>
      </c>
      <c r="D89" s="217">
        <f t="shared" si="5"/>
        <v>80</v>
      </c>
      <c r="E89" s="216">
        <v>80</v>
      </c>
      <c r="F89" s="214"/>
      <c r="G89" s="62"/>
      <c r="H89" s="62"/>
      <c r="I89" s="122"/>
      <c r="J89" s="35"/>
      <c r="K89" s="15"/>
      <c r="M89" s="114"/>
    </row>
    <row r="90" spans="1:13" ht="58.5" customHeight="1">
      <c r="A90" s="35"/>
      <c r="B90" s="252" t="s">
        <v>159</v>
      </c>
      <c r="C90" s="115" t="s">
        <v>124</v>
      </c>
      <c r="D90" s="217">
        <f t="shared" si="5"/>
        <v>350</v>
      </c>
      <c r="E90" s="216">
        <v>350</v>
      </c>
      <c r="F90" s="214"/>
      <c r="G90" s="62"/>
      <c r="H90" s="62"/>
      <c r="I90" s="122"/>
      <c r="J90" s="35"/>
      <c r="K90" s="15"/>
      <c r="M90" s="114"/>
    </row>
    <row r="91" spans="1:13" ht="84" customHeight="1">
      <c r="A91" s="35"/>
      <c r="B91" s="252" t="s">
        <v>160</v>
      </c>
      <c r="C91" s="115" t="s">
        <v>124</v>
      </c>
      <c r="D91" s="217">
        <f t="shared" si="5"/>
        <v>80</v>
      </c>
      <c r="E91" s="216">
        <v>80</v>
      </c>
      <c r="F91" s="214"/>
      <c r="G91" s="62"/>
      <c r="H91" s="62"/>
      <c r="I91" s="122"/>
      <c r="J91" s="35"/>
      <c r="K91" s="15"/>
      <c r="M91" s="114"/>
    </row>
    <row r="92" spans="1:13" ht="58.5" customHeight="1">
      <c r="A92" s="35"/>
      <c r="B92" s="252" t="s">
        <v>161</v>
      </c>
      <c r="C92" s="115" t="s">
        <v>124</v>
      </c>
      <c r="D92" s="217">
        <f t="shared" si="5"/>
        <v>550</v>
      </c>
      <c r="E92" s="216">
        <v>550</v>
      </c>
      <c r="F92" s="214"/>
      <c r="G92" s="62"/>
      <c r="H92" s="62"/>
      <c r="I92" s="122"/>
      <c r="J92" s="35"/>
      <c r="K92" s="15"/>
      <c r="M92" s="114"/>
    </row>
    <row r="93" spans="1:13" ht="97.5" customHeight="1">
      <c r="A93" s="35"/>
      <c r="B93" s="252" t="s">
        <v>162</v>
      </c>
      <c r="C93" s="115" t="s">
        <v>124</v>
      </c>
      <c r="D93" s="217">
        <f t="shared" si="5"/>
        <v>80</v>
      </c>
      <c r="E93" s="216">
        <v>80</v>
      </c>
      <c r="F93" s="214"/>
      <c r="G93" s="62"/>
      <c r="H93" s="62"/>
      <c r="I93" s="122"/>
      <c r="J93" s="35"/>
      <c r="K93" s="15"/>
      <c r="M93" s="114"/>
    </row>
    <row r="94" spans="1:13" ht="77.25" customHeight="1">
      <c r="A94" s="35"/>
      <c r="B94" s="252" t="s">
        <v>163</v>
      </c>
      <c r="C94" s="115" t="s">
        <v>124</v>
      </c>
      <c r="D94" s="217">
        <f t="shared" si="5"/>
        <v>320</v>
      </c>
      <c r="E94" s="216">
        <v>320</v>
      </c>
      <c r="F94" s="214"/>
      <c r="G94" s="62"/>
      <c r="H94" s="62"/>
      <c r="I94" s="122"/>
      <c r="J94" s="35"/>
      <c r="K94" s="15"/>
      <c r="M94" s="114"/>
    </row>
    <row r="95" spans="1:13" ht="72.75" customHeight="1">
      <c r="A95" s="35"/>
      <c r="B95" s="252" t="s">
        <v>164</v>
      </c>
      <c r="C95" s="115" t="s">
        <v>124</v>
      </c>
      <c r="D95" s="217">
        <f t="shared" si="5"/>
        <v>210</v>
      </c>
      <c r="E95" s="216">
        <v>210</v>
      </c>
      <c r="F95" s="214"/>
      <c r="G95" s="62"/>
      <c r="H95" s="62"/>
      <c r="I95" s="122"/>
      <c r="J95" s="35"/>
      <c r="K95" s="15"/>
      <c r="M95" s="114"/>
    </row>
    <row r="96" spans="1:13" ht="86.25" customHeight="1">
      <c r="A96" s="35"/>
      <c r="B96" s="252" t="s">
        <v>165</v>
      </c>
      <c r="C96" s="115" t="s">
        <v>124</v>
      </c>
      <c r="D96" s="217">
        <f t="shared" si="5"/>
        <v>215</v>
      </c>
      <c r="E96" s="216">
        <v>215</v>
      </c>
      <c r="F96" s="214"/>
      <c r="G96" s="62"/>
      <c r="H96" s="62"/>
      <c r="I96" s="122"/>
      <c r="J96" s="35"/>
      <c r="K96" s="15"/>
      <c r="M96" s="114"/>
    </row>
    <row r="97" spans="1:13" ht="81" customHeight="1">
      <c r="A97" s="35"/>
      <c r="B97" s="252" t="s">
        <v>166</v>
      </c>
      <c r="C97" s="115" t="s">
        <v>124</v>
      </c>
      <c r="D97" s="217">
        <f t="shared" si="5"/>
        <v>205.2</v>
      </c>
      <c r="E97" s="216">
        <v>205.2</v>
      </c>
      <c r="F97" s="214"/>
      <c r="G97" s="62"/>
      <c r="H97" s="62"/>
      <c r="I97" s="122"/>
      <c r="J97" s="35"/>
      <c r="K97" s="15"/>
      <c r="M97" s="114"/>
    </row>
    <row r="98" spans="1:13" ht="58.5" customHeight="1">
      <c r="A98" s="35"/>
      <c r="B98" s="252" t="s">
        <v>167</v>
      </c>
      <c r="C98" s="115" t="s">
        <v>124</v>
      </c>
      <c r="D98" s="217">
        <f t="shared" si="5"/>
        <v>8950</v>
      </c>
      <c r="E98" s="216">
        <v>8950</v>
      </c>
      <c r="F98" s="214"/>
      <c r="G98" s="62"/>
      <c r="H98" s="62"/>
      <c r="I98" s="122"/>
      <c r="J98" s="35"/>
      <c r="K98" s="15"/>
      <c r="M98" s="114"/>
    </row>
    <row r="99" spans="1:13" ht="58.5" customHeight="1">
      <c r="A99" s="35"/>
      <c r="B99" s="252" t="s">
        <v>168</v>
      </c>
      <c r="C99" s="115" t="s">
        <v>124</v>
      </c>
      <c r="D99" s="217">
        <f t="shared" si="5"/>
        <v>2100</v>
      </c>
      <c r="E99" s="216">
        <v>2100</v>
      </c>
      <c r="F99" s="214"/>
      <c r="G99" s="62"/>
      <c r="H99" s="62"/>
      <c r="I99" s="122"/>
      <c r="J99" s="35"/>
      <c r="K99" s="15"/>
      <c r="M99" s="114"/>
    </row>
    <row r="100" spans="1:13" ht="58.5" customHeight="1">
      <c r="A100" s="35"/>
      <c r="B100" s="253" t="s">
        <v>169</v>
      </c>
      <c r="C100" s="115" t="s">
        <v>124</v>
      </c>
      <c r="D100" s="217">
        <f t="shared" si="5"/>
        <v>3000</v>
      </c>
      <c r="E100" s="216">
        <v>3000</v>
      </c>
      <c r="F100" s="214"/>
      <c r="G100" s="62"/>
      <c r="H100" s="62"/>
      <c r="I100" s="122"/>
      <c r="J100" s="35"/>
      <c r="K100" s="15"/>
      <c r="M100" s="114"/>
    </row>
    <row r="101" spans="1:13" ht="43.5" customHeight="1">
      <c r="A101" s="35"/>
      <c r="B101" s="253" t="s">
        <v>170</v>
      </c>
      <c r="C101" s="115" t="s">
        <v>124</v>
      </c>
      <c r="D101" s="217">
        <f t="shared" si="5"/>
        <v>4475</v>
      </c>
      <c r="E101" s="216">
        <v>4475</v>
      </c>
      <c r="F101" s="214"/>
      <c r="G101" s="62"/>
      <c r="H101" s="62"/>
      <c r="I101" s="122"/>
      <c r="J101" s="35"/>
      <c r="K101" s="15"/>
      <c r="M101" s="114"/>
    </row>
    <row r="102" spans="1:13" ht="35.25" customHeight="1">
      <c r="A102" s="35"/>
      <c r="B102" s="253" t="s">
        <v>171</v>
      </c>
      <c r="C102" s="115" t="s">
        <v>124</v>
      </c>
      <c r="D102" s="217">
        <f t="shared" si="5"/>
        <v>2300</v>
      </c>
      <c r="E102" s="216">
        <v>2300</v>
      </c>
      <c r="F102" s="214"/>
      <c r="G102" s="62"/>
      <c r="H102" s="62"/>
      <c r="I102" s="122"/>
      <c r="J102" s="35"/>
      <c r="K102" s="15"/>
      <c r="M102" s="114"/>
    </row>
    <row r="103" spans="1:13" ht="37.5" customHeight="1">
      <c r="A103" s="35"/>
      <c r="B103" s="253" t="s">
        <v>172</v>
      </c>
      <c r="C103" s="115" t="s">
        <v>124</v>
      </c>
      <c r="D103" s="217">
        <f t="shared" si="5"/>
        <v>4806</v>
      </c>
      <c r="E103" s="216">
        <v>2403</v>
      </c>
      <c r="F103" s="214">
        <v>2403</v>
      </c>
      <c r="G103" s="62"/>
      <c r="H103" s="62"/>
      <c r="I103" s="123"/>
      <c r="J103" s="35"/>
      <c r="K103" s="15"/>
      <c r="M103" s="114"/>
    </row>
    <row r="104" spans="1:13" ht="36.75" customHeight="1">
      <c r="A104" s="35"/>
      <c r="B104" s="252" t="s">
        <v>173</v>
      </c>
      <c r="C104" s="115" t="s">
        <v>124</v>
      </c>
      <c r="D104" s="217">
        <f t="shared" si="5"/>
        <v>3429</v>
      </c>
      <c r="E104" s="216">
        <v>3429</v>
      </c>
      <c r="F104" s="214"/>
      <c r="G104" s="62"/>
      <c r="H104" s="62"/>
      <c r="I104" s="123"/>
      <c r="J104" s="35"/>
      <c r="K104" s="15"/>
      <c r="M104" s="114"/>
    </row>
    <row r="105" spans="1:13" ht="39" customHeight="1">
      <c r="A105" s="35"/>
      <c r="B105" s="252" t="s">
        <v>174</v>
      </c>
      <c r="C105" s="115" t="s">
        <v>124</v>
      </c>
      <c r="D105" s="217">
        <f t="shared" si="5"/>
        <v>1950</v>
      </c>
      <c r="E105" s="216">
        <v>1950</v>
      </c>
      <c r="F105" s="214"/>
      <c r="G105" s="62"/>
      <c r="H105" s="62"/>
      <c r="I105" s="123"/>
      <c r="J105" s="35"/>
      <c r="K105" s="15"/>
      <c r="M105" s="114"/>
    </row>
    <row r="106" spans="1:13" ht="40.5" customHeight="1">
      <c r="A106" s="35"/>
      <c r="B106" s="252" t="s">
        <v>175</v>
      </c>
      <c r="C106" s="115" t="s">
        <v>124</v>
      </c>
      <c r="D106" s="217">
        <f t="shared" si="5"/>
        <v>2100</v>
      </c>
      <c r="E106" s="216">
        <v>2100</v>
      </c>
      <c r="F106" s="209"/>
      <c r="G106" s="62"/>
      <c r="H106" s="62"/>
      <c r="I106" s="37"/>
      <c r="J106" s="35"/>
      <c r="K106" s="15"/>
      <c r="M106" s="114"/>
    </row>
    <row r="107" spans="1:13" ht="38.25" customHeight="1">
      <c r="A107" s="35"/>
      <c r="B107" s="252" t="s">
        <v>176</v>
      </c>
      <c r="C107" s="115" t="s">
        <v>124</v>
      </c>
      <c r="D107" s="217">
        <f t="shared" si="5"/>
        <v>2500</v>
      </c>
      <c r="E107" s="216">
        <v>2500</v>
      </c>
      <c r="F107" s="209"/>
      <c r="G107" s="124"/>
      <c r="H107" s="124"/>
      <c r="I107" s="125"/>
      <c r="J107" s="35"/>
      <c r="K107" s="15"/>
      <c r="M107" s="114"/>
    </row>
    <row r="108" spans="1:13" ht="65.25" customHeight="1">
      <c r="A108" s="35"/>
      <c r="B108" s="250" t="s">
        <v>177</v>
      </c>
      <c r="C108" s="115" t="s">
        <v>124</v>
      </c>
      <c r="D108" s="217">
        <f>E108+F108+I108</f>
        <v>625</v>
      </c>
      <c r="E108" s="216">
        <v>625</v>
      </c>
      <c r="F108" s="209"/>
      <c r="G108" s="124"/>
      <c r="H108" s="124"/>
      <c r="I108" s="125"/>
      <c r="J108" s="35"/>
      <c r="K108" s="15"/>
      <c r="M108" s="114"/>
    </row>
    <row r="109" spans="1:13" ht="55.5" customHeight="1">
      <c r="A109" s="35"/>
      <c r="B109" s="250" t="s">
        <v>333</v>
      </c>
      <c r="C109" s="115" t="s">
        <v>124</v>
      </c>
      <c r="D109" s="217">
        <f aca="true" t="shared" si="6" ref="D109:D130">E109+F109+I109</f>
        <v>4800</v>
      </c>
      <c r="E109" s="216"/>
      <c r="F109" s="209">
        <v>4800</v>
      </c>
      <c r="G109" s="124"/>
      <c r="H109" s="124"/>
      <c r="I109" s="125"/>
      <c r="J109" s="35"/>
      <c r="K109" s="15"/>
      <c r="M109" s="114"/>
    </row>
    <row r="110" spans="1:13" ht="34.5" customHeight="1">
      <c r="A110" s="35"/>
      <c r="B110" s="250" t="s">
        <v>334</v>
      </c>
      <c r="C110" s="115" t="s">
        <v>124</v>
      </c>
      <c r="D110" s="217">
        <f t="shared" si="6"/>
        <v>2600</v>
      </c>
      <c r="E110" s="216"/>
      <c r="F110" s="209">
        <v>2600</v>
      </c>
      <c r="G110" s="124"/>
      <c r="H110" s="124"/>
      <c r="I110" s="125"/>
      <c r="J110" s="35"/>
      <c r="K110" s="15"/>
      <c r="M110" s="114"/>
    </row>
    <row r="111" spans="1:13" ht="37.5" customHeight="1">
      <c r="A111" s="35"/>
      <c r="B111" s="250" t="s">
        <v>335</v>
      </c>
      <c r="C111" s="115" t="s">
        <v>124</v>
      </c>
      <c r="D111" s="217">
        <f t="shared" si="6"/>
        <v>2800</v>
      </c>
      <c r="E111" s="216"/>
      <c r="F111" s="209">
        <v>2800</v>
      </c>
      <c r="G111" s="124"/>
      <c r="H111" s="124"/>
      <c r="I111" s="125"/>
      <c r="J111" s="35"/>
      <c r="K111" s="15"/>
      <c r="M111" s="114"/>
    </row>
    <row r="112" spans="1:13" ht="36.75" customHeight="1">
      <c r="A112" s="35"/>
      <c r="B112" s="250" t="s">
        <v>336</v>
      </c>
      <c r="C112" s="115" t="s">
        <v>124</v>
      </c>
      <c r="D112" s="217">
        <f t="shared" si="6"/>
        <v>1755</v>
      </c>
      <c r="E112" s="216"/>
      <c r="F112" s="209">
        <v>1755</v>
      </c>
      <c r="G112" s="124"/>
      <c r="H112" s="124"/>
      <c r="I112" s="125"/>
      <c r="J112" s="35"/>
      <c r="K112" s="15"/>
      <c r="M112" s="114"/>
    </row>
    <row r="113" spans="1:13" ht="36" customHeight="1">
      <c r="A113" s="35"/>
      <c r="B113" s="250" t="s">
        <v>337</v>
      </c>
      <c r="C113" s="115" t="s">
        <v>124</v>
      </c>
      <c r="D113" s="217">
        <f t="shared" si="6"/>
        <v>3511</v>
      </c>
      <c r="E113" s="216"/>
      <c r="F113" s="209">
        <v>3511</v>
      </c>
      <c r="G113" s="124"/>
      <c r="H113" s="124"/>
      <c r="I113" s="125"/>
      <c r="J113" s="35"/>
      <c r="K113" s="15"/>
      <c r="M113" s="114"/>
    </row>
    <row r="114" spans="1:13" ht="52.5" customHeight="1">
      <c r="A114" s="35"/>
      <c r="B114" s="250" t="s">
        <v>338</v>
      </c>
      <c r="C114" s="115" t="s">
        <v>124</v>
      </c>
      <c r="D114" s="217">
        <f t="shared" si="6"/>
        <v>1260</v>
      </c>
      <c r="E114" s="216"/>
      <c r="F114" s="209">
        <v>1260</v>
      </c>
      <c r="G114" s="124"/>
      <c r="H114" s="124"/>
      <c r="I114" s="125"/>
      <c r="J114" s="35"/>
      <c r="K114" s="15"/>
      <c r="M114" s="114"/>
    </row>
    <row r="115" spans="1:13" ht="36.75" customHeight="1">
      <c r="A115" s="35"/>
      <c r="B115" s="250" t="s">
        <v>339</v>
      </c>
      <c r="C115" s="115" t="s">
        <v>124</v>
      </c>
      <c r="D115" s="217">
        <f t="shared" si="6"/>
        <v>667</v>
      </c>
      <c r="E115" s="216"/>
      <c r="F115" s="209">
        <v>667</v>
      </c>
      <c r="G115" s="124"/>
      <c r="H115" s="124"/>
      <c r="I115" s="125"/>
      <c r="J115" s="35"/>
      <c r="K115" s="15"/>
      <c r="M115" s="114"/>
    </row>
    <row r="116" spans="1:13" ht="35.25" customHeight="1">
      <c r="A116" s="35"/>
      <c r="B116" s="250" t="s">
        <v>340</v>
      </c>
      <c r="C116" s="115" t="s">
        <v>124</v>
      </c>
      <c r="D116" s="217">
        <f t="shared" si="6"/>
        <v>6.092</v>
      </c>
      <c r="E116" s="216"/>
      <c r="F116" s="209">
        <v>6.092</v>
      </c>
      <c r="G116" s="124"/>
      <c r="H116" s="124"/>
      <c r="I116" s="125"/>
      <c r="J116" s="35"/>
      <c r="K116" s="15"/>
      <c r="M116" s="114"/>
    </row>
    <row r="117" spans="1:13" ht="35.25" customHeight="1">
      <c r="A117" s="35"/>
      <c r="B117" s="250" t="s">
        <v>341</v>
      </c>
      <c r="C117" s="115" t="s">
        <v>124</v>
      </c>
      <c r="D117" s="217">
        <f t="shared" si="6"/>
        <v>7.38</v>
      </c>
      <c r="E117" s="216"/>
      <c r="F117" s="209">
        <v>7.38</v>
      </c>
      <c r="G117" s="124"/>
      <c r="H117" s="124"/>
      <c r="I117" s="125"/>
      <c r="J117" s="35"/>
      <c r="K117" s="15"/>
      <c r="M117" s="114"/>
    </row>
    <row r="118" spans="1:13" ht="35.25" customHeight="1">
      <c r="A118" s="35"/>
      <c r="B118" s="250" t="s">
        <v>342</v>
      </c>
      <c r="C118" s="115" t="s">
        <v>124</v>
      </c>
      <c r="D118" s="217">
        <f t="shared" si="6"/>
        <v>9.68</v>
      </c>
      <c r="E118" s="216"/>
      <c r="F118" s="209">
        <v>9.68</v>
      </c>
      <c r="G118" s="124"/>
      <c r="H118" s="124"/>
      <c r="I118" s="125"/>
      <c r="J118" s="35"/>
      <c r="K118" s="15"/>
      <c r="M118" s="114"/>
    </row>
    <row r="119" spans="1:13" ht="53.25" customHeight="1">
      <c r="A119" s="35"/>
      <c r="B119" s="250" t="s">
        <v>343</v>
      </c>
      <c r="C119" s="115" t="s">
        <v>124</v>
      </c>
      <c r="D119" s="217">
        <f t="shared" si="6"/>
        <v>257.38</v>
      </c>
      <c r="E119" s="216"/>
      <c r="F119" s="209">
        <v>257.38</v>
      </c>
      <c r="G119" s="124"/>
      <c r="H119" s="124"/>
      <c r="I119" s="125"/>
      <c r="J119" s="35"/>
      <c r="K119" s="15"/>
      <c r="M119" s="114"/>
    </row>
    <row r="120" spans="1:13" ht="53.25" customHeight="1">
      <c r="A120" s="35"/>
      <c r="B120" s="250" t="s">
        <v>344</v>
      </c>
      <c r="C120" s="115" t="s">
        <v>124</v>
      </c>
      <c r="D120" s="217">
        <f t="shared" si="6"/>
        <v>79.86</v>
      </c>
      <c r="E120" s="216"/>
      <c r="F120" s="209">
        <v>79.86</v>
      </c>
      <c r="G120" s="124"/>
      <c r="H120" s="124"/>
      <c r="I120" s="125"/>
      <c r="J120" s="35"/>
      <c r="K120" s="15"/>
      <c r="M120" s="114"/>
    </row>
    <row r="121" spans="1:13" ht="56.25" customHeight="1">
      <c r="A121" s="35"/>
      <c r="B121" s="250" t="s">
        <v>345</v>
      </c>
      <c r="C121" s="115" t="s">
        <v>124</v>
      </c>
      <c r="D121" s="217">
        <f t="shared" si="6"/>
        <v>746.83</v>
      </c>
      <c r="E121" s="216"/>
      <c r="F121" s="209">
        <v>746.83</v>
      </c>
      <c r="G121" s="124"/>
      <c r="H121" s="124"/>
      <c r="I121" s="125"/>
      <c r="J121" s="35"/>
      <c r="K121" s="15"/>
      <c r="M121" s="114"/>
    </row>
    <row r="122" spans="1:13" ht="37.5" customHeight="1">
      <c r="A122" s="35"/>
      <c r="B122" s="250" t="s">
        <v>346</v>
      </c>
      <c r="C122" s="115" t="s">
        <v>124</v>
      </c>
      <c r="D122" s="217">
        <f t="shared" si="6"/>
        <v>35.75</v>
      </c>
      <c r="E122" s="216"/>
      <c r="F122" s="209">
        <v>35.75</v>
      </c>
      <c r="G122" s="124"/>
      <c r="H122" s="124"/>
      <c r="I122" s="125"/>
      <c r="J122" s="35"/>
      <c r="K122" s="15"/>
      <c r="M122" s="114"/>
    </row>
    <row r="123" spans="1:13" ht="36" customHeight="1">
      <c r="A123" s="35"/>
      <c r="B123" s="250" t="s">
        <v>347</v>
      </c>
      <c r="C123" s="115" t="s">
        <v>124</v>
      </c>
      <c r="D123" s="217">
        <f t="shared" si="6"/>
        <v>15.4</v>
      </c>
      <c r="E123" s="216"/>
      <c r="F123" s="209">
        <v>15.4</v>
      </c>
      <c r="G123" s="124"/>
      <c r="H123" s="124"/>
      <c r="I123" s="125"/>
      <c r="J123" s="35"/>
      <c r="K123" s="15"/>
      <c r="M123" s="114"/>
    </row>
    <row r="124" spans="1:13" ht="36" customHeight="1">
      <c r="A124" s="35"/>
      <c r="B124" s="250" t="s">
        <v>348</v>
      </c>
      <c r="C124" s="115" t="s">
        <v>124</v>
      </c>
      <c r="D124" s="217">
        <f t="shared" si="6"/>
        <v>310</v>
      </c>
      <c r="E124" s="216"/>
      <c r="F124" s="209">
        <v>310</v>
      </c>
      <c r="G124" s="124"/>
      <c r="H124" s="124"/>
      <c r="I124" s="125"/>
      <c r="J124" s="35"/>
      <c r="K124" s="15"/>
      <c r="M124" s="114"/>
    </row>
    <row r="125" spans="1:13" ht="36" customHeight="1">
      <c r="A125" s="35"/>
      <c r="B125" s="250" t="s">
        <v>349</v>
      </c>
      <c r="C125" s="115" t="s">
        <v>124</v>
      </c>
      <c r="D125" s="217">
        <f t="shared" si="6"/>
        <v>92</v>
      </c>
      <c r="E125" s="216"/>
      <c r="F125" s="209">
        <v>92</v>
      </c>
      <c r="G125" s="124"/>
      <c r="H125" s="124"/>
      <c r="I125" s="125"/>
      <c r="J125" s="35"/>
      <c r="K125" s="15"/>
      <c r="M125" s="114"/>
    </row>
    <row r="126" spans="1:13" ht="36" customHeight="1">
      <c r="A126" s="35"/>
      <c r="B126" s="250" t="s">
        <v>350</v>
      </c>
      <c r="C126" s="115" t="s">
        <v>124</v>
      </c>
      <c r="D126" s="217">
        <f t="shared" si="6"/>
        <v>1715</v>
      </c>
      <c r="E126" s="216"/>
      <c r="F126" s="209">
        <v>1715</v>
      </c>
      <c r="G126" s="124"/>
      <c r="H126" s="124"/>
      <c r="I126" s="125"/>
      <c r="J126" s="35"/>
      <c r="K126" s="15"/>
      <c r="M126" s="114"/>
    </row>
    <row r="127" spans="1:13" ht="36" customHeight="1">
      <c r="A127" s="35"/>
      <c r="B127" s="250" t="s">
        <v>351</v>
      </c>
      <c r="C127" s="115" t="s">
        <v>124</v>
      </c>
      <c r="D127" s="217">
        <f t="shared" si="6"/>
        <v>2836.5</v>
      </c>
      <c r="E127" s="216"/>
      <c r="F127" s="209">
        <v>2836.5</v>
      </c>
      <c r="G127" s="124"/>
      <c r="H127" s="124"/>
      <c r="I127" s="125"/>
      <c r="J127" s="35"/>
      <c r="K127" s="15"/>
      <c r="M127" s="114"/>
    </row>
    <row r="128" spans="1:13" ht="41.25" customHeight="1">
      <c r="A128" s="35"/>
      <c r="B128" s="250" t="s">
        <v>352</v>
      </c>
      <c r="C128" s="115" t="s">
        <v>124</v>
      </c>
      <c r="D128" s="217">
        <f t="shared" si="6"/>
        <v>625</v>
      </c>
      <c r="E128" s="216"/>
      <c r="F128" s="209">
        <v>625</v>
      </c>
      <c r="G128" s="124"/>
      <c r="H128" s="124"/>
      <c r="I128" s="125"/>
      <c r="J128" s="35"/>
      <c r="K128" s="15"/>
      <c r="M128" s="114"/>
    </row>
    <row r="129" spans="1:13" ht="35.25" customHeight="1">
      <c r="A129" s="35"/>
      <c r="B129" s="419" t="s">
        <v>466</v>
      </c>
      <c r="C129" s="115" t="s">
        <v>124</v>
      </c>
      <c r="D129" s="217">
        <f t="shared" si="6"/>
        <v>0</v>
      </c>
      <c r="E129" s="216"/>
      <c r="F129" s="209">
        <f>1000-1000</f>
        <v>0</v>
      </c>
      <c r="G129" s="124"/>
      <c r="H129" s="124"/>
      <c r="I129" s="125"/>
      <c r="J129" s="35"/>
      <c r="K129" s="15"/>
      <c r="M129" s="114"/>
    </row>
    <row r="130" spans="1:13" ht="94.5" customHeight="1">
      <c r="A130" s="35"/>
      <c r="B130" s="419" t="s">
        <v>533</v>
      </c>
      <c r="C130" s="115" t="s">
        <v>124</v>
      </c>
      <c r="D130" s="217">
        <f t="shared" si="6"/>
        <v>100</v>
      </c>
      <c r="E130" s="216"/>
      <c r="F130" s="209">
        <v>100</v>
      </c>
      <c r="G130" s="124"/>
      <c r="H130" s="124"/>
      <c r="I130" s="125"/>
      <c r="J130" s="35"/>
      <c r="K130" s="15"/>
      <c r="M130" s="114"/>
    </row>
    <row r="131" spans="1:13" ht="56.25">
      <c r="A131" s="35">
        <v>8</v>
      </c>
      <c r="B131" s="128" t="s">
        <v>136</v>
      </c>
      <c r="C131" s="115"/>
      <c r="D131" s="129">
        <f aca="true" t="shared" si="7" ref="D131:D148">E131+F131+I131</f>
        <v>2112.7</v>
      </c>
      <c r="E131" s="262">
        <f>E132+E133+E134+E135+E136</f>
        <v>2112.7</v>
      </c>
      <c r="F131" s="262">
        <f>F132+F133+F134+F135+F136</f>
        <v>0</v>
      </c>
      <c r="G131" s="262">
        <f>G132+G133+G134+G135+G136</f>
        <v>0</v>
      </c>
      <c r="H131" s="262">
        <f>H132+H133+H134+H135+H136</f>
        <v>0</v>
      </c>
      <c r="I131" s="262">
        <f>I132+I133+I134+I135+I136</f>
        <v>0</v>
      </c>
      <c r="J131" s="35" t="s">
        <v>139</v>
      </c>
      <c r="K131" s="15"/>
      <c r="M131" s="114"/>
    </row>
    <row r="132" spans="1:13" ht="75">
      <c r="A132" s="35"/>
      <c r="B132" s="244" t="s">
        <v>229</v>
      </c>
      <c r="C132" s="115" t="s">
        <v>124</v>
      </c>
      <c r="D132" s="129">
        <f t="shared" si="7"/>
        <v>1568.6</v>
      </c>
      <c r="E132" s="207">
        <v>1568.6</v>
      </c>
      <c r="F132" s="210"/>
      <c r="G132" s="126"/>
      <c r="H132" s="126"/>
      <c r="I132" s="129"/>
      <c r="J132" s="35"/>
      <c r="K132" s="15"/>
      <c r="M132" s="114"/>
    </row>
    <row r="133" spans="1:13" ht="37.5">
      <c r="A133" s="35"/>
      <c r="B133" s="244" t="s">
        <v>140</v>
      </c>
      <c r="C133" s="115" t="s">
        <v>124</v>
      </c>
      <c r="D133" s="129">
        <f t="shared" si="7"/>
        <v>171.5</v>
      </c>
      <c r="E133" s="213">
        <v>171.5</v>
      </c>
      <c r="F133" s="210"/>
      <c r="G133" s="126"/>
      <c r="H133" s="126"/>
      <c r="I133" s="129"/>
      <c r="J133" s="35"/>
      <c r="K133" s="15"/>
      <c r="M133" s="114"/>
    </row>
    <row r="134" spans="1:13" ht="56.25">
      <c r="A134" s="35"/>
      <c r="B134" s="244" t="s">
        <v>141</v>
      </c>
      <c r="C134" s="115" t="s">
        <v>124</v>
      </c>
      <c r="D134" s="129">
        <f t="shared" si="7"/>
        <v>107.7</v>
      </c>
      <c r="E134" s="207">
        <v>107.7</v>
      </c>
      <c r="F134" s="210"/>
      <c r="G134" s="126"/>
      <c r="H134" s="126"/>
      <c r="I134" s="129"/>
      <c r="J134" s="35"/>
      <c r="K134" s="15"/>
      <c r="M134" s="114"/>
    </row>
    <row r="135" spans="1:13" ht="56.25">
      <c r="A135" s="35"/>
      <c r="B135" s="244" t="s">
        <v>142</v>
      </c>
      <c r="C135" s="115" t="s">
        <v>124</v>
      </c>
      <c r="D135" s="129">
        <f t="shared" si="7"/>
        <v>182.8</v>
      </c>
      <c r="E135" s="207">
        <v>182.8</v>
      </c>
      <c r="F135" s="210"/>
      <c r="G135" s="126"/>
      <c r="H135" s="126"/>
      <c r="I135" s="129"/>
      <c r="J135" s="35"/>
      <c r="K135" s="15"/>
      <c r="M135" s="114"/>
    </row>
    <row r="136" spans="1:13" ht="56.25">
      <c r="A136" s="35"/>
      <c r="B136" s="244" t="s">
        <v>143</v>
      </c>
      <c r="C136" s="115" t="s">
        <v>124</v>
      </c>
      <c r="D136" s="129">
        <f t="shared" si="7"/>
        <v>82.1</v>
      </c>
      <c r="E136" s="207">
        <v>82.1</v>
      </c>
      <c r="F136" s="210"/>
      <c r="G136" s="126"/>
      <c r="H136" s="126"/>
      <c r="I136" s="129"/>
      <c r="J136" s="35"/>
      <c r="K136" s="15"/>
      <c r="M136" s="114"/>
    </row>
    <row r="137" spans="1:13" ht="56.25">
      <c r="A137" s="35">
        <v>9</v>
      </c>
      <c r="B137" s="130" t="s">
        <v>65</v>
      </c>
      <c r="C137" s="115"/>
      <c r="D137" s="211">
        <f>E137+F137+I137</f>
        <v>1162.4</v>
      </c>
      <c r="E137" s="212">
        <f>E138+E139+E141</f>
        <v>559.4</v>
      </c>
      <c r="F137" s="212">
        <f>F138+F139+F141+F140+F142+F143</f>
        <v>603</v>
      </c>
      <c r="G137" s="212">
        <f>G138+G139+G141+G140+G142+G143</f>
        <v>0</v>
      </c>
      <c r="H137" s="212">
        <f>H138+H139+H141+H140+H142+H143</f>
        <v>0</v>
      </c>
      <c r="I137" s="212">
        <f>I138+I139+I141+I140+I142+I143</f>
        <v>0</v>
      </c>
      <c r="J137" s="35" t="s">
        <v>66</v>
      </c>
      <c r="K137" s="15"/>
      <c r="M137" s="114"/>
    </row>
    <row r="138" spans="1:13" ht="84.75" customHeight="1">
      <c r="A138" s="35"/>
      <c r="B138" s="244" t="s">
        <v>137</v>
      </c>
      <c r="C138" s="115" t="s">
        <v>124</v>
      </c>
      <c r="D138" s="211">
        <f t="shared" si="7"/>
        <v>47</v>
      </c>
      <c r="E138" s="266">
        <v>47</v>
      </c>
      <c r="F138" s="210"/>
      <c r="G138" s="126"/>
      <c r="H138" s="126"/>
      <c r="I138" s="125"/>
      <c r="J138" s="35"/>
      <c r="K138" s="15"/>
      <c r="M138" s="114"/>
    </row>
    <row r="139" spans="1:13" ht="45" customHeight="1">
      <c r="A139" s="35"/>
      <c r="B139" s="244" t="s">
        <v>138</v>
      </c>
      <c r="C139" s="115" t="s">
        <v>124</v>
      </c>
      <c r="D139" s="211">
        <f t="shared" si="7"/>
        <v>12.4</v>
      </c>
      <c r="E139" s="266">
        <v>12.4</v>
      </c>
      <c r="F139" s="210"/>
      <c r="G139" s="126"/>
      <c r="H139" s="126"/>
      <c r="I139" s="125"/>
      <c r="J139" s="35"/>
      <c r="K139" s="15"/>
      <c r="M139" s="114"/>
    </row>
    <row r="140" spans="1:13" ht="45" customHeight="1">
      <c r="A140" s="35"/>
      <c r="B140" s="244" t="s">
        <v>332</v>
      </c>
      <c r="C140" s="115" t="s">
        <v>124</v>
      </c>
      <c r="D140" s="211">
        <f t="shared" si="7"/>
        <v>540</v>
      </c>
      <c r="E140" s="266"/>
      <c r="F140" s="210">
        <f>540-20.8-42.2+63</f>
        <v>540</v>
      </c>
      <c r="G140" s="126"/>
      <c r="H140" s="126"/>
      <c r="I140" s="125"/>
      <c r="J140" s="35"/>
      <c r="K140" s="15"/>
      <c r="M140" s="114"/>
    </row>
    <row r="141" spans="1:13" ht="45" customHeight="1">
      <c r="A141" s="35"/>
      <c r="B141" s="244" t="s">
        <v>243</v>
      </c>
      <c r="C141" s="115" t="s">
        <v>124</v>
      </c>
      <c r="D141" s="211">
        <f t="shared" si="7"/>
        <v>500</v>
      </c>
      <c r="E141" s="266">
        <v>500</v>
      </c>
      <c r="F141" s="210"/>
      <c r="G141" s="126"/>
      <c r="H141" s="126"/>
      <c r="I141" s="125"/>
      <c r="J141" s="35"/>
      <c r="K141" s="15"/>
      <c r="M141" s="114"/>
    </row>
    <row r="142" spans="1:13" ht="45" customHeight="1">
      <c r="A142" s="35"/>
      <c r="B142" s="244" t="s">
        <v>383</v>
      </c>
      <c r="C142" s="263"/>
      <c r="D142" s="211">
        <f t="shared" si="7"/>
        <v>20.8</v>
      </c>
      <c r="E142" s="266"/>
      <c r="F142" s="210">
        <v>20.8</v>
      </c>
      <c r="G142" s="126"/>
      <c r="H142" s="126"/>
      <c r="I142" s="125"/>
      <c r="J142" s="35"/>
      <c r="K142" s="15"/>
      <c r="M142" s="114"/>
    </row>
    <row r="143" spans="1:13" ht="45" customHeight="1">
      <c r="A143" s="35"/>
      <c r="B143" s="244" t="s">
        <v>384</v>
      </c>
      <c r="C143" s="263"/>
      <c r="D143" s="211">
        <f t="shared" si="7"/>
        <v>42.2</v>
      </c>
      <c r="E143" s="266"/>
      <c r="F143" s="210">
        <v>42.2</v>
      </c>
      <c r="G143" s="126"/>
      <c r="H143" s="126"/>
      <c r="I143" s="125"/>
      <c r="J143" s="35"/>
      <c r="K143" s="15"/>
      <c r="M143" s="114"/>
    </row>
    <row r="144" spans="1:13" ht="53.25" customHeight="1">
      <c r="A144" s="35">
        <v>10</v>
      </c>
      <c r="B144" s="130" t="s">
        <v>231</v>
      </c>
      <c r="C144" s="263"/>
      <c r="D144" s="211">
        <f t="shared" si="7"/>
        <v>30680</v>
      </c>
      <c r="E144" s="265">
        <f>E145+E146+E147+E148</f>
        <v>30680</v>
      </c>
      <c r="F144" s="265">
        <f>F145+F146+F147+F148</f>
        <v>0</v>
      </c>
      <c r="G144" s="265">
        <f>G145+G146+G147+G148</f>
        <v>0</v>
      </c>
      <c r="H144" s="265">
        <f>H145+H146+H147+H148</f>
        <v>0</v>
      </c>
      <c r="I144" s="265">
        <f>I145+I146+I147+I148</f>
        <v>0</v>
      </c>
      <c r="J144" s="35" t="s">
        <v>236</v>
      </c>
      <c r="K144" s="15"/>
      <c r="M144" s="114"/>
    </row>
    <row r="145" spans="1:13" ht="39.75" customHeight="1">
      <c r="A145" s="35"/>
      <c r="B145" s="264" t="s">
        <v>232</v>
      </c>
      <c r="C145" s="115" t="s">
        <v>124</v>
      </c>
      <c r="D145" s="211">
        <f t="shared" si="7"/>
        <v>15500</v>
      </c>
      <c r="E145" s="267">
        <v>15500</v>
      </c>
      <c r="F145" s="210"/>
      <c r="G145" s="126"/>
      <c r="H145" s="126"/>
      <c r="I145" s="125"/>
      <c r="J145" s="35"/>
      <c r="K145" s="15"/>
      <c r="M145" s="114"/>
    </row>
    <row r="146" spans="1:13" ht="42" customHeight="1">
      <c r="A146" s="35"/>
      <c r="B146" s="264" t="s">
        <v>233</v>
      </c>
      <c r="C146" s="115" t="s">
        <v>124</v>
      </c>
      <c r="D146" s="211">
        <f t="shared" si="7"/>
        <v>4700</v>
      </c>
      <c r="E146" s="267">
        <v>4700</v>
      </c>
      <c r="F146" s="210"/>
      <c r="G146" s="126"/>
      <c r="H146" s="126"/>
      <c r="I146" s="125"/>
      <c r="J146" s="35"/>
      <c r="K146" s="15"/>
      <c r="M146" s="114"/>
    </row>
    <row r="147" spans="1:13" ht="40.5" customHeight="1">
      <c r="A147" s="35"/>
      <c r="B147" s="264" t="s">
        <v>234</v>
      </c>
      <c r="C147" s="115" t="s">
        <v>124</v>
      </c>
      <c r="D147" s="211">
        <f t="shared" si="7"/>
        <v>4780</v>
      </c>
      <c r="E147" s="266">
        <v>4780</v>
      </c>
      <c r="F147" s="210"/>
      <c r="G147" s="126"/>
      <c r="H147" s="126"/>
      <c r="I147" s="125"/>
      <c r="J147" s="35"/>
      <c r="K147" s="15"/>
      <c r="M147" s="114"/>
    </row>
    <row r="148" spans="1:13" ht="37.5" customHeight="1">
      <c r="A148" s="35"/>
      <c r="B148" s="264" t="s">
        <v>235</v>
      </c>
      <c r="C148" s="115" t="s">
        <v>124</v>
      </c>
      <c r="D148" s="211">
        <f t="shared" si="7"/>
        <v>5700</v>
      </c>
      <c r="E148" s="266">
        <v>5700</v>
      </c>
      <c r="F148" s="210"/>
      <c r="G148" s="126"/>
      <c r="H148" s="126"/>
      <c r="I148" s="125"/>
      <c r="J148" s="35"/>
      <c r="K148" s="15"/>
      <c r="M148" s="114"/>
    </row>
    <row r="149" spans="1:11" ht="20.25">
      <c r="A149" s="69"/>
      <c r="B149" s="254" t="s">
        <v>5</v>
      </c>
      <c r="C149" s="131"/>
      <c r="D149" s="255">
        <f>D137+D131+D76+D69+D45+D40+D31+D23+D16+D144</f>
        <v>216036.67200000002</v>
      </c>
      <c r="E149" s="255">
        <f>E137+E131+E76+E69+E45+E40+E31+E23+E16+E144</f>
        <v>127913.40000000001</v>
      </c>
      <c r="F149" s="132">
        <f>F144+F137+F131+F76+F69+F45+F40+F31+F23+F16</f>
        <v>88123.272</v>
      </c>
      <c r="G149" s="132">
        <f>G144+G137+G131+G76+G69+G45+G40+G31+G23+G16</f>
        <v>0</v>
      </c>
      <c r="H149" s="132">
        <f>H144+H137+H131+H76+H69+H45+H40+H31+H23+H16</f>
        <v>0</v>
      </c>
      <c r="I149" s="132">
        <f>I144+I137+I131+I76+I69+I45+I40+I31+I23+I16+I46+I70</f>
        <v>7297.4</v>
      </c>
      <c r="J149" s="71"/>
      <c r="K149" s="15"/>
    </row>
    <row r="150" spans="1:11" ht="15.75">
      <c r="A150" s="133"/>
      <c r="B150" s="134"/>
      <c r="C150" s="134"/>
      <c r="D150" s="135"/>
      <c r="E150" s="135"/>
      <c r="F150" s="135"/>
      <c r="G150" s="135"/>
      <c r="H150" s="135"/>
      <c r="I150" s="135"/>
      <c r="J150" s="20"/>
      <c r="K150" s="15"/>
    </row>
    <row r="151" spans="1:11" ht="15.75">
      <c r="A151" s="133"/>
      <c r="B151" s="134"/>
      <c r="C151" s="18"/>
      <c r="D151" s="19"/>
      <c r="E151" s="19"/>
      <c r="F151" s="19"/>
      <c r="G151" s="19"/>
      <c r="H151" s="19"/>
      <c r="I151" s="19"/>
      <c r="J151" s="20"/>
      <c r="K151" s="15"/>
    </row>
    <row r="152" spans="2:11" ht="15.75">
      <c r="B152" s="134"/>
      <c r="C152" s="18"/>
      <c r="D152" s="19"/>
      <c r="E152" s="19"/>
      <c r="F152" s="19"/>
      <c r="G152" s="19"/>
      <c r="H152" s="19"/>
      <c r="I152" s="19"/>
      <c r="J152" s="20"/>
      <c r="K152" s="15"/>
    </row>
    <row r="153" spans="2:11" ht="30.75" customHeight="1">
      <c r="B153" s="748" t="s">
        <v>18</v>
      </c>
      <c r="C153" s="748"/>
      <c r="D153" s="352"/>
      <c r="E153" s="352"/>
      <c r="F153" s="22"/>
      <c r="I153" s="23"/>
      <c r="J153" s="23" t="s">
        <v>30</v>
      </c>
      <c r="K153" s="23"/>
    </row>
    <row r="154" spans="2:11" ht="16.5" customHeight="1">
      <c r="B154" s="230"/>
      <c r="C154" s="352"/>
      <c r="D154" s="352"/>
      <c r="E154" s="352"/>
      <c r="F154" s="22"/>
      <c r="I154" s="23"/>
      <c r="J154" s="23"/>
      <c r="K154" s="23"/>
    </row>
    <row r="155" spans="2:11" ht="18.75">
      <c r="B155" s="230"/>
      <c r="C155" s="352"/>
      <c r="D155" s="352"/>
      <c r="E155" s="352"/>
      <c r="F155" s="22"/>
      <c r="I155" s="23"/>
      <c r="J155" s="23"/>
      <c r="K155" s="23"/>
    </row>
    <row r="156" spans="2:10" ht="18.75">
      <c r="B156" s="777" t="s">
        <v>558</v>
      </c>
      <c r="C156" s="777"/>
      <c r="D156" s="25"/>
      <c r="E156" s="25"/>
      <c r="F156" s="26"/>
      <c r="G156" s="26"/>
      <c r="H156" s="26"/>
      <c r="I156" s="15"/>
      <c r="J156" s="15"/>
    </row>
    <row r="157" spans="2:12" ht="15.75" customHeight="1">
      <c r="B157" s="323" t="s">
        <v>10</v>
      </c>
      <c r="C157" s="17"/>
      <c r="D157" s="26"/>
      <c r="E157" s="26"/>
      <c r="F157" s="26"/>
      <c r="G157" s="26"/>
      <c r="H157" s="26"/>
      <c r="I157" s="15"/>
      <c r="J157" s="15"/>
      <c r="L157" s="12"/>
    </row>
    <row r="158" spans="2:10" ht="15.75">
      <c r="B158" s="137"/>
      <c r="C158" s="29"/>
      <c r="D158" s="30"/>
      <c r="E158" s="30"/>
      <c r="F158" s="26"/>
      <c r="G158" s="26"/>
      <c r="H158" s="26"/>
      <c r="I158" s="15"/>
      <c r="J158" s="15"/>
    </row>
    <row r="159" spans="3:9" ht="15.75">
      <c r="C159" s="30"/>
      <c r="D159" s="26"/>
      <c r="E159" s="26"/>
      <c r="F159" s="26"/>
      <c r="G159" s="26"/>
      <c r="H159" s="26"/>
      <c r="I159" s="26"/>
    </row>
    <row r="160" spans="3:9" ht="15.75">
      <c r="C160" s="31"/>
      <c r="D160" s="26"/>
      <c r="E160" s="26"/>
      <c r="F160" s="26"/>
      <c r="G160" s="26"/>
      <c r="H160" s="26"/>
      <c r="I160" s="26"/>
    </row>
    <row r="162" ht="12.75">
      <c r="H162" s="138"/>
    </row>
  </sheetData>
  <sheetProtection/>
  <mergeCells count="34">
    <mergeCell ref="B153:C153"/>
    <mergeCell ref="B156:C156"/>
    <mergeCell ref="E13:I13"/>
    <mergeCell ref="D12:H12"/>
    <mergeCell ref="I1:J1"/>
    <mergeCell ref="I2:J2"/>
    <mergeCell ref="E14:E15"/>
    <mergeCell ref="F14:H15"/>
    <mergeCell ref="I9:J9"/>
    <mergeCell ref="A11:J11"/>
    <mergeCell ref="A13:A15"/>
    <mergeCell ref="B13:B15"/>
    <mergeCell ref="C13:C15"/>
    <mergeCell ref="J13:J15"/>
    <mergeCell ref="I14:I15"/>
    <mergeCell ref="D13:D15"/>
    <mergeCell ref="A45:A46"/>
    <mergeCell ref="B45:B46"/>
    <mergeCell ref="J45:J46"/>
    <mergeCell ref="A47:A48"/>
    <mergeCell ref="B47:B48"/>
    <mergeCell ref="J47:J48"/>
    <mergeCell ref="A53:A54"/>
    <mergeCell ref="B53:B54"/>
    <mergeCell ref="A58:A59"/>
    <mergeCell ref="B58:B59"/>
    <mergeCell ref="J58:J59"/>
    <mergeCell ref="J53:J54"/>
    <mergeCell ref="A69:A70"/>
    <mergeCell ref="B69:B70"/>
    <mergeCell ref="J69:J70"/>
    <mergeCell ref="A74:A75"/>
    <mergeCell ref="B74:B75"/>
    <mergeCell ref="J74:J75"/>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dimension ref="A2:L51"/>
  <sheetViews>
    <sheetView zoomScale="75" zoomScaleNormal="75" zoomScalePageLayoutView="0" workbookViewId="0" topLeftCell="A1">
      <selection activeCell="F11" sqref="F11"/>
    </sheetView>
  </sheetViews>
  <sheetFormatPr defaultColWidth="9.140625" defaultRowHeight="12.75"/>
  <cols>
    <col min="1" max="1" width="11.00390625" style="324" customWidth="1"/>
    <col min="2" max="2" width="61.57421875" style="324" customWidth="1"/>
    <col min="3" max="3" width="13.421875" style="324" hidden="1" customWidth="1"/>
    <col min="4" max="4" width="16.421875" style="324" customWidth="1"/>
    <col min="5" max="6" width="15.7109375" style="324" customWidth="1"/>
    <col min="7" max="7" width="47.8515625" style="324" customWidth="1"/>
    <col min="8" max="8" width="65.57421875" style="324" customWidth="1"/>
    <col min="9" max="9" width="15.7109375" style="324" customWidth="1"/>
    <col min="10" max="10" width="16.00390625" style="324" customWidth="1"/>
    <col min="11" max="11" width="14.140625" style="324" customWidth="1"/>
    <col min="12" max="12" width="12.421875" style="324" hidden="1" customWidth="1"/>
    <col min="13" max="13" width="14.8515625" style="324" customWidth="1"/>
    <col min="14" max="14" width="14.28125" style="324" customWidth="1"/>
    <col min="15" max="15" width="27.7109375" style="324" customWidth="1"/>
    <col min="16" max="16" width="19.140625" style="324" customWidth="1"/>
    <col min="17" max="17" width="15.140625" style="324" customWidth="1"/>
    <col min="18" max="18" width="14.140625" style="324" customWidth="1"/>
    <col min="19" max="19" width="17.28125" style="324" customWidth="1"/>
    <col min="20" max="20" width="13.8515625" style="324" customWidth="1"/>
  </cols>
  <sheetData>
    <row r="1" ht="11.25" customHeight="1"/>
    <row r="2" spans="1:12" s="324" customFormat="1" ht="42" customHeight="1">
      <c r="A2" s="747" t="s">
        <v>604</v>
      </c>
      <c r="B2" s="747"/>
      <c r="C2" s="747"/>
      <c r="D2" s="747"/>
      <c r="E2" s="747"/>
      <c r="F2" s="747"/>
      <c r="G2" s="747"/>
      <c r="H2" s="747"/>
      <c r="I2" s="346"/>
      <c r="J2" s="346"/>
      <c r="K2" s="346"/>
      <c r="L2" s="346"/>
    </row>
    <row r="3" spans="1:12" s="324" customFormat="1" ht="12.75" customHeight="1">
      <c r="A3" s="312"/>
      <c r="B3" s="312"/>
      <c r="C3" s="312"/>
      <c r="D3" s="347"/>
      <c r="E3" s="312"/>
      <c r="F3" s="312"/>
      <c r="G3" s="346"/>
      <c r="H3" s="411" t="s">
        <v>391</v>
      </c>
      <c r="I3" s="346"/>
      <c r="J3" s="346"/>
      <c r="K3" s="346"/>
      <c r="L3" s="346"/>
    </row>
    <row r="4" spans="1:12" s="324" customFormat="1" ht="6" customHeight="1">
      <c r="A4" s="312"/>
      <c r="B4" s="312"/>
      <c r="C4" s="312"/>
      <c r="D4" s="347"/>
      <c r="E4" s="312"/>
      <c r="F4" s="312"/>
      <c r="G4" s="346"/>
      <c r="H4" s="346"/>
      <c r="I4" s="346"/>
      <c r="J4" s="346"/>
      <c r="K4" s="346"/>
      <c r="L4" s="346"/>
    </row>
    <row r="5" spans="1:12" s="324" customFormat="1" ht="37.5" customHeight="1">
      <c r="A5" s="754" t="s">
        <v>6</v>
      </c>
      <c r="B5" s="736" t="s">
        <v>120</v>
      </c>
      <c r="C5" s="736" t="s">
        <v>13</v>
      </c>
      <c r="D5" s="364" t="s">
        <v>315</v>
      </c>
      <c r="E5" s="392" t="s">
        <v>316</v>
      </c>
      <c r="F5" s="736" t="s">
        <v>386</v>
      </c>
      <c r="G5" s="736" t="s">
        <v>385</v>
      </c>
      <c r="H5" s="400" t="s">
        <v>317</v>
      </c>
      <c r="I5" s="346"/>
      <c r="J5" s="346"/>
      <c r="K5" s="346"/>
      <c r="L5" s="346"/>
    </row>
    <row r="6" spans="1:12" s="324" customFormat="1" ht="15" customHeight="1">
      <c r="A6" s="754"/>
      <c r="B6" s="737"/>
      <c r="C6" s="737"/>
      <c r="D6" s="736">
        <v>2020</v>
      </c>
      <c r="E6" s="736">
        <v>2020</v>
      </c>
      <c r="F6" s="737"/>
      <c r="G6" s="737"/>
      <c r="H6" s="393"/>
      <c r="I6" s="346"/>
      <c r="J6" s="346"/>
      <c r="K6" s="346"/>
      <c r="L6" s="346"/>
    </row>
    <row r="7" spans="1:12" s="324" customFormat="1" ht="15" customHeight="1">
      <c r="A7" s="754"/>
      <c r="B7" s="738"/>
      <c r="C7" s="738"/>
      <c r="D7" s="738"/>
      <c r="E7" s="738"/>
      <c r="F7" s="738"/>
      <c r="G7" s="738"/>
      <c r="H7" s="394"/>
      <c r="I7" s="346"/>
      <c r="J7" s="346"/>
      <c r="K7" s="346"/>
      <c r="L7" s="346"/>
    </row>
    <row r="8" spans="1:12" s="324" customFormat="1" ht="62.25" customHeight="1">
      <c r="A8" s="220">
        <v>1</v>
      </c>
      <c r="B8" s="158" t="s">
        <v>524</v>
      </c>
      <c r="C8" s="160" t="s">
        <v>16</v>
      </c>
      <c r="D8" s="326">
        <v>538515.7</v>
      </c>
      <c r="E8" s="326">
        <v>547190.7</v>
      </c>
      <c r="F8" s="326">
        <f>E8-D8</f>
        <v>8675</v>
      </c>
      <c r="G8" s="755" t="s">
        <v>615</v>
      </c>
      <c r="H8" s="752" t="s">
        <v>616</v>
      </c>
      <c r="I8" s="346"/>
      <c r="J8" s="346"/>
      <c r="K8" s="346"/>
      <c r="L8" s="346"/>
    </row>
    <row r="9" spans="1:12" s="324" customFormat="1" ht="58.5" customHeight="1">
      <c r="A9" s="281" t="s">
        <v>248</v>
      </c>
      <c r="B9" s="468" t="s">
        <v>548</v>
      </c>
      <c r="C9" s="160"/>
      <c r="D9" s="470">
        <v>137742</v>
      </c>
      <c r="E9" s="470">
        <v>145417</v>
      </c>
      <c r="F9" s="470">
        <f aca="true" t="shared" si="0" ref="F9:F36">E9-D9</f>
        <v>7675</v>
      </c>
      <c r="G9" s="756"/>
      <c r="H9" s="751"/>
      <c r="I9" s="346"/>
      <c r="J9" s="346"/>
      <c r="K9" s="346"/>
      <c r="L9" s="346"/>
    </row>
    <row r="10" spans="1:12" s="324" customFormat="1" ht="51" customHeight="1">
      <c r="A10" s="281" t="s">
        <v>260</v>
      </c>
      <c r="B10" s="468" t="s">
        <v>549</v>
      </c>
      <c r="C10" s="476"/>
      <c r="D10" s="470">
        <v>3000</v>
      </c>
      <c r="E10" s="470">
        <v>4000</v>
      </c>
      <c r="F10" s="470">
        <f t="shared" si="0"/>
        <v>1000</v>
      </c>
      <c r="G10" s="757"/>
      <c r="H10" s="479"/>
      <c r="I10" s="346"/>
      <c r="J10" s="346"/>
      <c r="K10" s="346"/>
      <c r="L10" s="346"/>
    </row>
    <row r="11" spans="1:12" s="324" customFormat="1" ht="81" customHeight="1">
      <c r="A11" s="281" t="s">
        <v>601</v>
      </c>
      <c r="B11" s="158" t="s">
        <v>527</v>
      </c>
      <c r="C11" s="476"/>
      <c r="D11" s="326">
        <v>24960</v>
      </c>
      <c r="E11" s="326">
        <v>24963</v>
      </c>
      <c r="F11" s="326">
        <f t="shared" si="0"/>
        <v>3</v>
      </c>
      <c r="G11" s="477" t="s">
        <v>617</v>
      </c>
      <c r="H11" s="752" t="s">
        <v>618</v>
      </c>
      <c r="I11" s="346"/>
      <c r="J11" s="346"/>
      <c r="K11" s="346"/>
      <c r="L11" s="346"/>
    </row>
    <row r="12" spans="1:12" s="324" customFormat="1" ht="60" customHeight="1">
      <c r="A12" s="281" t="s">
        <v>356</v>
      </c>
      <c r="B12" s="468" t="s">
        <v>187</v>
      </c>
      <c r="C12" s="476"/>
      <c r="D12" s="470">
        <v>10</v>
      </c>
      <c r="E12" s="470">
        <v>13</v>
      </c>
      <c r="F12" s="470">
        <f t="shared" si="0"/>
        <v>3</v>
      </c>
      <c r="G12" s="477"/>
      <c r="H12" s="751"/>
      <c r="I12" s="346"/>
      <c r="J12" s="346"/>
      <c r="K12" s="346"/>
      <c r="L12" s="346"/>
    </row>
    <row r="13" spans="1:12" s="324" customFormat="1" ht="63.75" customHeight="1">
      <c r="A13" s="281" t="s">
        <v>557</v>
      </c>
      <c r="B13" s="158" t="s">
        <v>529</v>
      </c>
      <c r="C13" s="423"/>
      <c r="D13" s="326">
        <v>5803.292</v>
      </c>
      <c r="E13" s="326">
        <v>6155.592</v>
      </c>
      <c r="F13" s="489">
        <f>E13-D13</f>
        <v>352.2999999999993</v>
      </c>
      <c r="G13" s="457" t="s">
        <v>556</v>
      </c>
      <c r="H13" s="752" t="s">
        <v>619</v>
      </c>
      <c r="I13" s="346"/>
      <c r="J13" s="346"/>
      <c r="K13" s="346"/>
      <c r="L13" s="346"/>
    </row>
    <row r="14" spans="1:12" s="324" customFormat="1" ht="69" customHeight="1">
      <c r="A14" s="467" t="s">
        <v>460</v>
      </c>
      <c r="B14" s="468" t="s">
        <v>614</v>
      </c>
      <c r="C14" s="469"/>
      <c r="D14" s="470">
        <v>0</v>
      </c>
      <c r="E14" s="470">
        <v>4.3</v>
      </c>
      <c r="F14" s="490">
        <f t="shared" si="0"/>
        <v>4.3</v>
      </c>
      <c r="G14" s="477" t="s">
        <v>477</v>
      </c>
      <c r="H14" s="751"/>
      <c r="I14" s="346"/>
      <c r="J14" s="346"/>
      <c r="K14" s="346"/>
      <c r="L14" s="346"/>
    </row>
    <row r="15" spans="1:12" s="324" customFormat="1" ht="51" customHeight="1">
      <c r="A15" s="467" t="s">
        <v>514</v>
      </c>
      <c r="B15" s="468" t="s">
        <v>620</v>
      </c>
      <c r="C15" s="469"/>
      <c r="D15" s="470">
        <v>0</v>
      </c>
      <c r="E15" s="470">
        <v>79</v>
      </c>
      <c r="F15" s="490">
        <f t="shared" si="0"/>
        <v>79</v>
      </c>
      <c r="G15" s="477"/>
      <c r="H15" s="751"/>
      <c r="I15" s="346"/>
      <c r="J15" s="346"/>
      <c r="K15" s="346"/>
      <c r="L15" s="346"/>
    </row>
    <row r="16" spans="1:12" s="324" customFormat="1" ht="69" customHeight="1">
      <c r="A16" s="467" t="s">
        <v>623</v>
      </c>
      <c r="B16" s="468" t="s">
        <v>621</v>
      </c>
      <c r="C16" s="469"/>
      <c r="D16" s="470">
        <v>0</v>
      </c>
      <c r="E16" s="470">
        <v>190</v>
      </c>
      <c r="F16" s="490">
        <f t="shared" si="0"/>
        <v>190</v>
      </c>
      <c r="G16" s="477"/>
      <c r="H16" s="751"/>
      <c r="I16" s="346"/>
      <c r="J16" s="346"/>
      <c r="K16" s="346"/>
      <c r="L16" s="346"/>
    </row>
    <row r="17" spans="1:12" s="324" customFormat="1" ht="48.75" customHeight="1">
      <c r="A17" s="467" t="s">
        <v>624</v>
      </c>
      <c r="B17" s="468" t="s">
        <v>622</v>
      </c>
      <c r="C17" s="469"/>
      <c r="D17" s="470">
        <v>0</v>
      </c>
      <c r="E17" s="470">
        <v>40</v>
      </c>
      <c r="F17" s="490">
        <f t="shared" si="0"/>
        <v>40</v>
      </c>
      <c r="G17" s="477"/>
      <c r="H17" s="480"/>
      <c r="I17" s="346"/>
      <c r="J17" s="346"/>
      <c r="K17" s="346"/>
      <c r="L17" s="346"/>
    </row>
    <row r="18" spans="1:12" s="324" customFormat="1" ht="48.75" customHeight="1">
      <c r="A18" s="467" t="s">
        <v>641</v>
      </c>
      <c r="B18" s="468" t="s">
        <v>642</v>
      </c>
      <c r="C18" s="469"/>
      <c r="D18" s="470">
        <v>0</v>
      </c>
      <c r="E18" s="470">
        <v>39</v>
      </c>
      <c r="F18" s="490">
        <f t="shared" si="0"/>
        <v>39</v>
      </c>
      <c r="G18" s="488"/>
      <c r="H18" s="479"/>
      <c r="I18" s="346"/>
      <c r="J18" s="346"/>
      <c r="K18" s="346"/>
      <c r="L18" s="346"/>
    </row>
    <row r="19" spans="1:12" s="324" customFormat="1" ht="60.75" customHeight="1">
      <c r="A19" s="467" t="s">
        <v>625</v>
      </c>
      <c r="B19" s="158" t="s">
        <v>627</v>
      </c>
      <c r="C19" s="469"/>
      <c r="D19" s="326">
        <v>37075</v>
      </c>
      <c r="E19" s="326">
        <v>46361</v>
      </c>
      <c r="F19" s="326">
        <f t="shared" si="0"/>
        <v>9286</v>
      </c>
      <c r="G19" s="483"/>
      <c r="H19" s="480"/>
      <c r="I19" s="346"/>
      <c r="J19" s="346"/>
      <c r="K19" s="346"/>
      <c r="L19" s="346"/>
    </row>
    <row r="20" spans="1:12" s="324" customFormat="1" ht="48.75" customHeight="1">
      <c r="A20" s="467" t="s">
        <v>476</v>
      </c>
      <c r="B20" s="468" t="s">
        <v>626</v>
      </c>
      <c r="C20" s="469"/>
      <c r="D20" s="470">
        <v>0</v>
      </c>
      <c r="E20" s="470">
        <v>80</v>
      </c>
      <c r="F20" s="326">
        <f t="shared" si="0"/>
        <v>80</v>
      </c>
      <c r="G20" s="483" t="s">
        <v>501</v>
      </c>
      <c r="H20" s="751" t="s">
        <v>633</v>
      </c>
      <c r="I20" s="346"/>
      <c r="J20" s="346"/>
      <c r="K20" s="346"/>
      <c r="L20" s="346"/>
    </row>
    <row r="21" spans="1:12" s="324" customFormat="1" ht="48.75" customHeight="1">
      <c r="A21" s="467" t="s">
        <v>629</v>
      </c>
      <c r="B21" s="468" t="s">
        <v>253</v>
      </c>
      <c r="C21" s="469"/>
      <c r="D21" s="470">
        <v>0</v>
      </c>
      <c r="E21" s="470">
        <v>1021</v>
      </c>
      <c r="F21" s="326">
        <f t="shared" si="0"/>
        <v>1021</v>
      </c>
      <c r="G21" s="483"/>
      <c r="H21" s="751"/>
      <c r="I21" s="346"/>
      <c r="J21" s="346"/>
      <c r="K21" s="346"/>
      <c r="L21" s="346"/>
    </row>
    <row r="22" spans="1:12" s="324" customFormat="1" ht="48.75" customHeight="1">
      <c r="A22" s="467" t="s">
        <v>630</v>
      </c>
      <c r="B22" s="468" t="s">
        <v>254</v>
      </c>
      <c r="C22" s="469"/>
      <c r="D22" s="470">
        <v>0</v>
      </c>
      <c r="E22" s="470">
        <v>185</v>
      </c>
      <c r="F22" s="326">
        <f t="shared" si="0"/>
        <v>185</v>
      </c>
      <c r="G22" s="483"/>
      <c r="H22" s="480"/>
      <c r="I22" s="346"/>
      <c r="J22" s="346"/>
      <c r="K22" s="346"/>
      <c r="L22" s="346"/>
    </row>
    <row r="23" spans="1:12" s="324" customFormat="1" ht="48.75" customHeight="1">
      <c r="A23" s="467" t="s">
        <v>631</v>
      </c>
      <c r="B23" s="468" t="s">
        <v>628</v>
      </c>
      <c r="C23" s="469"/>
      <c r="D23" s="470">
        <v>26000</v>
      </c>
      <c r="E23" s="470">
        <v>34000</v>
      </c>
      <c r="F23" s="326">
        <f t="shared" si="0"/>
        <v>8000</v>
      </c>
      <c r="G23" s="484"/>
      <c r="H23" s="479"/>
      <c r="I23" s="346"/>
      <c r="J23" s="346"/>
      <c r="K23" s="346"/>
      <c r="L23" s="346"/>
    </row>
    <row r="24" spans="1:12" s="324" customFormat="1" ht="48.75" customHeight="1">
      <c r="A24" s="281" t="s">
        <v>632</v>
      </c>
      <c r="B24" s="158" t="s">
        <v>441</v>
      </c>
      <c r="C24" s="423"/>
      <c r="D24" s="326">
        <v>2050</v>
      </c>
      <c r="E24" s="326">
        <v>2800</v>
      </c>
      <c r="F24" s="326">
        <f t="shared" si="0"/>
        <v>750</v>
      </c>
      <c r="G24" s="487" t="s">
        <v>475</v>
      </c>
      <c r="H24" s="752" t="s">
        <v>637</v>
      </c>
      <c r="I24" s="346"/>
      <c r="J24" s="346"/>
      <c r="K24" s="346"/>
      <c r="L24" s="346"/>
    </row>
    <row r="25" spans="1:12" s="324" customFormat="1" ht="67.5" customHeight="1">
      <c r="A25" s="467" t="s">
        <v>462</v>
      </c>
      <c r="B25" s="468" t="s">
        <v>544</v>
      </c>
      <c r="C25" s="469"/>
      <c r="D25" s="470">
        <v>750</v>
      </c>
      <c r="E25" s="470">
        <v>1500</v>
      </c>
      <c r="F25" s="326">
        <f t="shared" si="0"/>
        <v>750</v>
      </c>
      <c r="G25" s="488"/>
      <c r="H25" s="753"/>
      <c r="I25" s="346"/>
      <c r="J25" s="346"/>
      <c r="K25" s="346"/>
      <c r="L25" s="346"/>
    </row>
    <row r="26" spans="1:12" s="324" customFormat="1" ht="46.5" customHeight="1">
      <c r="A26" s="281" t="s">
        <v>634</v>
      </c>
      <c r="B26" s="158" t="s">
        <v>444</v>
      </c>
      <c r="C26" s="469"/>
      <c r="D26" s="326">
        <v>95000</v>
      </c>
      <c r="E26" s="326">
        <v>95000</v>
      </c>
      <c r="F26" s="326">
        <f t="shared" si="0"/>
        <v>0</v>
      </c>
      <c r="G26" s="482"/>
      <c r="H26" s="480"/>
      <c r="I26" s="346"/>
      <c r="J26" s="346"/>
      <c r="K26" s="346"/>
      <c r="L26" s="346"/>
    </row>
    <row r="27" spans="1:12" s="324" customFormat="1" ht="46.5" customHeight="1">
      <c r="A27" s="467" t="s">
        <v>469</v>
      </c>
      <c r="B27" s="468" t="s">
        <v>550</v>
      </c>
      <c r="C27" s="469"/>
      <c r="D27" s="470">
        <v>799</v>
      </c>
      <c r="E27" s="470">
        <v>816</v>
      </c>
      <c r="F27" s="470">
        <f t="shared" si="0"/>
        <v>17</v>
      </c>
      <c r="G27" s="756" t="s">
        <v>638</v>
      </c>
      <c r="H27" s="480"/>
      <c r="I27" s="346"/>
      <c r="J27" s="346"/>
      <c r="K27" s="346"/>
      <c r="L27" s="346"/>
    </row>
    <row r="28" spans="1:12" s="324" customFormat="1" ht="46.5" customHeight="1">
      <c r="A28" s="467" t="s">
        <v>503</v>
      </c>
      <c r="B28" s="468" t="s">
        <v>608</v>
      </c>
      <c r="C28" s="469"/>
      <c r="D28" s="470">
        <v>0</v>
      </c>
      <c r="E28" s="470">
        <v>230</v>
      </c>
      <c r="F28" s="470">
        <f t="shared" si="0"/>
        <v>230</v>
      </c>
      <c r="G28" s="757"/>
      <c r="H28" s="480"/>
      <c r="I28" s="346"/>
      <c r="J28" s="346"/>
      <c r="K28" s="346"/>
      <c r="L28" s="346"/>
    </row>
    <row r="29" spans="1:12" s="324" customFormat="1" ht="32.25" customHeight="1">
      <c r="A29" s="467" t="s">
        <v>504</v>
      </c>
      <c r="B29" s="468" t="s">
        <v>498</v>
      </c>
      <c r="C29" s="469"/>
      <c r="D29" s="470">
        <v>9700</v>
      </c>
      <c r="E29" s="470">
        <v>10000</v>
      </c>
      <c r="F29" s="470">
        <f>E29-D29</f>
        <v>300</v>
      </c>
      <c r="G29" s="756" t="s">
        <v>639</v>
      </c>
      <c r="H29" s="751" t="s">
        <v>640</v>
      </c>
      <c r="I29" s="346"/>
      <c r="J29" s="346"/>
      <c r="K29" s="346"/>
      <c r="L29" s="346"/>
    </row>
    <row r="30" spans="1:12" s="324" customFormat="1" ht="38.25" customHeight="1">
      <c r="A30" s="467" t="s">
        <v>516</v>
      </c>
      <c r="B30" s="468" t="s">
        <v>609</v>
      </c>
      <c r="C30" s="469"/>
      <c r="D30" s="470">
        <v>0</v>
      </c>
      <c r="E30" s="470">
        <v>1499.9</v>
      </c>
      <c r="F30" s="470">
        <f t="shared" si="0"/>
        <v>1499.9</v>
      </c>
      <c r="G30" s="756"/>
      <c r="H30" s="751"/>
      <c r="I30" s="346"/>
      <c r="J30" s="346"/>
      <c r="K30" s="346"/>
      <c r="L30" s="346"/>
    </row>
    <row r="31" spans="1:12" s="324" customFormat="1" ht="54.75" customHeight="1">
      <c r="A31" s="467" t="s">
        <v>517</v>
      </c>
      <c r="B31" s="468" t="s">
        <v>610</v>
      </c>
      <c r="C31" s="469"/>
      <c r="D31" s="470">
        <v>0</v>
      </c>
      <c r="E31" s="470">
        <v>748.3</v>
      </c>
      <c r="F31" s="470">
        <f t="shared" si="0"/>
        <v>748.3</v>
      </c>
      <c r="G31" s="756"/>
      <c r="H31" s="751"/>
      <c r="I31" s="346"/>
      <c r="J31" s="346"/>
      <c r="K31" s="346"/>
      <c r="L31" s="346"/>
    </row>
    <row r="32" spans="1:12" s="324" customFormat="1" ht="86.25" customHeight="1">
      <c r="A32" s="467" t="s">
        <v>518</v>
      </c>
      <c r="B32" s="468" t="s">
        <v>611</v>
      </c>
      <c r="C32" s="469"/>
      <c r="D32" s="470">
        <v>0</v>
      </c>
      <c r="E32" s="470">
        <v>2000</v>
      </c>
      <c r="F32" s="470">
        <f t="shared" si="0"/>
        <v>2000</v>
      </c>
      <c r="G32" s="756"/>
      <c r="H32" s="480"/>
      <c r="I32" s="346"/>
      <c r="J32" s="346"/>
      <c r="K32" s="346"/>
      <c r="L32" s="346"/>
    </row>
    <row r="33" spans="1:12" s="324" customFormat="1" ht="40.5" customHeight="1">
      <c r="A33" s="467" t="s">
        <v>519</v>
      </c>
      <c r="B33" s="486" t="s">
        <v>612</v>
      </c>
      <c r="C33" s="469"/>
      <c r="D33" s="470">
        <v>0</v>
      </c>
      <c r="E33" s="470">
        <v>33</v>
      </c>
      <c r="F33" s="470">
        <f t="shared" si="0"/>
        <v>33</v>
      </c>
      <c r="G33" s="756"/>
      <c r="H33" s="480"/>
      <c r="I33" s="346"/>
      <c r="J33" s="346"/>
      <c r="K33" s="346"/>
      <c r="L33" s="346"/>
    </row>
    <row r="34" spans="1:12" s="324" customFormat="1" ht="40.5" customHeight="1">
      <c r="A34" s="467" t="s">
        <v>635</v>
      </c>
      <c r="B34" s="486" t="s">
        <v>613</v>
      </c>
      <c r="C34" s="469"/>
      <c r="D34" s="470">
        <v>0</v>
      </c>
      <c r="E34" s="470">
        <v>35</v>
      </c>
      <c r="F34" s="470">
        <f t="shared" si="0"/>
        <v>35</v>
      </c>
      <c r="G34" s="757"/>
      <c r="H34" s="480"/>
      <c r="I34" s="346"/>
      <c r="J34" s="346"/>
      <c r="K34" s="346"/>
      <c r="L34" s="346"/>
    </row>
    <row r="35" spans="1:12" s="324" customFormat="1" ht="44.25" customHeight="1">
      <c r="A35" s="467" t="s">
        <v>636</v>
      </c>
      <c r="B35" s="444" t="s">
        <v>545</v>
      </c>
      <c r="C35" s="469"/>
      <c r="D35" s="326">
        <v>21820</v>
      </c>
      <c r="E35" s="326">
        <v>22270</v>
      </c>
      <c r="F35" s="326">
        <f t="shared" si="0"/>
        <v>450</v>
      </c>
      <c r="G35" s="755" t="s">
        <v>477</v>
      </c>
      <c r="H35" s="752" t="s">
        <v>650</v>
      </c>
      <c r="I35" s="346"/>
      <c r="J35" s="346"/>
      <c r="K35" s="346"/>
      <c r="L35" s="346"/>
    </row>
    <row r="36" spans="1:12" s="324" customFormat="1" ht="35.25" customHeight="1">
      <c r="A36" s="467" t="s">
        <v>520</v>
      </c>
      <c r="B36" s="486" t="s">
        <v>644</v>
      </c>
      <c r="C36" s="469"/>
      <c r="D36" s="470">
        <v>0</v>
      </c>
      <c r="E36" s="470">
        <v>450</v>
      </c>
      <c r="F36" s="470">
        <f t="shared" si="0"/>
        <v>450</v>
      </c>
      <c r="G36" s="757"/>
      <c r="H36" s="753"/>
      <c r="I36" s="346"/>
      <c r="J36" s="346"/>
      <c r="K36" s="346"/>
      <c r="L36" s="346"/>
    </row>
    <row r="37" spans="1:12" s="324" customFormat="1" ht="53.25" customHeight="1">
      <c r="A37" s="467" t="s">
        <v>647</v>
      </c>
      <c r="B37" s="444" t="s">
        <v>525</v>
      </c>
      <c r="C37" s="469"/>
      <c r="D37" s="470">
        <v>75487.3</v>
      </c>
      <c r="E37" s="470">
        <v>75377.3</v>
      </c>
      <c r="F37" s="470">
        <f>E37-D37</f>
        <v>-110</v>
      </c>
      <c r="G37" s="755" t="s">
        <v>648</v>
      </c>
      <c r="H37" s="752" t="s">
        <v>649</v>
      </c>
      <c r="I37" s="346"/>
      <c r="J37" s="346"/>
      <c r="K37" s="346"/>
      <c r="L37" s="346"/>
    </row>
    <row r="38" spans="1:12" s="324" customFormat="1" ht="53.25" customHeight="1">
      <c r="A38" s="467" t="s">
        <v>521</v>
      </c>
      <c r="B38" s="486" t="s">
        <v>602</v>
      </c>
      <c r="C38" s="469"/>
      <c r="D38" s="470">
        <v>110</v>
      </c>
      <c r="E38" s="470">
        <v>-110</v>
      </c>
      <c r="F38" s="470">
        <f>E38+D38</f>
        <v>0</v>
      </c>
      <c r="G38" s="757"/>
      <c r="H38" s="753"/>
      <c r="I38" s="346"/>
      <c r="J38" s="346"/>
      <c r="K38" s="346"/>
      <c r="L38" s="346"/>
    </row>
    <row r="39" spans="1:12" s="324" customFormat="1" ht="18.75">
      <c r="A39" s="754" t="s">
        <v>5</v>
      </c>
      <c r="B39" s="754"/>
      <c r="C39" s="364"/>
      <c r="D39" s="129">
        <f>D8+D11+D13+D19+D24+D26+D35+D37</f>
        <v>800711.292</v>
      </c>
      <c r="E39" s="129">
        <f>E8+E11+E13+E19+E24+E26+E35+E37</f>
        <v>820117.592</v>
      </c>
      <c r="F39" s="129">
        <f>F8+F11+F13+F19+F24+F26+F35+F37</f>
        <v>19406.3</v>
      </c>
      <c r="G39" s="351"/>
      <c r="H39" s="351"/>
      <c r="I39" s="346"/>
      <c r="J39" s="346"/>
      <c r="K39" s="346"/>
      <c r="L39" s="346"/>
    </row>
    <row r="40" spans="1:12" s="324" customFormat="1" ht="33" customHeight="1">
      <c r="A40" s="748" t="s">
        <v>588</v>
      </c>
      <c r="B40" s="748"/>
      <c r="C40" s="748"/>
      <c r="D40" s="748"/>
      <c r="E40" s="170"/>
      <c r="F40" s="170"/>
      <c r="G40" s="67"/>
      <c r="H40" s="223" t="s">
        <v>589</v>
      </c>
      <c r="I40" s="346"/>
      <c r="J40" s="346"/>
      <c r="K40" s="346"/>
      <c r="L40" s="346"/>
    </row>
    <row r="41" spans="1:12" s="324" customFormat="1" ht="18.75">
      <c r="A41" s="353"/>
      <c r="B41" s="353"/>
      <c r="C41" s="353"/>
      <c r="D41" s="354"/>
      <c r="E41" s="135"/>
      <c r="F41" s="135"/>
      <c r="G41" s="320"/>
      <c r="H41" s="346"/>
      <c r="I41" s="346"/>
      <c r="J41" s="346"/>
      <c r="K41" s="346"/>
      <c r="L41" s="346"/>
    </row>
    <row r="42" spans="1:12" s="324" customFormat="1" ht="18.75">
      <c r="A42" s="735"/>
      <c r="B42" s="735"/>
      <c r="C42" s="363"/>
      <c r="D42" s="161"/>
      <c r="E42" s="355"/>
      <c r="F42" s="355"/>
      <c r="G42" s="346"/>
      <c r="H42" s="346"/>
      <c r="I42" s="346"/>
      <c r="J42" s="346"/>
      <c r="K42" s="346"/>
      <c r="L42" s="346"/>
    </row>
    <row r="43" s="324" customFormat="1" ht="15">
      <c r="A43" s="333"/>
    </row>
    <row r="44" s="324" customFormat="1" ht="15">
      <c r="A44" s="333"/>
    </row>
    <row r="45" s="324" customFormat="1" ht="15">
      <c r="A45" s="333"/>
    </row>
    <row r="46" s="324" customFormat="1" ht="15">
      <c r="A46" s="333"/>
    </row>
    <row r="47" s="324" customFormat="1" ht="15">
      <c r="A47" s="333"/>
    </row>
    <row r="48" s="324" customFormat="1" ht="15">
      <c r="A48" s="333"/>
    </row>
    <row r="49" s="324" customFormat="1" ht="15">
      <c r="A49" s="333"/>
    </row>
    <row r="50" s="324" customFormat="1" ht="15">
      <c r="A50" s="333"/>
    </row>
    <row r="51" s="324" customFormat="1" ht="15">
      <c r="A51" s="333"/>
    </row>
    <row r="52" s="324" customFormat="1" ht="15"/>
  </sheetData>
  <sheetProtection/>
  <mergeCells count="24">
    <mergeCell ref="A2:H2"/>
    <mergeCell ref="E6:E7"/>
    <mergeCell ref="F5:F7"/>
    <mergeCell ref="H8:H9"/>
    <mergeCell ref="G5:G7"/>
    <mergeCell ref="A5:A7"/>
    <mergeCell ref="B5:B7"/>
    <mergeCell ref="C5:C7"/>
    <mergeCell ref="D6:D7"/>
    <mergeCell ref="G8:G10"/>
    <mergeCell ref="H11:H12"/>
    <mergeCell ref="H20:H21"/>
    <mergeCell ref="H24:H25"/>
    <mergeCell ref="G27:G28"/>
    <mergeCell ref="G29:G34"/>
    <mergeCell ref="H29:H31"/>
    <mergeCell ref="H13:H16"/>
    <mergeCell ref="A40:D40"/>
    <mergeCell ref="A39:B39"/>
    <mergeCell ref="A42:B42"/>
    <mergeCell ref="G37:G38"/>
    <mergeCell ref="H37:H38"/>
    <mergeCell ref="G35:G36"/>
    <mergeCell ref="H35:H36"/>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30.xml><?xml version="1.0" encoding="utf-8"?>
<worksheet xmlns="http://schemas.openxmlformats.org/spreadsheetml/2006/main" xmlns:r="http://schemas.openxmlformats.org/officeDocument/2006/relationships">
  <sheetPr>
    <tabColor theme="2" tint="-0.24997000396251678"/>
    <pageSetUpPr fitToPage="1"/>
  </sheetPr>
  <dimension ref="A1:P146"/>
  <sheetViews>
    <sheetView view="pageBreakPreview" zoomScaleSheetLayoutView="100" zoomScalePageLayoutView="0" workbookViewId="0" topLeftCell="A61">
      <selection activeCell="J142" sqref="A1:N142"/>
    </sheetView>
  </sheetViews>
  <sheetFormatPr defaultColWidth="9.140625" defaultRowHeight="12.75"/>
  <cols>
    <col min="1" max="1" width="5.28125" style="16" customWidth="1"/>
    <col min="2" max="2" width="84.00390625" style="12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7.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8"/>
      <c r="C1" s="15"/>
      <c r="D1" s="15"/>
      <c r="E1" s="15"/>
      <c r="F1" s="15"/>
      <c r="G1" s="15"/>
      <c r="H1" s="15"/>
      <c r="I1" s="1" t="s">
        <v>699</v>
      </c>
      <c r="J1"/>
      <c r="K1" s="13" t="s">
        <v>19</v>
      </c>
    </row>
    <row r="2" spans="2:14" ht="15.75">
      <c r="B2" s="88"/>
      <c r="C2" s="15"/>
      <c r="D2" s="15"/>
      <c r="E2" s="15"/>
      <c r="F2" s="15"/>
      <c r="G2" s="15"/>
      <c r="H2" s="15"/>
      <c r="I2" s="12" t="s">
        <v>11</v>
      </c>
      <c r="J2" s="12"/>
      <c r="K2" s="15"/>
      <c r="L2" s="12"/>
      <c r="M2" s="12"/>
      <c r="N2" s="12"/>
    </row>
    <row r="3" spans="2:14" ht="15.75">
      <c r="B3" s="88"/>
      <c r="C3" s="15"/>
      <c r="D3" s="15"/>
      <c r="E3" s="15"/>
      <c r="F3" s="15"/>
      <c r="G3" s="15"/>
      <c r="H3" s="15"/>
      <c r="I3" s="12" t="s">
        <v>566</v>
      </c>
      <c r="J3" s="12"/>
      <c r="K3" s="15"/>
      <c r="L3" s="12"/>
      <c r="M3" s="12"/>
      <c r="N3" s="12"/>
    </row>
    <row r="4" spans="2:14" ht="15.75">
      <c r="B4" s="88"/>
      <c r="C4" s="15"/>
      <c r="D4" s="15"/>
      <c r="E4" s="15"/>
      <c r="F4" s="15"/>
      <c r="G4" s="15"/>
      <c r="H4" s="15"/>
      <c r="I4" s="17" t="s">
        <v>567</v>
      </c>
      <c r="J4" s="17"/>
      <c r="K4" s="15"/>
      <c r="L4" s="12"/>
      <c r="M4" s="12"/>
      <c r="N4" s="12"/>
    </row>
    <row r="5" spans="2:14" ht="15.75">
      <c r="B5" s="88"/>
      <c r="C5" s="15"/>
      <c r="D5" s="15"/>
      <c r="E5" s="15"/>
      <c r="F5" s="15"/>
      <c r="G5" s="15"/>
      <c r="H5" s="15"/>
      <c r="I5" s="17" t="s">
        <v>907</v>
      </c>
      <c r="J5" s="17"/>
      <c r="K5" s="15"/>
      <c r="L5" s="12"/>
      <c r="M5" s="12"/>
      <c r="N5" s="12"/>
    </row>
    <row r="6" spans="2:14" ht="15.75">
      <c r="B6" s="88"/>
      <c r="C6" s="15"/>
      <c r="D6" s="15"/>
      <c r="E6" s="15"/>
      <c r="F6" s="15"/>
      <c r="G6" s="15"/>
      <c r="H6" s="15"/>
      <c r="I6" s="17" t="s">
        <v>924</v>
      </c>
      <c r="J6" s="17"/>
      <c r="K6" s="327"/>
      <c r="L6" s="12"/>
      <c r="M6" s="12"/>
      <c r="N6" s="12"/>
    </row>
    <row r="7" spans="2:14" ht="15.75" customHeight="1">
      <c r="B7" s="88"/>
      <c r="C7" s="15"/>
      <c r="D7" s="15"/>
      <c r="E7" s="15"/>
      <c r="F7" s="15"/>
      <c r="G7" s="15"/>
      <c r="H7" s="15"/>
      <c r="I7" s="768" t="s">
        <v>920</v>
      </c>
      <c r="J7" s="768"/>
      <c r="K7" s="768"/>
      <c r="L7" s="768"/>
      <c r="M7" s="768"/>
      <c r="N7" s="768"/>
    </row>
    <row r="8" spans="2:14" ht="15.75">
      <c r="B8" s="88"/>
      <c r="C8" s="15"/>
      <c r="D8" s="15"/>
      <c r="E8" s="15"/>
      <c r="F8" s="15"/>
      <c r="G8" s="15"/>
      <c r="I8" s="768" t="s">
        <v>941</v>
      </c>
      <c r="J8" s="768"/>
      <c r="K8" s="730"/>
      <c r="L8" s="730"/>
      <c r="M8" s="730"/>
      <c r="N8" s="730"/>
    </row>
    <row r="9" spans="2:14" ht="15.75" customHeight="1">
      <c r="B9" s="88"/>
      <c r="C9" s="15"/>
      <c r="D9" s="15"/>
      <c r="E9" s="15"/>
      <c r="F9" s="15"/>
      <c r="G9" s="15"/>
      <c r="I9" s="768"/>
      <c r="J9" s="768"/>
      <c r="K9" s="17"/>
      <c r="L9" s="17"/>
      <c r="M9" s="17"/>
      <c r="N9" s="17"/>
    </row>
    <row r="10" spans="2:11" ht="15.75">
      <c r="B10" s="88"/>
      <c r="C10" s="15"/>
      <c r="D10" s="15"/>
      <c r="E10" s="15"/>
      <c r="F10" s="15"/>
      <c r="G10" s="15"/>
      <c r="H10" s="15"/>
      <c r="I10" s="15"/>
      <c r="J10" s="15"/>
      <c r="K10" s="15"/>
    </row>
    <row r="11" spans="1:11" ht="18.75" customHeight="1">
      <c r="A11" s="852" t="s">
        <v>713</v>
      </c>
      <c r="B11" s="852"/>
      <c r="C11" s="852"/>
      <c r="D11" s="852"/>
      <c r="E11" s="852"/>
      <c r="F11" s="852"/>
      <c r="G11" s="852"/>
      <c r="H11" s="852"/>
      <c r="I11" s="852"/>
      <c r="J11" s="852"/>
      <c r="K11" s="15"/>
    </row>
    <row r="12" spans="2:11" ht="15.75">
      <c r="B12" s="88"/>
      <c r="C12" s="15"/>
      <c r="D12" s="785"/>
      <c r="E12" s="785"/>
      <c r="F12" s="785"/>
      <c r="G12" s="785"/>
      <c r="H12" s="785"/>
      <c r="I12" s="15"/>
      <c r="J12" s="34" t="s">
        <v>391</v>
      </c>
      <c r="K12" s="15"/>
    </row>
    <row r="13" spans="1:11" ht="15.75" customHeight="1">
      <c r="A13" s="776" t="s">
        <v>6</v>
      </c>
      <c r="B13" s="754" t="s">
        <v>12</v>
      </c>
      <c r="C13" s="903" t="s">
        <v>13</v>
      </c>
      <c r="D13" s="770" t="s">
        <v>401</v>
      </c>
      <c r="E13" s="903" t="s">
        <v>9</v>
      </c>
      <c r="F13" s="786"/>
      <c r="G13" s="786"/>
      <c r="H13" s="786"/>
      <c r="I13" s="786"/>
      <c r="J13" s="776" t="s">
        <v>15</v>
      </c>
      <c r="K13" s="15"/>
    </row>
    <row r="14" spans="1:11" ht="15.75" customHeight="1">
      <c r="A14" s="776"/>
      <c r="B14" s="754"/>
      <c r="C14" s="913"/>
      <c r="D14" s="771"/>
      <c r="E14" s="770">
        <v>2021</v>
      </c>
      <c r="F14" s="903">
        <v>2022</v>
      </c>
      <c r="G14" s="786"/>
      <c r="H14" s="849"/>
      <c r="I14" s="770">
        <v>2023</v>
      </c>
      <c r="J14" s="776"/>
      <c r="K14" s="15"/>
    </row>
    <row r="15" spans="1:11" ht="23.25" customHeight="1">
      <c r="A15" s="776"/>
      <c r="B15" s="754"/>
      <c r="C15" s="904"/>
      <c r="D15" s="772"/>
      <c r="E15" s="772"/>
      <c r="F15" s="904"/>
      <c r="G15" s="905"/>
      <c r="H15" s="906"/>
      <c r="I15" s="772"/>
      <c r="J15" s="776"/>
      <c r="K15" s="15"/>
    </row>
    <row r="16" spans="1:13" ht="56.25" customHeight="1" hidden="1">
      <c r="A16" s="35">
        <v>1</v>
      </c>
      <c r="B16" s="116" t="s">
        <v>0</v>
      </c>
      <c r="C16" s="115" t="s">
        <v>124</v>
      </c>
      <c r="D16" s="66">
        <f aca="true" t="shared" si="0" ref="D16:D22">E16</f>
        <v>10230</v>
      </c>
      <c r="E16" s="87">
        <f>E17+E18+E19+E20+E21+E22</f>
        <v>10230</v>
      </c>
      <c r="F16" s="87">
        <f>F17+F18+F19+F20+F21+F22</f>
        <v>0</v>
      </c>
      <c r="G16" s="87">
        <f>G17+G18+G19+G20+G21+G22</f>
        <v>0</v>
      </c>
      <c r="H16" s="87">
        <f>H17+H18+H19+H20+H21+H22</f>
        <v>0</v>
      </c>
      <c r="I16" s="87">
        <f>I17+I18+I19+I20+I21+I22</f>
        <v>0</v>
      </c>
      <c r="J16" s="35" t="s">
        <v>41</v>
      </c>
      <c r="K16" s="15"/>
      <c r="M16" s="114"/>
    </row>
    <row r="17" spans="1:13" ht="42" customHeight="1" hidden="1">
      <c r="A17" s="35"/>
      <c r="B17" s="239" t="s">
        <v>195</v>
      </c>
      <c r="C17" s="115" t="s">
        <v>124</v>
      </c>
      <c r="D17" s="66">
        <f t="shared" si="0"/>
        <v>1980</v>
      </c>
      <c r="E17" s="240">
        <v>1980</v>
      </c>
      <c r="F17" s="74"/>
      <c r="G17" s="62"/>
      <c r="H17" s="62"/>
      <c r="I17" s="117"/>
      <c r="J17" s="35"/>
      <c r="K17" s="15"/>
      <c r="M17" s="114"/>
    </row>
    <row r="18" spans="1:13" ht="48" customHeight="1" hidden="1">
      <c r="A18" s="35"/>
      <c r="B18" s="239" t="s">
        <v>196</v>
      </c>
      <c r="C18" s="115" t="s">
        <v>124</v>
      </c>
      <c r="D18" s="66">
        <f t="shared" si="0"/>
        <v>3000</v>
      </c>
      <c r="E18" s="240">
        <v>3000</v>
      </c>
      <c r="F18" s="74"/>
      <c r="G18" s="62"/>
      <c r="H18" s="62"/>
      <c r="I18" s="117"/>
      <c r="J18" s="35"/>
      <c r="K18" s="15"/>
      <c r="M18" s="114"/>
    </row>
    <row r="19" spans="1:13" ht="63" customHeight="1" hidden="1">
      <c r="A19" s="35"/>
      <c r="B19" s="239" t="s">
        <v>404</v>
      </c>
      <c r="C19" s="115" t="s">
        <v>124</v>
      </c>
      <c r="D19" s="66">
        <f t="shared" si="0"/>
        <v>3700</v>
      </c>
      <c r="E19" s="207">
        <v>3700</v>
      </c>
      <c r="F19" s="74"/>
      <c r="G19" s="62"/>
      <c r="H19" s="62"/>
      <c r="I19" s="117"/>
      <c r="J19" s="35"/>
      <c r="K19" s="15"/>
      <c r="M19" s="114"/>
    </row>
    <row r="20" spans="1:13" ht="60.75" customHeight="1" hidden="1">
      <c r="A20" s="76"/>
      <c r="B20" s="239" t="s">
        <v>197</v>
      </c>
      <c r="C20" s="115" t="s">
        <v>124</v>
      </c>
      <c r="D20" s="66">
        <f t="shared" si="0"/>
        <v>350</v>
      </c>
      <c r="E20" s="207">
        <v>350</v>
      </c>
      <c r="F20" s="74"/>
      <c r="G20" s="62"/>
      <c r="H20" s="62"/>
      <c r="I20" s="117"/>
      <c r="J20" s="35"/>
      <c r="K20" s="15"/>
      <c r="M20" s="114"/>
    </row>
    <row r="21" spans="1:13" ht="56.25" customHeight="1" hidden="1">
      <c r="A21" s="35"/>
      <c r="B21" s="239" t="s">
        <v>198</v>
      </c>
      <c r="C21" s="115" t="s">
        <v>124</v>
      </c>
      <c r="D21" s="66">
        <f t="shared" si="0"/>
        <v>500</v>
      </c>
      <c r="E21" s="207">
        <v>500</v>
      </c>
      <c r="F21" s="74"/>
      <c r="G21" s="62"/>
      <c r="H21" s="62"/>
      <c r="I21" s="118"/>
      <c r="J21" s="35"/>
      <c r="K21" s="15"/>
      <c r="M21" s="114"/>
    </row>
    <row r="22" spans="1:13" ht="59.25" customHeight="1" hidden="1">
      <c r="A22" s="35"/>
      <c r="B22" s="239" t="s">
        <v>199</v>
      </c>
      <c r="C22" s="115" t="s">
        <v>124</v>
      </c>
      <c r="D22" s="66">
        <f t="shared" si="0"/>
        <v>700</v>
      </c>
      <c r="E22" s="207">
        <v>700</v>
      </c>
      <c r="F22" s="74"/>
      <c r="G22" s="62"/>
      <c r="H22" s="62"/>
      <c r="I22" s="118"/>
      <c r="J22" s="35"/>
      <c r="K22" s="15"/>
      <c r="M22" s="114"/>
    </row>
    <row r="23" spans="1:13" ht="57" customHeight="1" hidden="1">
      <c r="A23" s="35">
        <v>2</v>
      </c>
      <c r="B23" s="116" t="s">
        <v>1</v>
      </c>
      <c r="C23" s="115" t="s">
        <v>124</v>
      </c>
      <c r="D23" s="66">
        <f>E23+F23</f>
        <v>25400</v>
      </c>
      <c r="E23" s="87">
        <f>E24+E25+E26+E27</f>
        <v>10400</v>
      </c>
      <c r="F23" s="87">
        <f>F24+F25+F26+F27+F28+F29+F30</f>
        <v>15000</v>
      </c>
      <c r="G23" s="87">
        <f>G24+G25+G26+G27+G28+G29+G30</f>
        <v>0</v>
      </c>
      <c r="H23" s="87">
        <f>H24+H25+H26+H27+H28+H29+H30</f>
        <v>0</v>
      </c>
      <c r="I23" s="87">
        <f>I24+I25+I26+I27+I28+I29+I30</f>
        <v>0</v>
      </c>
      <c r="J23" s="35" t="s">
        <v>42</v>
      </c>
      <c r="K23" s="15"/>
      <c r="M23" s="114"/>
    </row>
    <row r="24" spans="1:13" ht="45" customHeight="1" hidden="1">
      <c r="A24" s="35"/>
      <c r="B24" s="239" t="s">
        <v>200</v>
      </c>
      <c r="C24" s="115" t="s">
        <v>124</v>
      </c>
      <c r="D24" s="66">
        <f aca="true" t="shared" si="1" ref="D24:D30">E24+F24</f>
        <v>4000</v>
      </c>
      <c r="E24" s="207">
        <v>4000</v>
      </c>
      <c r="F24" s="74"/>
      <c r="G24" s="62"/>
      <c r="H24" s="62"/>
      <c r="I24" s="117"/>
      <c r="J24" s="35"/>
      <c r="K24" s="15"/>
      <c r="M24" s="114"/>
    </row>
    <row r="25" spans="1:13" ht="48" customHeight="1" hidden="1">
      <c r="A25" s="35"/>
      <c r="B25" s="239" t="s">
        <v>201</v>
      </c>
      <c r="C25" s="115" t="s">
        <v>124</v>
      </c>
      <c r="D25" s="66">
        <f t="shared" si="1"/>
        <v>2500</v>
      </c>
      <c r="E25" s="207">
        <v>2500</v>
      </c>
      <c r="F25" s="74"/>
      <c r="G25" s="62"/>
      <c r="H25" s="62"/>
      <c r="I25" s="117"/>
      <c r="J25" s="35"/>
      <c r="K25" s="15"/>
      <c r="M25" s="114"/>
    </row>
    <row r="26" spans="1:13" ht="38.25" customHeight="1" hidden="1">
      <c r="A26" s="35"/>
      <c r="B26" s="239" t="s">
        <v>202</v>
      </c>
      <c r="C26" s="115" t="s">
        <v>124</v>
      </c>
      <c r="D26" s="66">
        <f t="shared" si="1"/>
        <v>3000</v>
      </c>
      <c r="E26" s="207">
        <v>3000</v>
      </c>
      <c r="F26" s="74"/>
      <c r="G26" s="62"/>
      <c r="H26" s="62"/>
      <c r="I26" s="117"/>
      <c r="J26" s="35"/>
      <c r="K26" s="15"/>
      <c r="M26" s="114"/>
    </row>
    <row r="27" spans="1:13" ht="45.75" customHeight="1" hidden="1">
      <c r="A27" s="35"/>
      <c r="B27" s="239" t="s">
        <v>203</v>
      </c>
      <c r="C27" s="115" t="s">
        <v>124</v>
      </c>
      <c r="D27" s="66">
        <f t="shared" si="1"/>
        <v>900</v>
      </c>
      <c r="E27" s="207">
        <v>900</v>
      </c>
      <c r="F27" s="74"/>
      <c r="G27" s="62"/>
      <c r="H27" s="62"/>
      <c r="I27" s="117"/>
      <c r="J27" s="35"/>
      <c r="K27" s="15"/>
      <c r="M27" s="114"/>
    </row>
    <row r="28" spans="1:13" ht="45.75" customHeight="1" hidden="1">
      <c r="A28" s="35"/>
      <c r="B28" s="239" t="s">
        <v>323</v>
      </c>
      <c r="C28" s="115" t="s">
        <v>124</v>
      </c>
      <c r="D28" s="66">
        <f t="shared" si="1"/>
        <v>5000</v>
      </c>
      <c r="E28" s="207"/>
      <c r="F28" s="74">
        <v>5000</v>
      </c>
      <c r="G28" s="62"/>
      <c r="H28" s="62"/>
      <c r="I28" s="117"/>
      <c r="J28" s="35"/>
      <c r="K28" s="15"/>
      <c r="M28" s="114"/>
    </row>
    <row r="29" spans="1:13" ht="45.75" customHeight="1" hidden="1">
      <c r="A29" s="35"/>
      <c r="B29" s="239" t="s">
        <v>324</v>
      </c>
      <c r="C29" s="115" t="s">
        <v>124</v>
      </c>
      <c r="D29" s="66">
        <f t="shared" si="1"/>
        <v>7000</v>
      </c>
      <c r="E29" s="207"/>
      <c r="F29" s="74">
        <v>7000</v>
      </c>
      <c r="G29" s="62"/>
      <c r="H29" s="62"/>
      <c r="I29" s="117"/>
      <c r="J29" s="35"/>
      <c r="K29" s="15"/>
      <c r="M29" s="114"/>
    </row>
    <row r="30" spans="1:13" ht="45.75" customHeight="1" hidden="1">
      <c r="A30" s="35"/>
      <c r="B30" s="239" t="s">
        <v>325</v>
      </c>
      <c r="C30" s="115" t="s">
        <v>124</v>
      </c>
      <c r="D30" s="66">
        <f t="shared" si="1"/>
        <v>3000</v>
      </c>
      <c r="E30" s="207"/>
      <c r="F30" s="74">
        <v>3000</v>
      </c>
      <c r="G30" s="62"/>
      <c r="H30" s="62"/>
      <c r="I30" s="117"/>
      <c r="J30" s="35"/>
      <c r="K30" s="15"/>
      <c r="M30" s="114"/>
    </row>
    <row r="31" spans="1:13" ht="58.5" customHeight="1">
      <c r="A31" s="35">
        <v>1</v>
      </c>
      <c r="B31" s="116" t="s">
        <v>46</v>
      </c>
      <c r="C31" s="115" t="s">
        <v>795</v>
      </c>
      <c r="D31" s="66">
        <f>E31+F31</f>
        <v>8700</v>
      </c>
      <c r="E31" s="87">
        <f>E32+E33</f>
        <v>8700</v>
      </c>
      <c r="F31" s="61">
        <v>0</v>
      </c>
      <c r="G31" s="61">
        <f>G36+G37</f>
        <v>0</v>
      </c>
      <c r="H31" s="61">
        <f>H36+H37</f>
        <v>0</v>
      </c>
      <c r="I31" s="61">
        <f>I36+I37</f>
        <v>0</v>
      </c>
      <c r="J31" s="35" t="s">
        <v>790</v>
      </c>
      <c r="K31" s="15"/>
      <c r="M31" s="114"/>
    </row>
    <row r="32" spans="1:13" ht="49.5" customHeight="1">
      <c r="A32" s="35"/>
      <c r="B32" s="241" t="s">
        <v>704</v>
      </c>
      <c r="C32" s="115" t="s">
        <v>795</v>
      </c>
      <c r="D32" s="66">
        <f aca="true" t="shared" si="2" ref="D32:D44">E32</f>
        <v>5500</v>
      </c>
      <c r="E32" s="242">
        <v>5500</v>
      </c>
      <c r="F32" s="74"/>
      <c r="G32" s="62"/>
      <c r="H32" s="62"/>
      <c r="I32" s="120"/>
      <c r="J32" s="35"/>
      <c r="K32" s="15"/>
      <c r="M32" s="114"/>
    </row>
    <row r="33" spans="1:13" ht="42.75" customHeight="1">
      <c r="A33" s="35"/>
      <c r="B33" s="241" t="s">
        <v>703</v>
      </c>
      <c r="C33" s="115" t="s">
        <v>795</v>
      </c>
      <c r="D33" s="66">
        <f t="shared" si="2"/>
        <v>3200</v>
      </c>
      <c r="E33" s="242">
        <v>3200</v>
      </c>
      <c r="F33" s="74"/>
      <c r="G33" s="62"/>
      <c r="H33" s="62"/>
      <c r="I33" s="121"/>
      <c r="J33" s="35"/>
      <c r="K33" s="15"/>
      <c r="M33" s="114"/>
    </row>
    <row r="34" spans="1:13" ht="36.75" customHeight="1" hidden="1">
      <c r="A34" s="35"/>
      <c r="B34" s="241" t="s">
        <v>206</v>
      </c>
      <c r="C34" s="115" t="s">
        <v>702</v>
      </c>
      <c r="D34" s="66">
        <f t="shared" si="2"/>
        <v>5000</v>
      </c>
      <c r="E34" s="242">
        <v>5000</v>
      </c>
      <c r="F34" s="74"/>
      <c r="G34" s="62"/>
      <c r="H34" s="62"/>
      <c r="I34" s="121"/>
      <c r="J34" s="35"/>
      <c r="K34" s="15"/>
      <c r="M34" s="114"/>
    </row>
    <row r="35" spans="1:13" ht="51" customHeight="1" hidden="1">
      <c r="A35" s="35"/>
      <c r="B35" s="241" t="s">
        <v>207</v>
      </c>
      <c r="C35" s="115" t="s">
        <v>702</v>
      </c>
      <c r="D35" s="66">
        <f t="shared" si="2"/>
        <v>2700</v>
      </c>
      <c r="E35" s="242">
        <v>2700</v>
      </c>
      <c r="F35" s="74"/>
      <c r="G35" s="62"/>
      <c r="H35" s="62"/>
      <c r="I35" s="121"/>
      <c r="J35" s="35"/>
      <c r="K35" s="15"/>
      <c r="M35" s="114"/>
    </row>
    <row r="36" spans="1:13" ht="51" customHeight="1" hidden="1">
      <c r="A36" s="35"/>
      <c r="B36" s="241" t="s">
        <v>361</v>
      </c>
      <c r="C36" s="115" t="s">
        <v>702</v>
      </c>
      <c r="D36" s="66">
        <f>E36+F36</f>
        <v>9987.2</v>
      </c>
      <c r="E36" s="242"/>
      <c r="F36" s="74">
        <v>9987.2</v>
      </c>
      <c r="G36" s="62"/>
      <c r="H36" s="62"/>
      <c r="I36" s="121"/>
      <c r="J36" s="35"/>
      <c r="K36" s="15"/>
      <c r="M36" s="114"/>
    </row>
    <row r="37" spans="1:13" ht="51" customHeight="1" hidden="1">
      <c r="A37" s="35"/>
      <c r="B37" s="241" t="s">
        <v>362</v>
      </c>
      <c r="C37" s="115" t="s">
        <v>702</v>
      </c>
      <c r="D37" s="66">
        <f>E37+F37</f>
        <v>6265.2</v>
      </c>
      <c r="E37" s="242"/>
      <c r="F37" s="74">
        <v>6265.2</v>
      </c>
      <c r="G37" s="62"/>
      <c r="H37" s="62"/>
      <c r="I37" s="121"/>
      <c r="J37" s="35"/>
      <c r="K37" s="15"/>
      <c r="M37" s="114"/>
    </row>
    <row r="38" spans="1:13" ht="51" customHeight="1" hidden="1">
      <c r="A38" s="35"/>
      <c r="B38" s="241" t="s">
        <v>367</v>
      </c>
      <c r="C38" s="115" t="s">
        <v>702</v>
      </c>
      <c r="D38" s="66">
        <f>E38+F38</f>
        <v>85</v>
      </c>
      <c r="E38" s="242">
        <f>0+85</f>
        <v>85</v>
      </c>
      <c r="F38" s="74"/>
      <c r="G38" s="62"/>
      <c r="H38" s="62"/>
      <c r="I38" s="121"/>
      <c r="J38" s="35"/>
      <c r="K38" s="15"/>
      <c r="M38" s="114"/>
    </row>
    <row r="39" spans="1:13" ht="51" customHeight="1" hidden="1">
      <c r="A39" s="35"/>
      <c r="B39" s="241" t="s">
        <v>368</v>
      </c>
      <c r="C39" s="115" t="s">
        <v>702</v>
      </c>
      <c r="D39" s="66">
        <f>E39+F39</f>
        <v>44.1</v>
      </c>
      <c r="E39" s="242">
        <v>44.1</v>
      </c>
      <c r="F39" s="74"/>
      <c r="G39" s="62"/>
      <c r="H39" s="62"/>
      <c r="I39" s="121"/>
      <c r="J39" s="35"/>
      <c r="K39" s="15"/>
      <c r="M39" s="114"/>
    </row>
    <row r="40" spans="1:13" ht="47.25" customHeight="1">
      <c r="A40" s="35">
        <v>2</v>
      </c>
      <c r="B40" s="116" t="s">
        <v>2</v>
      </c>
      <c r="C40" s="115" t="s">
        <v>795</v>
      </c>
      <c r="D40" s="66">
        <f>E40+F40+I40</f>
        <v>27.52</v>
      </c>
      <c r="E40" s="87">
        <f>E41</f>
        <v>27.52</v>
      </c>
      <c r="F40" s="87">
        <f>F41+F42+F43+F44</f>
        <v>0</v>
      </c>
      <c r="G40" s="87">
        <f>G41+G42+G43+G44</f>
        <v>0</v>
      </c>
      <c r="H40" s="87">
        <f>H41+H42+H43+H44</f>
        <v>0</v>
      </c>
      <c r="I40" s="87">
        <f>I41+I42+I43+I44</f>
        <v>0</v>
      </c>
      <c r="J40" s="35" t="s">
        <v>791</v>
      </c>
      <c r="K40" s="15"/>
      <c r="M40" s="114"/>
    </row>
    <row r="41" spans="1:13" ht="45" customHeight="1">
      <c r="A41" s="35"/>
      <c r="B41" s="239" t="s">
        <v>705</v>
      </c>
      <c r="C41" s="115" t="s">
        <v>795</v>
      </c>
      <c r="D41" s="66">
        <f t="shared" si="2"/>
        <v>27.52</v>
      </c>
      <c r="E41" s="243">
        <v>27.52</v>
      </c>
      <c r="F41" s="74"/>
      <c r="G41" s="62"/>
      <c r="H41" s="62"/>
      <c r="I41" s="119"/>
      <c r="J41" s="35"/>
      <c r="K41" s="15"/>
      <c r="M41" s="114"/>
    </row>
    <row r="42" spans="1:13" ht="67.5" customHeight="1" hidden="1">
      <c r="A42" s="35"/>
      <c r="B42" s="239" t="s">
        <v>209</v>
      </c>
      <c r="C42" s="115" t="s">
        <v>124</v>
      </c>
      <c r="D42" s="66">
        <f t="shared" si="2"/>
        <v>9</v>
      </c>
      <c r="E42" s="243">
        <v>9</v>
      </c>
      <c r="F42" s="74"/>
      <c r="G42" s="62"/>
      <c r="H42" s="62"/>
      <c r="I42" s="119"/>
      <c r="J42" s="35"/>
      <c r="K42" s="15"/>
      <c r="M42" s="114"/>
    </row>
    <row r="43" spans="1:13" ht="67.5" customHeight="1" hidden="1">
      <c r="A43" s="35"/>
      <c r="B43" s="239" t="s">
        <v>228</v>
      </c>
      <c r="C43" s="115" t="s">
        <v>124</v>
      </c>
      <c r="D43" s="66">
        <f t="shared" si="2"/>
        <v>200</v>
      </c>
      <c r="E43" s="243">
        <v>200</v>
      </c>
      <c r="F43" s="74"/>
      <c r="G43" s="62"/>
      <c r="H43" s="62"/>
      <c r="I43" s="119"/>
      <c r="J43" s="35"/>
      <c r="K43" s="15"/>
      <c r="M43" s="114"/>
    </row>
    <row r="44" spans="1:13" ht="63" customHeight="1" hidden="1">
      <c r="A44" s="35"/>
      <c r="B44" s="239" t="s">
        <v>210</v>
      </c>
      <c r="C44" s="115" t="s">
        <v>124</v>
      </c>
      <c r="D44" s="66">
        <f t="shared" si="2"/>
        <v>315.8</v>
      </c>
      <c r="E44" s="243">
        <v>315.8</v>
      </c>
      <c r="F44" s="74"/>
      <c r="G44" s="62"/>
      <c r="H44" s="62"/>
      <c r="I44" s="120"/>
      <c r="J44" s="35"/>
      <c r="K44" s="15"/>
      <c r="M44" s="114"/>
    </row>
    <row r="45" spans="1:13" ht="25.5" customHeight="1">
      <c r="A45" s="773">
        <v>3</v>
      </c>
      <c r="B45" s="915" t="s">
        <v>792</v>
      </c>
      <c r="C45" s="921" t="s">
        <v>795</v>
      </c>
      <c r="D45" s="883">
        <f>E45+F45+I45</f>
        <v>5054.53</v>
      </c>
      <c r="E45" s="919">
        <f>E53+E47+E48+E49+E50+E51</f>
        <v>5054.53</v>
      </c>
      <c r="F45" s="919">
        <f>F53</f>
        <v>0</v>
      </c>
      <c r="G45" s="87" t="e">
        <f>#REF!+#REF!+#REF!+#REF!+#REF!+#REF!+G47+G48+G49+G50+G51+G52+#REF!+#REF!+#REF!+#REF!+#REF!+#REF!</f>
        <v>#REF!</v>
      </c>
      <c r="H45" s="87" t="e">
        <f>#REF!+#REF!+#REF!+#REF!+#REF!+#REF!+H47+H48+H49+H50+H51+H52+#REF!+#REF!+#REF!+#REF!+#REF!+#REF!</f>
        <v>#REF!</v>
      </c>
      <c r="I45" s="919">
        <f>I53</f>
        <v>0</v>
      </c>
      <c r="J45" s="773" t="s">
        <v>793</v>
      </c>
      <c r="K45" s="15"/>
      <c r="M45" s="114"/>
    </row>
    <row r="46" spans="1:13" ht="19.5" customHeight="1">
      <c r="A46" s="775"/>
      <c r="B46" s="916"/>
      <c r="C46" s="922"/>
      <c r="D46" s="884"/>
      <c r="E46" s="920"/>
      <c r="F46" s="920"/>
      <c r="G46" s="445"/>
      <c r="H46" s="445"/>
      <c r="I46" s="920"/>
      <c r="J46" s="775"/>
      <c r="K46" s="15"/>
      <c r="M46" s="114"/>
    </row>
    <row r="47" spans="1:16" s="54" customFormat="1" ht="38.25" customHeight="1">
      <c r="A47" s="670"/>
      <c r="B47" s="239" t="s">
        <v>873</v>
      </c>
      <c r="C47" s="676" t="s">
        <v>795</v>
      </c>
      <c r="D47" s="129">
        <f>E47+F47</f>
        <v>1400</v>
      </c>
      <c r="E47" s="216">
        <v>1400</v>
      </c>
      <c r="F47" s="125"/>
      <c r="G47" s="671"/>
      <c r="H47" s="671"/>
      <c r="I47" s="677"/>
      <c r="J47" s="670"/>
      <c r="K47" s="661"/>
      <c r="L47" s="675"/>
      <c r="M47" s="675"/>
      <c r="N47" s="675"/>
      <c r="O47" s="675"/>
      <c r="P47" s="675"/>
    </row>
    <row r="48" spans="1:13" ht="38.25" customHeight="1">
      <c r="A48" s="670"/>
      <c r="B48" s="239" t="s">
        <v>326</v>
      </c>
      <c r="C48" s="676" t="s">
        <v>795</v>
      </c>
      <c r="D48" s="129">
        <f>E48+F48</f>
        <v>700</v>
      </c>
      <c r="E48" s="216">
        <v>700</v>
      </c>
      <c r="F48" s="125"/>
      <c r="G48" s="671"/>
      <c r="H48" s="671"/>
      <c r="I48" s="677"/>
      <c r="J48" s="670"/>
      <c r="K48" s="15"/>
      <c r="M48" s="114"/>
    </row>
    <row r="49" spans="1:13" ht="53.25" customHeight="1">
      <c r="A49" s="670"/>
      <c r="B49" s="239" t="s">
        <v>329</v>
      </c>
      <c r="C49" s="676" t="s">
        <v>795</v>
      </c>
      <c r="D49" s="129">
        <f>E49+F49</f>
        <v>1670</v>
      </c>
      <c r="E49" s="216">
        <v>1670</v>
      </c>
      <c r="F49" s="125"/>
      <c r="G49" s="671"/>
      <c r="H49" s="671"/>
      <c r="I49" s="677"/>
      <c r="J49" s="670"/>
      <c r="K49" s="15"/>
      <c r="M49" s="114"/>
    </row>
    <row r="50" spans="1:13" ht="44.25" customHeight="1">
      <c r="A50" s="670"/>
      <c r="B50" s="239" t="s">
        <v>472</v>
      </c>
      <c r="C50" s="676" t="s">
        <v>795</v>
      </c>
      <c r="D50" s="129">
        <f aca="true" t="shared" si="3" ref="D50:D58">E50</f>
        <v>57</v>
      </c>
      <c r="E50" s="216">
        <v>57</v>
      </c>
      <c r="F50" s="125"/>
      <c r="G50" s="671"/>
      <c r="H50" s="671"/>
      <c r="I50" s="677"/>
      <c r="J50" s="670"/>
      <c r="K50" s="15"/>
      <c r="M50" s="114"/>
    </row>
    <row r="51" spans="1:13" ht="66" customHeight="1">
      <c r="A51" s="670"/>
      <c r="B51" s="239" t="s">
        <v>874</v>
      </c>
      <c r="C51" s="676" t="s">
        <v>795</v>
      </c>
      <c r="D51" s="129">
        <f t="shared" si="3"/>
        <v>1190.53</v>
      </c>
      <c r="E51" s="216">
        <v>1190.53</v>
      </c>
      <c r="F51" s="125"/>
      <c r="G51" s="671"/>
      <c r="H51" s="671"/>
      <c r="I51" s="677"/>
      <c r="J51" s="670"/>
      <c r="K51" s="15"/>
      <c r="M51" s="114"/>
    </row>
    <row r="52" spans="1:13" ht="38.25" customHeight="1" hidden="1">
      <c r="A52" s="670"/>
      <c r="B52" s="239" t="s">
        <v>222</v>
      </c>
      <c r="C52" s="676" t="s">
        <v>124</v>
      </c>
      <c r="D52" s="129">
        <f t="shared" si="3"/>
        <v>399</v>
      </c>
      <c r="E52" s="216">
        <v>399</v>
      </c>
      <c r="F52" s="125"/>
      <c r="G52" s="671"/>
      <c r="H52" s="671"/>
      <c r="I52" s="677"/>
      <c r="J52" s="670"/>
      <c r="K52" s="15"/>
      <c r="M52" s="114"/>
    </row>
    <row r="53" spans="1:16" s="54" customFormat="1" ht="38.25" customHeight="1">
      <c r="A53" s="670"/>
      <c r="B53" s="239" t="s">
        <v>706</v>
      </c>
      <c r="C53" s="676" t="s">
        <v>795</v>
      </c>
      <c r="D53" s="129">
        <f>E53+F53+I53</f>
        <v>37</v>
      </c>
      <c r="E53" s="216">
        <v>37</v>
      </c>
      <c r="F53" s="125"/>
      <c r="G53" s="671"/>
      <c r="H53" s="671"/>
      <c r="I53" s="677"/>
      <c r="J53" s="670"/>
      <c r="K53" s="661"/>
      <c r="L53" s="675"/>
      <c r="M53" s="675"/>
      <c r="N53" s="675"/>
      <c r="O53" s="675"/>
      <c r="P53" s="675"/>
    </row>
    <row r="54" spans="1:13" ht="22.5" customHeight="1" hidden="1">
      <c r="A54" s="773">
        <v>6</v>
      </c>
      <c r="B54" s="915" t="s">
        <v>4</v>
      </c>
      <c r="C54" s="115" t="s">
        <v>124</v>
      </c>
      <c r="D54" s="66">
        <f>E54+F54+I54</f>
        <v>6506.2</v>
      </c>
      <c r="E54" s="87">
        <f>E56+E57+E58</f>
        <v>3006.2</v>
      </c>
      <c r="F54" s="87">
        <f>F56+F57+F58+F59</f>
        <v>3500</v>
      </c>
      <c r="G54" s="87">
        <f>G56+G57+G58+G59</f>
        <v>0</v>
      </c>
      <c r="H54" s="87">
        <f>H56+H57+H58+H59</f>
        <v>0</v>
      </c>
      <c r="I54" s="87"/>
      <c r="J54" s="773" t="s">
        <v>45</v>
      </c>
      <c r="K54" s="15"/>
      <c r="M54" s="114"/>
    </row>
    <row r="55" spans="1:13" ht="30" customHeight="1" hidden="1">
      <c r="A55" s="775"/>
      <c r="B55" s="916"/>
      <c r="C55" s="115" t="s">
        <v>539</v>
      </c>
      <c r="D55" s="66">
        <f>E55+F55+I55</f>
        <v>3500</v>
      </c>
      <c r="E55" s="87"/>
      <c r="F55" s="87"/>
      <c r="G55" s="445"/>
      <c r="H55" s="445"/>
      <c r="I55" s="87">
        <v>3500</v>
      </c>
      <c r="J55" s="775"/>
      <c r="K55" s="15"/>
      <c r="M55" s="114"/>
    </row>
    <row r="56" spans="1:13" ht="56.25" customHeight="1" hidden="1">
      <c r="A56" s="35"/>
      <c r="B56" s="244" t="s">
        <v>144</v>
      </c>
      <c r="C56" s="115" t="s">
        <v>124</v>
      </c>
      <c r="D56" s="66">
        <f t="shared" si="3"/>
        <v>1812</v>
      </c>
      <c r="E56" s="207">
        <v>1812</v>
      </c>
      <c r="F56" s="210"/>
      <c r="G56" s="62"/>
      <c r="H56" s="62"/>
      <c r="I56" s="118"/>
      <c r="J56" s="35"/>
      <c r="K56" s="15"/>
      <c r="M56" s="114"/>
    </row>
    <row r="57" spans="1:13" ht="53.25" customHeight="1" hidden="1">
      <c r="A57" s="35"/>
      <c r="B57" s="244" t="s">
        <v>145</v>
      </c>
      <c r="C57" s="115" t="s">
        <v>124</v>
      </c>
      <c r="D57" s="66">
        <f t="shared" si="3"/>
        <v>597.1</v>
      </c>
      <c r="E57" s="207">
        <v>597.1</v>
      </c>
      <c r="F57" s="210"/>
      <c r="G57" s="62"/>
      <c r="H57" s="62"/>
      <c r="I57" s="118"/>
      <c r="J57" s="35"/>
      <c r="K57" s="15"/>
      <c r="M57" s="114"/>
    </row>
    <row r="58" spans="1:13" ht="45" customHeight="1" hidden="1">
      <c r="A58" s="35"/>
      <c r="B58" s="244" t="s">
        <v>146</v>
      </c>
      <c r="C58" s="115" t="s">
        <v>124</v>
      </c>
      <c r="D58" s="66">
        <f t="shared" si="3"/>
        <v>597.1</v>
      </c>
      <c r="E58" s="207">
        <v>597.1</v>
      </c>
      <c r="F58" s="210"/>
      <c r="G58" s="62"/>
      <c r="H58" s="62"/>
      <c r="I58" s="118"/>
      <c r="J58" s="35"/>
      <c r="K58" s="15"/>
      <c r="M58" s="114"/>
    </row>
    <row r="59" spans="1:13" ht="19.5" customHeight="1" hidden="1">
      <c r="A59" s="773"/>
      <c r="B59" s="917" t="s">
        <v>360</v>
      </c>
      <c r="C59" s="115" t="s">
        <v>124</v>
      </c>
      <c r="D59" s="66">
        <f>E59+F59</f>
        <v>3500</v>
      </c>
      <c r="E59" s="207"/>
      <c r="F59" s="210">
        <v>3500</v>
      </c>
      <c r="G59" s="62"/>
      <c r="H59" s="62"/>
      <c r="I59" s="118"/>
      <c r="J59" s="773"/>
      <c r="K59" s="15"/>
      <c r="M59" s="114"/>
    </row>
    <row r="60" spans="1:13" ht="20.25" customHeight="1" hidden="1">
      <c r="A60" s="775"/>
      <c r="B60" s="918"/>
      <c r="C60" s="115" t="s">
        <v>539</v>
      </c>
      <c r="D60" s="66">
        <f>E60+F60+I60</f>
        <v>3500</v>
      </c>
      <c r="E60" s="207"/>
      <c r="F60" s="210"/>
      <c r="G60" s="62"/>
      <c r="H60" s="62"/>
      <c r="I60" s="118">
        <v>3500</v>
      </c>
      <c r="J60" s="775"/>
      <c r="K60" s="15"/>
      <c r="M60" s="114"/>
    </row>
    <row r="61" spans="1:13" ht="58.5" customHeight="1">
      <c r="A61" s="35">
        <v>4</v>
      </c>
      <c r="B61" s="116" t="s">
        <v>39</v>
      </c>
      <c r="C61" s="115" t="s">
        <v>795</v>
      </c>
      <c r="D61" s="66">
        <f>E61+F61+I61</f>
        <v>5700</v>
      </c>
      <c r="E61" s="87">
        <f>E62+E63+E64</f>
        <v>5700</v>
      </c>
      <c r="F61" s="87">
        <f>F62+F63+F64</f>
        <v>0</v>
      </c>
      <c r="G61" s="87">
        <f>G62+G63+G64+G65+G66+G67+G68+G69+G70+G71+G72+G73+G74+G75+G76+G77+G78+G79+G80+G81+G82+G83+G84+G85+G86+G87+G88+G89+G90+G91+G92+G93+G94+G95+G96+G97+G98+G99+G100+G101+G102+G103+G104+G105+G106+G107+G108+G109+G110+G111+G112+G113+G114+G115</f>
        <v>0</v>
      </c>
      <c r="H61" s="87">
        <f>H62+H63+H64+H65+H66+H67+H68+H69+H70+H71+H72+H73+H74+H75+H76+H77+H78+H79+H80+H81+H82+H83+H84+H85+H86+H87+H88+H89+H90+H91+H92+H93+H94+H95+H96+H97+H98+H99+H100+H101+H102+H103+H104+H105+H106+H107+H108+H109+H110+H111+H112+H113+H114+H115</f>
        <v>0</v>
      </c>
      <c r="I61" s="87">
        <f>I62+I63+I64</f>
        <v>0</v>
      </c>
      <c r="J61" s="35" t="s">
        <v>785</v>
      </c>
      <c r="K61" s="15"/>
      <c r="M61" s="114"/>
    </row>
    <row r="62" spans="1:13" ht="81.75" customHeight="1">
      <c r="A62" s="35"/>
      <c r="B62" s="246" t="s">
        <v>707</v>
      </c>
      <c r="C62" s="115" t="s">
        <v>795</v>
      </c>
      <c r="D62" s="217">
        <f>E62+F62+I62</f>
        <v>1500</v>
      </c>
      <c r="E62" s="207">
        <v>1500</v>
      </c>
      <c r="F62" s="214"/>
      <c r="G62" s="62"/>
      <c r="H62" s="62"/>
      <c r="I62" s="122"/>
      <c r="J62" s="35"/>
      <c r="K62" s="15"/>
      <c r="M62" s="114"/>
    </row>
    <row r="63" spans="1:13" ht="72.75" customHeight="1">
      <c r="A63" s="35"/>
      <c r="B63" s="246" t="s">
        <v>708</v>
      </c>
      <c r="C63" s="115" t="s">
        <v>795</v>
      </c>
      <c r="D63" s="217">
        <f aca="true" t="shared" si="4" ref="D63:D92">E63+F63+I63</f>
        <v>1500</v>
      </c>
      <c r="E63" s="207">
        <v>1500</v>
      </c>
      <c r="F63" s="214"/>
      <c r="G63" s="62"/>
      <c r="H63" s="62"/>
      <c r="I63" s="122"/>
      <c r="J63" s="35"/>
      <c r="K63" s="15"/>
      <c r="M63" s="114"/>
    </row>
    <row r="64" spans="1:13" ht="60.75" customHeight="1">
      <c r="A64" s="35"/>
      <c r="B64" s="565" t="s">
        <v>709</v>
      </c>
      <c r="C64" s="115" t="s">
        <v>795</v>
      </c>
      <c r="D64" s="217">
        <f t="shared" si="4"/>
        <v>2700</v>
      </c>
      <c r="E64" s="207">
        <v>2700</v>
      </c>
      <c r="F64" s="214"/>
      <c r="G64" s="62"/>
      <c r="H64" s="62"/>
      <c r="I64" s="122"/>
      <c r="J64" s="35"/>
      <c r="K64" s="15"/>
      <c r="M64" s="114"/>
    </row>
    <row r="65" spans="1:13" ht="58.5" customHeight="1" hidden="1">
      <c r="A65" s="35"/>
      <c r="B65" s="566" t="s">
        <v>149</v>
      </c>
      <c r="C65" s="115" t="s">
        <v>124</v>
      </c>
      <c r="D65" s="217">
        <f t="shared" si="4"/>
        <v>650</v>
      </c>
      <c r="E65" s="207">
        <v>650</v>
      </c>
      <c r="F65" s="214"/>
      <c r="G65" s="62"/>
      <c r="H65" s="62"/>
      <c r="I65" s="122"/>
      <c r="J65" s="35"/>
      <c r="K65" s="15"/>
      <c r="M65" s="114"/>
    </row>
    <row r="66" spans="1:13" ht="38.25" customHeight="1" hidden="1">
      <c r="A66" s="35"/>
      <c r="B66" s="566" t="s">
        <v>150</v>
      </c>
      <c r="C66" s="115" t="s">
        <v>124</v>
      </c>
      <c r="D66" s="217">
        <f t="shared" si="4"/>
        <v>1100</v>
      </c>
      <c r="E66" s="207">
        <v>1100</v>
      </c>
      <c r="F66" s="214"/>
      <c r="G66" s="62"/>
      <c r="H66" s="62"/>
      <c r="I66" s="122"/>
      <c r="J66" s="35"/>
      <c r="K66" s="15"/>
      <c r="M66" s="114"/>
    </row>
    <row r="67" spans="1:13" ht="93" customHeight="1" hidden="1">
      <c r="A67" s="35"/>
      <c r="B67" s="249" t="s">
        <v>151</v>
      </c>
      <c r="C67" s="115" t="s">
        <v>124</v>
      </c>
      <c r="D67" s="217">
        <f t="shared" si="4"/>
        <v>30</v>
      </c>
      <c r="E67" s="215">
        <v>30</v>
      </c>
      <c r="F67" s="214"/>
      <c r="G67" s="62"/>
      <c r="H67" s="62"/>
      <c r="I67" s="122"/>
      <c r="J67" s="35"/>
      <c r="K67" s="15"/>
      <c r="M67" s="114"/>
    </row>
    <row r="68" spans="1:13" ht="58.5" customHeight="1" hidden="1">
      <c r="A68" s="35"/>
      <c r="B68" s="249" t="s">
        <v>152</v>
      </c>
      <c r="C68" s="115" t="s">
        <v>124</v>
      </c>
      <c r="D68" s="217">
        <f t="shared" si="4"/>
        <v>6500</v>
      </c>
      <c r="E68" s="216">
        <v>6500</v>
      </c>
      <c r="F68" s="214"/>
      <c r="G68" s="62"/>
      <c r="H68" s="62"/>
      <c r="I68" s="122"/>
      <c r="J68" s="35"/>
      <c r="K68" s="15"/>
      <c r="M68" s="114"/>
    </row>
    <row r="69" spans="1:13" ht="58.5" customHeight="1" hidden="1">
      <c r="A69" s="35"/>
      <c r="B69" s="567" t="s">
        <v>153</v>
      </c>
      <c r="C69" s="115" t="s">
        <v>124</v>
      </c>
      <c r="D69" s="217">
        <f t="shared" si="4"/>
        <v>1535</v>
      </c>
      <c r="E69" s="216">
        <v>1535</v>
      </c>
      <c r="F69" s="214"/>
      <c r="G69" s="62"/>
      <c r="H69" s="62"/>
      <c r="I69" s="122"/>
      <c r="J69" s="35"/>
      <c r="K69" s="15"/>
      <c r="M69" s="114"/>
    </row>
    <row r="70" spans="1:13" ht="58.5" customHeight="1" hidden="1">
      <c r="A70" s="35"/>
      <c r="B70" s="250" t="s">
        <v>154</v>
      </c>
      <c r="C70" s="115" t="s">
        <v>124</v>
      </c>
      <c r="D70" s="217">
        <f t="shared" si="4"/>
        <v>70</v>
      </c>
      <c r="E70" s="216">
        <v>70</v>
      </c>
      <c r="F70" s="214"/>
      <c r="G70" s="62"/>
      <c r="H70" s="62"/>
      <c r="I70" s="122"/>
      <c r="J70" s="35"/>
      <c r="K70" s="15"/>
      <c r="M70" s="114"/>
    </row>
    <row r="71" spans="1:13" ht="55.5" customHeight="1" hidden="1">
      <c r="A71" s="35"/>
      <c r="B71" s="250" t="s">
        <v>155</v>
      </c>
      <c r="C71" s="115" t="s">
        <v>124</v>
      </c>
      <c r="D71" s="217">
        <f t="shared" si="4"/>
        <v>850</v>
      </c>
      <c r="E71" s="216">
        <v>850</v>
      </c>
      <c r="F71" s="214"/>
      <c r="G71" s="62"/>
      <c r="H71" s="62"/>
      <c r="I71" s="122"/>
      <c r="J71" s="35"/>
      <c r="K71" s="15"/>
      <c r="M71" s="114"/>
    </row>
    <row r="72" spans="1:13" ht="77.25" customHeight="1" hidden="1">
      <c r="A72" s="35"/>
      <c r="B72" s="250" t="s">
        <v>156</v>
      </c>
      <c r="C72" s="115" t="s">
        <v>124</v>
      </c>
      <c r="D72" s="217">
        <f t="shared" si="4"/>
        <v>300</v>
      </c>
      <c r="E72" s="216">
        <v>300</v>
      </c>
      <c r="F72" s="214"/>
      <c r="G72" s="62"/>
      <c r="H72" s="62"/>
      <c r="I72" s="122"/>
      <c r="J72" s="35"/>
      <c r="K72" s="15"/>
      <c r="M72" s="114"/>
    </row>
    <row r="73" spans="1:13" ht="100.5" customHeight="1" hidden="1">
      <c r="A73" s="35"/>
      <c r="B73" s="250" t="s">
        <v>157</v>
      </c>
      <c r="C73" s="115" t="s">
        <v>124</v>
      </c>
      <c r="D73" s="217">
        <f t="shared" si="4"/>
        <v>280</v>
      </c>
      <c r="E73" s="216">
        <v>280</v>
      </c>
      <c r="F73" s="214"/>
      <c r="G73" s="62"/>
      <c r="H73" s="62"/>
      <c r="I73" s="122"/>
      <c r="J73" s="35"/>
      <c r="K73" s="15"/>
      <c r="M73" s="114"/>
    </row>
    <row r="74" spans="1:13" ht="79.5" customHeight="1" hidden="1">
      <c r="A74" s="35"/>
      <c r="B74" s="250" t="s">
        <v>158</v>
      </c>
      <c r="C74" s="115" t="s">
        <v>124</v>
      </c>
      <c r="D74" s="217">
        <f t="shared" si="4"/>
        <v>80</v>
      </c>
      <c r="E74" s="216">
        <v>80</v>
      </c>
      <c r="F74" s="214"/>
      <c r="G74" s="62"/>
      <c r="H74" s="62"/>
      <c r="I74" s="122"/>
      <c r="J74" s="35"/>
      <c r="K74" s="15"/>
      <c r="M74" s="114"/>
    </row>
    <row r="75" spans="1:13" ht="58.5" customHeight="1" hidden="1">
      <c r="A75" s="35"/>
      <c r="B75" s="250" t="s">
        <v>159</v>
      </c>
      <c r="C75" s="115" t="s">
        <v>124</v>
      </c>
      <c r="D75" s="217">
        <f t="shared" si="4"/>
        <v>350</v>
      </c>
      <c r="E75" s="216">
        <v>350</v>
      </c>
      <c r="F75" s="214"/>
      <c r="G75" s="62"/>
      <c r="H75" s="62"/>
      <c r="I75" s="122"/>
      <c r="J75" s="35"/>
      <c r="K75" s="15"/>
      <c r="M75" s="114"/>
    </row>
    <row r="76" spans="1:13" ht="84" customHeight="1" hidden="1">
      <c r="A76" s="35"/>
      <c r="B76" s="250" t="s">
        <v>160</v>
      </c>
      <c r="C76" s="115" t="s">
        <v>124</v>
      </c>
      <c r="D76" s="217">
        <f t="shared" si="4"/>
        <v>80</v>
      </c>
      <c r="E76" s="216">
        <v>80</v>
      </c>
      <c r="F76" s="214"/>
      <c r="G76" s="62"/>
      <c r="H76" s="62"/>
      <c r="I76" s="122"/>
      <c r="J76" s="35"/>
      <c r="K76" s="15"/>
      <c r="M76" s="114"/>
    </row>
    <row r="77" spans="1:13" ht="58.5" customHeight="1" hidden="1">
      <c r="A77" s="35"/>
      <c r="B77" s="250" t="s">
        <v>161</v>
      </c>
      <c r="C77" s="115" t="s">
        <v>124</v>
      </c>
      <c r="D77" s="217">
        <f t="shared" si="4"/>
        <v>550</v>
      </c>
      <c r="E77" s="216">
        <v>550</v>
      </c>
      <c r="F77" s="214"/>
      <c r="G77" s="62"/>
      <c r="H77" s="62"/>
      <c r="I77" s="122"/>
      <c r="J77" s="35"/>
      <c r="K77" s="15"/>
      <c r="M77" s="114"/>
    </row>
    <row r="78" spans="1:13" ht="97.5" customHeight="1" hidden="1">
      <c r="A78" s="35"/>
      <c r="B78" s="250" t="s">
        <v>162</v>
      </c>
      <c r="C78" s="115" t="s">
        <v>124</v>
      </c>
      <c r="D78" s="217">
        <f t="shared" si="4"/>
        <v>80</v>
      </c>
      <c r="E78" s="216">
        <v>80</v>
      </c>
      <c r="F78" s="214"/>
      <c r="G78" s="62"/>
      <c r="H78" s="62"/>
      <c r="I78" s="122"/>
      <c r="J78" s="35"/>
      <c r="K78" s="15"/>
      <c r="M78" s="114"/>
    </row>
    <row r="79" spans="1:13" ht="77.25" customHeight="1" hidden="1">
      <c r="A79" s="35"/>
      <c r="B79" s="250" t="s">
        <v>163</v>
      </c>
      <c r="C79" s="115" t="s">
        <v>124</v>
      </c>
      <c r="D79" s="217">
        <f t="shared" si="4"/>
        <v>320</v>
      </c>
      <c r="E79" s="216">
        <v>320</v>
      </c>
      <c r="F79" s="214"/>
      <c r="G79" s="62"/>
      <c r="H79" s="62"/>
      <c r="I79" s="122"/>
      <c r="J79" s="35"/>
      <c r="K79" s="15"/>
      <c r="M79" s="114"/>
    </row>
    <row r="80" spans="1:13" ht="72.75" customHeight="1" hidden="1">
      <c r="A80" s="35"/>
      <c r="B80" s="250" t="s">
        <v>164</v>
      </c>
      <c r="C80" s="115" t="s">
        <v>124</v>
      </c>
      <c r="D80" s="217">
        <f t="shared" si="4"/>
        <v>210</v>
      </c>
      <c r="E80" s="216">
        <v>210</v>
      </c>
      <c r="F80" s="214"/>
      <c r="G80" s="62"/>
      <c r="H80" s="62"/>
      <c r="I80" s="122"/>
      <c r="J80" s="35"/>
      <c r="K80" s="15"/>
      <c r="M80" s="114"/>
    </row>
    <row r="81" spans="1:13" ht="86.25" customHeight="1" hidden="1">
      <c r="A81" s="35"/>
      <c r="B81" s="250" t="s">
        <v>165</v>
      </c>
      <c r="C81" s="115" t="s">
        <v>124</v>
      </c>
      <c r="D81" s="217">
        <f t="shared" si="4"/>
        <v>215</v>
      </c>
      <c r="E81" s="216">
        <v>215</v>
      </c>
      <c r="F81" s="214"/>
      <c r="G81" s="62"/>
      <c r="H81" s="62"/>
      <c r="I81" s="122"/>
      <c r="J81" s="35"/>
      <c r="K81" s="15"/>
      <c r="M81" s="114"/>
    </row>
    <row r="82" spans="1:13" ht="81" customHeight="1" hidden="1">
      <c r="A82" s="35"/>
      <c r="B82" s="250" t="s">
        <v>166</v>
      </c>
      <c r="C82" s="115" t="s">
        <v>124</v>
      </c>
      <c r="D82" s="217">
        <f t="shared" si="4"/>
        <v>205.2</v>
      </c>
      <c r="E82" s="216">
        <v>205.2</v>
      </c>
      <c r="F82" s="214"/>
      <c r="G82" s="62"/>
      <c r="H82" s="62"/>
      <c r="I82" s="122"/>
      <c r="J82" s="35"/>
      <c r="K82" s="15"/>
      <c r="M82" s="114"/>
    </row>
    <row r="83" spans="1:13" ht="58.5" customHeight="1" hidden="1">
      <c r="A83" s="35"/>
      <c r="B83" s="250" t="s">
        <v>167</v>
      </c>
      <c r="C83" s="115" t="s">
        <v>124</v>
      </c>
      <c r="D83" s="217">
        <f t="shared" si="4"/>
        <v>8950</v>
      </c>
      <c r="E83" s="216">
        <v>8950</v>
      </c>
      <c r="F83" s="214"/>
      <c r="G83" s="62"/>
      <c r="H83" s="62"/>
      <c r="I83" s="122"/>
      <c r="J83" s="35"/>
      <c r="K83" s="15"/>
      <c r="M83" s="114"/>
    </row>
    <row r="84" spans="1:13" ht="58.5" customHeight="1" hidden="1">
      <c r="A84" s="35"/>
      <c r="B84" s="250" t="s">
        <v>168</v>
      </c>
      <c r="C84" s="115" t="s">
        <v>124</v>
      </c>
      <c r="D84" s="217">
        <f t="shared" si="4"/>
        <v>2100</v>
      </c>
      <c r="E84" s="216">
        <v>2100</v>
      </c>
      <c r="F84" s="214"/>
      <c r="G84" s="62"/>
      <c r="H84" s="62"/>
      <c r="I84" s="122"/>
      <c r="J84" s="35"/>
      <c r="K84" s="15"/>
      <c r="M84" s="114"/>
    </row>
    <row r="85" spans="1:13" ht="58.5" customHeight="1" hidden="1">
      <c r="A85" s="35"/>
      <c r="B85" s="253" t="s">
        <v>169</v>
      </c>
      <c r="C85" s="115" t="s">
        <v>124</v>
      </c>
      <c r="D85" s="217">
        <f t="shared" si="4"/>
        <v>3000</v>
      </c>
      <c r="E85" s="216">
        <v>3000</v>
      </c>
      <c r="F85" s="214"/>
      <c r="G85" s="62"/>
      <c r="H85" s="62"/>
      <c r="I85" s="122"/>
      <c r="J85" s="35"/>
      <c r="K85" s="15"/>
      <c r="M85" s="114"/>
    </row>
    <row r="86" spans="1:13" ht="43.5" customHeight="1" hidden="1">
      <c r="A86" s="35"/>
      <c r="B86" s="253" t="s">
        <v>170</v>
      </c>
      <c r="C86" s="115" t="s">
        <v>124</v>
      </c>
      <c r="D86" s="217">
        <f t="shared" si="4"/>
        <v>4475</v>
      </c>
      <c r="E86" s="216">
        <v>4475</v>
      </c>
      <c r="F86" s="214"/>
      <c r="G86" s="62"/>
      <c r="H86" s="62"/>
      <c r="I86" s="122"/>
      <c r="J86" s="35"/>
      <c r="K86" s="15"/>
      <c r="M86" s="114"/>
    </row>
    <row r="87" spans="1:13" ht="35.25" customHeight="1" hidden="1">
      <c r="A87" s="35"/>
      <c r="B87" s="253" t="s">
        <v>171</v>
      </c>
      <c r="C87" s="115" t="s">
        <v>124</v>
      </c>
      <c r="D87" s="217">
        <f t="shared" si="4"/>
        <v>2300</v>
      </c>
      <c r="E87" s="216">
        <v>2300</v>
      </c>
      <c r="F87" s="214"/>
      <c r="G87" s="62"/>
      <c r="H87" s="62"/>
      <c r="I87" s="122"/>
      <c r="J87" s="35"/>
      <c r="K87" s="15"/>
      <c r="M87" s="114"/>
    </row>
    <row r="88" spans="1:13" ht="37.5" customHeight="1" hidden="1">
      <c r="A88" s="35"/>
      <c r="B88" s="253" t="s">
        <v>172</v>
      </c>
      <c r="C88" s="115" t="s">
        <v>124</v>
      </c>
      <c r="D88" s="217">
        <f t="shared" si="4"/>
        <v>4806</v>
      </c>
      <c r="E88" s="216">
        <v>2403</v>
      </c>
      <c r="F88" s="214">
        <v>2403</v>
      </c>
      <c r="G88" s="62"/>
      <c r="H88" s="62"/>
      <c r="I88" s="123"/>
      <c r="J88" s="35"/>
      <c r="K88" s="15"/>
      <c r="M88" s="114"/>
    </row>
    <row r="89" spans="1:13" ht="36.75" customHeight="1" hidden="1">
      <c r="A89" s="35"/>
      <c r="B89" s="250" t="s">
        <v>173</v>
      </c>
      <c r="C89" s="115" t="s">
        <v>124</v>
      </c>
      <c r="D89" s="217">
        <f t="shared" si="4"/>
        <v>3429</v>
      </c>
      <c r="E89" s="216">
        <v>3429</v>
      </c>
      <c r="F89" s="214"/>
      <c r="G89" s="62"/>
      <c r="H89" s="62"/>
      <c r="I89" s="123"/>
      <c r="J89" s="35"/>
      <c r="K89" s="15"/>
      <c r="M89" s="114"/>
    </row>
    <row r="90" spans="1:13" ht="39" customHeight="1" hidden="1">
      <c r="A90" s="35"/>
      <c r="B90" s="250" t="s">
        <v>174</v>
      </c>
      <c r="C90" s="115" t="s">
        <v>124</v>
      </c>
      <c r="D90" s="217">
        <f t="shared" si="4"/>
        <v>1950</v>
      </c>
      <c r="E90" s="216">
        <v>1950</v>
      </c>
      <c r="F90" s="214"/>
      <c r="G90" s="62"/>
      <c r="H90" s="62"/>
      <c r="I90" s="123"/>
      <c r="J90" s="35"/>
      <c r="K90" s="15"/>
      <c r="M90" s="114"/>
    </row>
    <row r="91" spans="1:13" ht="40.5" customHeight="1" hidden="1">
      <c r="A91" s="35"/>
      <c r="B91" s="250" t="s">
        <v>175</v>
      </c>
      <c r="C91" s="115" t="s">
        <v>124</v>
      </c>
      <c r="D91" s="217">
        <f t="shared" si="4"/>
        <v>2100</v>
      </c>
      <c r="E91" s="216">
        <v>2100</v>
      </c>
      <c r="F91" s="209"/>
      <c r="G91" s="62"/>
      <c r="H91" s="62"/>
      <c r="I91" s="37"/>
      <c r="J91" s="35"/>
      <c r="K91" s="15"/>
      <c r="M91" s="114"/>
    </row>
    <row r="92" spans="1:13" ht="38.25" customHeight="1" hidden="1">
      <c r="A92" s="35"/>
      <c r="B92" s="250" t="s">
        <v>176</v>
      </c>
      <c r="C92" s="115" t="s">
        <v>124</v>
      </c>
      <c r="D92" s="217">
        <f t="shared" si="4"/>
        <v>2500</v>
      </c>
      <c r="E92" s="216">
        <v>2500</v>
      </c>
      <c r="F92" s="209"/>
      <c r="G92" s="124"/>
      <c r="H92" s="124"/>
      <c r="I92" s="125"/>
      <c r="J92" s="35"/>
      <c r="K92" s="15"/>
      <c r="M92" s="114"/>
    </row>
    <row r="93" spans="1:13" ht="65.25" customHeight="1" hidden="1">
      <c r="A93" s="35"/>
      <c r="B93" s="250" t="s">
        <v>177</v>
      </c>
      <c r="C93" s="115" t="s">
        <v>124</v>
      </c>
      <c r="D93" s="217">
        <f>E93+F93+I93</f>
        <v>625</v>
      </c>
      <c r="E93" s="216">
        <v>625</v>
      </c>
      <c r="F93" s="209"/>
      <c r="G93" s="124"/>
      <c r="H93" s="124"/>
      <c r="I93" s="125"/>
      <c r="J93" s="35"/>
      <c r="K93" s="15"/>
      <c r="M93" s="114"/>
    </row>
    <row r="94" spans="1:13" ht="55.5" customHeight="1" hidden="1">
      <c r="A94" s="35"/>
      <c r="B94" s="250" t="s">
        <v>333</v>
      </c>
      <c r="C94" s="115" t="s">
        <v>124</v>
      </c>
      <c r="D94" s="217">
        <f aca="true" t="shared" si="5" ref="D94:D132">E94+F94+I94</f>
        <v>4800</v>
      </c>
      <c r="E94" s="216"/>
      <c r="F94" s="209">
        <v>4800</v>
      </c>
      <c r="G94" s="124"/>
      <c r="H94" s="124"/>
      <c r="I94" s="125"/>
      <c r="J94" s="35"/>
      <c r="K94" s="15"/>
      <c r="M94" s="114"/>
    </row>
    <row r="95" spans="1:13" ht="34.5" customHeight="1" hidden="1">
      <c r="A95" s="35"/>
      <c r="B95" s="250" t="s">
        <v>334</v>
      </c>
      <c r="C95" s="115" t="s">
        <v>124</v>
      </c>
      <c r="D95" s="217">
        <f t="shared" si="5"/>
        <v>2600</v>
      </c>
      <c r="E95" s="216"/>
      <c r="F95" s="209">
        <v>2600</v>
      </c>
      <c r="G95" s="124"/>
      <c r="H95" s="124"/>
      <c r="I95" s="125"/>
      <c r="J95" s="35"/>
      <c r="K95" s="15"/>
      <c r="M95" s="114"/>
    </row>
    <row r="96" spans="1:13" ht="37.5" customHeight="1" hidden="1">
      <c r="A96" s="35"/>
      <c r="B96" s="250" t="s">
        <v>335</v>
      </c>
      <c r="C96" s="115" t="s">
        <v>124</v>
      </c>
      <c r="D96" s="217">
        <f t="shared" si="5"/>
        <v>2800</v>
      </c>
      <c r="E96" s="216"/>
      <c r="F96" s="209">
        <v>2800</v>
      </c>
      <c r="G96" s="124"/>
      <c r="H96" s="124"/>
      <c r="I96" s="125"/>
      <c r="J96" s="35"/>
      <c r="K96" s="15"/>
      <c r="M96" s="114"/>
    </row>
    <row r="97" spans="1:13" ht="36.75" customHeight="1" hidden="1">
      <c r="A97" s="35"/>
      <c r="B97" s="250" t="s">
        <v>336</v>
      </c>
      <c r="C97" s="115" t="s">
        <v>124</v>
      </c>
      <c r="D97" s="217">
        <f t="shared" si="5"/>
        <v>1755</v>
      </c>
      <c r="E97" s="216"/>
      <c r="F97" s="209">
        <v>1755</v>
      </c>
      <c r="G97" s="124"/>
      <c r="H97" s="124"/>
      <c r="I97" s="125"/>
      <c r="J97" s="35"/>
      <c r="K97" s="15"/>
      <c r="M97" s="114"/>
    </row>
    <row r="98" spans="1:13" ht="36" customHeight="1" hidden="1">
      <c r="A98" s="35"/>
      <c r="B98" s="250" t="s">
        <v>337</v>
      </c>
      <c r="C98" s="115" t="s">
        <v>124</v>
      </c>
      <c r="D98" s="217">
        <f t="shared" si="5"/>
        <v>3511</v>
      </c>
      <c r="E98" s="216"/>
      <c r="F98" s="209">
        <v>3511</v>
      </c>
      <c r="G98" s="124"/>
      <c r="H98" s="124"/>
      <c r="I98" s="125"/>
      <c r="J98" s="35"/>
      <c r="K98" s="15"/>
      <c r="M98" s="114"/>
    </row>
    <row r="99" spans="1:13" ht="52.5" customHeight="1" hidden="1">
      <c r="A99" s="35"/>
      <c r="B99" s="250" t="s">
        <v>338</v>
      </c>
      <c r="C99" s="115" t="s">
        <v>124</v>
      </c>
      <c r="D99" s="217">
        <f t="shared" si="5"/>
        <v>1260</v>
      </c>
      <c r="E99" s="216"/>
      <c r="F99" s="209">
        <v>1260</v>
      </c>
      <c r="G99" s="124"/>
      <c r="H99" s="124"/>
      <c r="I99" s="125"/>
      <c r="J99" s="35"/>
      <c r="K99" s="15"/>
      <c r="M99" s="114"/>
    </row>
    <row r="100" spans="1:13" ht="36.75" customHeight="1" hidden="1">
      <c r="A100" s="35"/>
      <c r="B100" s="250" t="s">
        <v>339</v>
      </c>
      <c r="C100" s="115" t="s">
        <v>124</v>
      </c>
      <c r="D100" s="217">
        <f t="shared" si="5"/>
        <v>667</v>
      </c>
      <c r="E100" s="216"/>
      <c r="F100" s="209">
        <v>667</v>
      </c>
      <c r="G100" s="124"/>
      <c r="H100" s="124"/>
      <c r="I100" s="125"/>
      <c r="J100" s="35"/>
      <c r="K100" s="15"/>
      <c r="M100" s="114"/>
    </row>
    <row r="101" spans="1:13" ht="35.25" customHeight="1" hidden="1">
      <c r="A101" s="35"/>
      <c r="B101" s="250" t="s">
        <v>340</v>
      </c>
      <c r="C101" s="115" t="s">
        <v>124</v>
      </c>
      <c r="D101" s="217">
        <f t="shared" si="5"/>
        <v>6.092</v>
      </c>
      <c r="E101" s="216"/>
      <c r="F101" s="209">
        <v>6.092</v>
      </c>
      <c r="G101" s="124"/>
      <c r="H101" s="124"/>
      <c r="I101" s="125"/>
      <c r="J101" s="35"/>
      <c r="K101" s="15"/>
      <c r="M101" s="114"/>
    </row>
    <row r="102" spans="1:13" ht="35.25" customHeight="1" hidden="1">
      <c r="A102" s="35"/>
      <c r="B102" s="250" t="s">
        <v>341</v>
      </c>
      <c r="C102" s="115" t="s">
        <v>124</v>
      </c>
      <c r="D102" s="217">
        <f t="shared" si="5"/>
        <v>7.38</v>
      </c>
      <c r="E102" s="216"/>
      <c r="F102" s="209">
        <v>7.38</v>
      </c>
      <c r="G102" s="124"/>
      <c r="H102" s="124"/>
      <c r="I102" s="125"/>
      <c r="J102" s="35"/>
      <c r="K102" s="15"/>
      <c r="M102" s="114"/>
    </row>
    <row r="103" spans="1:13" ht="35.25" customHeight="1" hidden="1">
      <c r="A103" s="35"/>
      <c r="B103" s="250" t="s">
        <v>342</v>
      </c>
      <c r="C103" s="115" t="s">
        <v>124</v>
      </c>
      <c r="D103" s="217">
        <f t="shared" si="5"/>
        <v>9.68</v>
      </c>
      <c r="E103" s="216"/>
      <c r="F103" s="209">
        <v>9.68</v>
      </c>
      <c r="G103" s="124"/>
      <c r="H103" s="124"/>
      <c r="I103" s="125"/>
      <c r="J103" s="35"/>
      <c r="K103" s="15"/>
      <c r="M103" s="114"/>
    </row>
    <row r="104" spans="1:13" ht="53.25" customHeight="1" hidden="1">
      <c r="A104" s="35"/>
      <c r="B104" s="250" t="s">
        <v>343</v>
      </c>
      <c r="C104" s="115" t="s">
        <v>124</v>
      </c>
      <c r="D104" s="217">
        <f t="shared" si="5"/>
        <v>257.38</v>
      </c>
      <c r="E104" s="216"/>
      <c r="F104" s="209">
        <v>257.38</v>
      </c>
      <c r="G104" s="124"/>
      <c r="H104" s="124"/>
      <c r="I104" s="125"/>
      <c r="J104" s="35"/>
      <c r="K104" s="15"/>
      <c r="M104" s="114"/>
    </row>
    <row r="105" spans="1:13" ht="53.25" customHeight="1" hidden="1">
      <c r="A105" s="35"/>
      <c r="B105" s="250" t="s">
        <v>344</v>
      </c>
      <c r="C105" s="115" t="s">
        <v>124</v>
      </c>
      <c r="D105" s="217">
        <f t="shared" si="5"/>
        <v>79.86</v>
      </c>
      <c r="E105" s="216"/>
      <c r="F105" s="209">
        <v>79.86</v>
      </c>
      <c r="G105" s="124"/>
      <c r="H105" s="124"/>
      <c r="I105" s="125"/>
      <c r="J105" s="35"/>
      <c r="K105" s="15"/>
      <c r="M105" s="114"/>
    </row>
    <row r="106" spans="1:13" ht="56.25" customHeight="1" hidden="1">
      <c r="A106" s="35"/>
      <c r="B106" s="250" t="s">
        <v>345</v>
      </c>
      <c r="C106" s="115" t="s">
        <v>124</v>
      </c>
      <c r="D106" s="217">
        <f t="shared" si="5"/>
        <v>746.83</v>
      </c>
      <c r="E106" s="216"/>
      <c r="F106" s="209">
        <v>746.83</v>
      </c>
      <c r="G106" s="124"/>
      <c r="H106" s="124"/>
      <c r="I106" s="125"/>
      <c r="J106" s="35"/>
      <c r="K106" s="15"/>
      <c r="M106" s="114"/>
    </row>
    <row r="107" spans="1:13" ht="37.5" customHeight="1" hidden="1">
      <c r="A107" s="35"/>
      <c r="B107" s="250" t="s">
        <v>346</v>
      </c>
      <c r="C107" s="115" t="s">
        <v>124</v>
      </c>
      <c r="D107" s="217">
        <f t="shared" si="5"/>
        <v>35.75</v>
      </c>
      <c r="E107" s="216"/>
      <c r="F107" s="209">
        <v>35.75</v>
      </c>
      <c r="G107" s="124"/>
      <c r="H107" s="124"/>
      <c r="I107" s="125"/>
      <c r="J107" s="35"/>
      <c r="K107" s="15"/>
      <c r="M107" s="114"/>
    </row>
    <row r="108" spans="1:13" ht="36" customHeight="1" hidden="1">
      <c r="A108" s="35"/>
      <c r="B108" s="250" t="s">
        <v>347</v>
      </c>
      <c r="C108" s="115" t="s">
        <v>124</v>
      </c>
      <c r="D108" s="217">
        <f t="shared" si="5"/>
        <v>15.4</v>
      </c>
      <c r="E108" s="216"/>
      <c r="F108" s="209">
        <v>15.4</v>
      </c>
      <c r="G108" s="124"/>
      <c r="H108" s="124"/>
      <c r="I108" s="125"/>
      <c r="J108" s="35"/>
      <c r="K108" s="15"/>
      <c r="M108" s="114"/>
    </row>
    <row r="109" spans="1:13" ht="36" customHeight="1" hidden="1">
      <c r="A109" s="35"/>
      <c r="B109" s="250" t="s">
        <v>348</v>
      </c>
      <c r="C109" s="115" t="s">
        <v>124</v>
      </c>
      <c r="D109" s="217">
        <f t="shared" si="5"/>
        <v>310</v>
      </c>
      <c r="E109" s="216"/>
      <c r="F109" s="209">
        <v>310</v>
      </c>
      <c r="G109" s="124"/>
      <c r="H109" s="124"/>
      <c r="I109" s="125"/>
      <c r="J109" s="35"/>
      <c r="K109" s="15"/>
      <c r="M109" s="114"/>
    </row>
    <row r="110" spans="1:13" ht="36" customHeight="1" hidden="1">
      <c r="A110" s="35"/>
      <c r="B110" s="250" t="s">
        <v>349</v>
      </c>
      <c r="C110" s="115" t="s">
        <v>124</v>
      </c>
      <c r="D110" s="217">
        <f t="shared" si="5"/>
        <v>92</v>
      </c>
      <c r="E110" s="216"/>
      <c r="F110" s="209">
        <v>92</v>
      </c>
      <c r="G110" s="124"/>
      <c r="H110" s="124"/>
      <c r="I110" s="125"/>
      <c r="J110" s="35"/>
      <c r="K110" s="15"/>
      <c r="M110" s="114"/>
    </row>
    <row r="111" spans="1:13" ht="36" customHeight="1" hidden="1">
      <c r="A111" s="35"/>
      <c r="B111" s="250" t="s">
        <v>350</v>
      </c>
      <c r="C111" s="115" t="s">
        <v>124</v>
      </c>
      <c r="D111" s="217">
        <f t="shared" si="5"/>
        <v>1715</v>
      </c>
      <c r="E111" s="216"/>
      <c r="F111" s="209">
        <v>1715</v>
      </c>
      <c r="G111" s="124"/>
      <c r="H111" s="124"/>
      <c r="I111" s="125"/>
      <c r="J111" s="35"/>
      <c r="K111" s="15"/>
      <c r="M111" s="114"/>
    </row>
    <row r="112" spans="1:13" ht="36" customHeight="1" hidden="1">
      <c r="A112" s="35"/>
      <c r="B112" s="250" t="s">
        <v>351</v>
      </c>
      <c r="C112" s="115" t="s">
        <v>124</v>
      </c>
      <c r="D112" s="217">
        <f t="shared" si="5"/>
        <v>2836.5</v>
      </c>
      <c r="E112" s="216"/>
      <c r="F112" s="209">
        <v>2836.5</v>
      </c>
      <c r="G112" s="124"/>
      <c r="H112" s="124"/>
      <c r="I112" s="125"/>
      <c r="J112" s="35"/>
      <c r="K112" s="15"/>
      <c r="M112" s="114"/>
    </row>
    <row r="113" spans="1:13" ht="41.25" customHeight="1" hidden="1">
      <c r="A113" s="35"/>
      <c r="B113" s="250" t="s">
        <v>352</v>
      </c>
      <c r="C113" s="115" t="s">
        <v>124</v>
      </c>
      <c r="D113" s="217">
        <f t="shared" si="5"/>
        <v>625</v>
      </c>
      <c r="E113" s="216"/>
      <c r="F113" s="209">
        <v>625</v>
      </c>
      <c r="G113" s="124"/>
      <c r="H113" s="124"/>
      <c r="I113" s="125"/>
      <c r="J113" s="35"/>
      <c r="K113" s="15"/>
      <c r="M113" s="114"/>
    </row>
    <row r="114" spans="1:13" ht="35.25" customHeight="1" hidden="1">
      <c r="A114" s="35"/>
      <c r="B114" s="344" t="s">
        <v>466</v>
      </c>
      <c r="C114" s="115" t="s">
        <v>124</v>
      </c>
      <c r="D114" s="217">
        <f t="shared" si="5"/>
        <v>0</v>
      </c>
      <c r="E114" s="216"/>
      <c r="F114" s="209">
        <f>1000-1000</f>
        <v>0</v>
      </c>
      <c r="G114" s="124"/>
      <c r="H114" s="124"/>
      <c r="I114" s="125"/>
      <c r="J114" s="35"/>
      <c r="K114" s="15"/>
      <c r="M114" s="114"/>
    </row>
    <row r="115" spans="1:13" ht="94.5" customHeight="1" hidden="1">
      <c r="A115" s="35"/>
      <c r="B115" s="344" t="s">
        <v>533</v>
      </c>
      <c r="C115" s="115" t="s">
        <v>124</v>
      </c>
      <c r="D115" s="217">
        <f t="shared" si="5"/>
        <v>100</v>
      </c>
      <c r="E115" s="216"/>
      <c r="F115" s="209">
        <v>100</v>
      </c>
      <c r="G115" s="124"/>
      <c r="H115" s="124"/>
      <c r="I115" s="125"/>
      <c r="J115" s="35"/>
      <c r="K115" s="15"/>
      <c r="M115" s="114"/>
    </row>
    <row r="116" spans="1:13" ht="56.25" hidden="1">
      <c r="A116" s="35">
        <v>8</v>
      </c>
      <c r="B116" s="128" t="s">
        <v>136</v>
      </c>
      <c r="C116" s="115"/>
      <c r="D116" s="129">
        <f t="shared" si="5"/>
        <v>2112.7</v>
      </c>
      <c r="E116" s="262">
        <f>E117+E118+E119+E120+E121</f>
        <v>2112.7</v>
      </c>
      <c r="F116" s="262">
        <f>F117+F118+F119+F120+F121</f>
        <v>0</v>
      </c>
      <c r="G116" s="262">
        <f>G117+G118+G119+G120+G121</f>
        <v>0</v>
      </c>
      <c r="H116" s="262">
        <f>H117+H118+H119+H120+H121</f>
        <v>0</v>
      </c>
      <c r="I116" s="262">
        <f>I117+I118+I119+I120+I121</f>
        <v>0</v>
      </c>
      <c r="J116" s="35" t="s">
        <v>139</v>
      </c>
      <c r="K116" s="15"/>
      <c r="M116" s="114"/>
    </row>
    <row r="117" spans="1:13" ht="75" hidden="1">
      <c r="A117" s="35"/>
      <c r="B117" s="244" t="s">
        <v>229</v>
      </c>
      <c r="C117" s="115" t="s">
        <v>124</v>
      </c>
      <c r="D117" s="129">
        <f t="shared" si="5"/>
        <v>1568.6</v>
      </c>
      <c r="E117" s="207">
        <v>1568.6</v>
      </c>
      <c r="F117" s="210"/>
      <c r="G117" s="126"/>
      <c r="H117" s="126"/>
      <c r="I117" s="129"/>
      <c r="J117" s="35"/>
      <c r="K117" s="15"/>
      <c r="M117" s="114"/>
    </row>
    <row r="118" spans="1:13" ht="37.5" hidden="1">
      <c r="A118" s="35"/>
      <c r="B118" s="244" t="s">
        <v>140</v>
      </c>
      <c r="C118" s="115" t="s">
        <v>124</v>
      </c>
      <c r="D118" s="129">
        <f t="shared" si="5"/>
        <v>171.5</v>
      </c>
      <c r="E118" s="213">
        <v>171.5</v>
      </c>
      <c r="F118" s="210"/>
      <c r="G118" s="126"/>
      <c r="H118" s="126"/>
      <c r="I118" s="129"/>
      <c r="J118" s="35"/>
      <c r="K118" s="15"/>
      <c r="M118" s="114"/>
    </row>
    <row r="119" spans="1:13" ht="56.25" hidden="1">
      <c r="A119" s="35"/>
      <c r="B119" s="244" t="s">
        <v>141</v>
      </c>
      <c r="C119" s="115" t="s">
        <v>124</v>
      </c>
      <c r="D119" s="129">
        <f t="shared" si="5"/>
        <v>107.7</v>
      </c>
      <c r="E119" s="207">
        <v>107.7</v>
      </c>
      <c r="F119" s="210"/>
      <c r="G119" s="126"/>
      <c r="H119" s="126"/>
      <c r="I119" s="129"/>
      <c r="J119" s="35"/>
      <c r="K119" s="15"/>
      <c r="M119" s="114"/>
    </row>
    <row r="120" spans="1:13" ht="56.25" hidden="1">
      <c r="A120" s="35"/>
      <c r="B120" s="244" t="s">
        <v>142</v>
      </c>
      <c r="C120" s="115" t="s">
        <v>124</v>
      </c>
      <c r="D120" s="129">
        <f t="shared" si="5"/>
        <v>182.8</v>
      </c>
      <c r="E120" s="207">
        <v>182.8</v>
      </c>
      <c r="F120" s="210"/>
      <c r="G120" s="126"/>
      <c r="H120" s="126"/>
      <c r="I120" s="129"/>
      <c r="J120" s="35"/>
      <c r="K120" s="15"/>
      <c r="M120" s="114"/>
    </row>
    <row r="121" spans="1:13" ht="56.25" hidden="1">
      <c r="A121" s="35"/>
      <c r="B121" s="244" t="s">
        <v>143</v>
      </c>
      <c r="C121" s="115" t="s">
        <v>124</v>
      </c>
      <c r="D121" s="129">
        <f t="shared" si="5"/>
        <v>82.1</v>
      </c>
      <c r="E121" s="207">
        <v>82.1</v>
      </c>
      <c r="F121" s="210"/>
      <c r="G121" s="126"/>
      <c r="H121" s="126"/>
      <c r="I121" s="129"/>
      <c r="J121" s="35"/>
      <c r="K121" s="15"/>
      <c r="M121" s="114"/>
    </row>
    <row r="122" spans="1:13" ht="55.5" customHeight="1">
      <c r="A122" s="35">
        <v>5</v>
      </c>
      <c r="B122" s="130" t="s">
        <v>65</v>
      </c>
      <c r="C122" s="115" t="s">
        <v>795</v>
      </c>
      <c r="D122" s="211">
        <f>E122+F122+I122</f>
        <v>560</v>
      </c>
      <c r="E122" s="212">
        <f>E123+E124</f>
        <v>560</v>
      </c>
      <c r="F122" s="212">
        <f>F123+F124</f>
        <v>0</v>
      </c>
      <c r="G122" s="212">
        <f>G123+G124</f>
        <v>0</v>
      </c>
      <c r="H122" s="212">
        <f>H123+H124</f>
        <v>0</v>
      </c>
      <c r="I122" s="212">
        <f>I123+I124</f>
        <v>0</v>
      </c>
      <c r="J122" s="35" t="s">
        <v>794</v>
      </c>
      <c r="K122" s="15"/>
      <c r="M122" s="114"/>
    </row>
    <row r="123" spans="1:13" ht="45" customHeight="1">
      <c r="A123" s="35"/>
      <c r="B123" s="244" t="s">
        <v>710</v>
      </c>
      <c r="C123" s="115" t="s">
        <v>702</v>
      </c>
      <c r="D123" s="211">
        <f t="shared" si="5"/>
        <v>20</v>
      </c>
      <c r="E123" s="266">
        <v>20</v>
      </c>
      <c r="F123" s="210"/>
      <c r="G123" s="126"/>
      <c r="H123" s="126"/>
      <c r="I123" s="125"/>
      <c r="J123" s="35"/>
      <c r="K123" s="15"/>
      <c r="M123" s="114"/>
    </row>
    <row r="124" spans="1:13" ht="45" customHeight="1">
      <c r="A124" s="35"/>
      <c r="B124" s="244" t="s">
        <v>711</v>
      </c>
      <c r="C124" s="115" t="s">
        <v>795</v>
      </c>
      <c r="D124" s="211">
        <f t="shared" si="5"/>
        <v>540</v>
      </c>
      <c r="E124" s="266">
        <v>540</v>
      </c>
      <c r="F124" s="210"/>
      <c r="G124" s="126"/>
      <c r="H124" s="126"/>
      <c r="I124" s="125"/>
      <c r="J124" s="35"/>
      <c r="K124" s="15"/>
      <c r="M124" s="114"/>
    </row>
    <row r="125" spans="1:13" ht="45" customHeight="1" hidden="1">
      <c r="A125" s="35"/>
      <c r="B125" s="244" t="s">
        <v>243</v>
      </c>
      <c r="C125" s="115" t="s">
        <v>124</v>
      </c>
      <c r="D125" s="211">
        <f t="shared" si="5"/>
        <v>500</v>
      </c>
      <c r="E125" s="266">
        <v>500</v>
      </c>
      <c r="F125" s="210"/>
      <c r="G125" s="126"/>
      <c r="H125" s="126"/>
      <c r="I125" s="125"/>
      <c r="J125" s="35"/>
      <c r="K125" s="15"/>
      <c r="M125" s="114"/>
    </row>
    <row r="126" spans="1:13" ht="45" customHeight="1" hidden="1">
      <c r="A126" s="35"/>
      <c r="B126" s="244" t="s">
        <v>383</v>
      </c>
      <c r="C126" s="263"/>
      <c r="D126" s="211">
        <f t="shared" si="5"/>
        <v>20.8</v>
      </c>
      <c r="E126" s="266"/>
      <c r="F126" s="210">
        <v>20.8</v>
      </c>
      <c r="G126" s="126"/>
      <c r="H126" s="126"/>
      <c r="I126" s="125"/>
      <c r="J126" s="35"/>
      <c r="K126" s="15"/>
      <c r="M126" s="114"/>
    </row>
    <row r="127" spans="1:13" ht="45" customHeight="1" hidden="1">
      <c r="A127" s="35"/>
      <c r="B127" s="244" t="s">
        <v>384</v>
      </c>
      <c r="C127" s="263"/>
      <c r="D127" s="211">
        <f t="shared" si="5"/>
        <v>42.2</v>
      </c>
      <c r="E127" s="266"/>
      <c r="F127" s="210">
        <v>42.2</v>
      </c>
      <c r="G127" s="126"/>
      <c r="H127" s="126"/>
      <c r="I127" s="125"/>
      <c r="J127" s="35"/>
      <c r="K127" s="15"/>
      <c r="M127" s="114"/>
    </row>
    <row r="128" spans="1:13" ht="53.25" customHeight="1" hidden="1">
      <c r="A128" s="35">
        <v>10</v>
      </c>
      <c r="B128" s="130" t="s">
        <v>231</v>
      </c>
      <c r="C128" s="263"/>
      <c r="D128" s="211">
        <f t="shared" si="5"/>
        <v>30680</v>
      </c>
      <c r="E128" s="265">
        <f>E129+E130+E131+E132</f>
        <v>30680</v>
      </c>
      <c r="F128" s="265">
        <f>F129+F130+F131+F132</f>
        <v>0</v>
      </c>
      <c r="G128" s="265">
        <f>G129+G130+G131+G132</f>
        <v>0</v>
      </c>
      <c r="H128" s="265">
        <f>H129+H130+H131+H132</f>
        <v>0</v>
      </c>
      <c r="I128" s="265">
        <f>I129+I130+I131+I132</f>
        <v>0</v>
      </c>
      <c r="J128" s="35" t="s">
        <v>236</v>
      </c>
      <c r="K128" s="15"/>
      <c r="M128" s="114"/>
    </row>
    <row r="129" spans="1:13" ht="39.75" customHeight="1" hidden="1">
      <c r="A129" s="35"/>
      <c r="B129" s="264" t="s">
        <v>232</v>
      </c>
      <c r="C129" s="115" t="s">
        <v>124</v>
      </c>
      <c r="D129" s="211">
        <f t="shared" si="5"/>
        <v>15500</v>
      </c>
      <c r="E129" s="267">
        <v>15500</v>
      </c>
      <c r="F129" s="210"/>
      <c r="G129" s="126"/>
      <c r="H129" s="126"/>
      <c r="I129" s="125"/>
      <c r="J129" s="35"/>
      <c r="K129" s="15"/>
      <c r="M129" s="114"/>
    </row>
    <row r="130" spans="1:13" ht="42" customHeight="1" hidden="1">
      <c r="A130" s="35"/>
      <c r="B130" s="264" t="s">
        <v>233</v>
      </c>
      <c r="C130" s="115" t="s">
        <v>124</v>
      </c>
      <c r="D130" s="211">
        <f t="shared" si="5"/>
        <v>4700</v>
      </c>
      <c r="E130" s="267">
        <v>4700</v>
      </c>
      <c r="F130" s="210"/>
      <c r="G130" s="126"/>
      <c r="H130" s="126"/>
      <c r="I130" s="125"/>
      <c r="J130" s="35"/>
      <c r="K130" s="15"/>
      <c r="M130" s="114"/>
    </row>
    <row r="131" spans="1:13" ht="40.5" customHeight="1" hidden="1">
      <c r="A131" s="35"/>
      <c r="B131" s="264" t="s">
        <v>234</v>
      </c>
      <c r="C131" s="115" t="s">
        <v>124</v>
      </c>
      <c r="D131" s="211">
        <f t="shared" si="5"/>
        <v>4780</v>
      </c>
      <c r="E131" s="266">
        <v>4780</v>
      </c>
      <c r="F131" s="210"/>
      <c r="G131" s="126"/>
      <c r="H131" s="126"/>
      <c r="I131" s="125"/>
      <c r="J131" s="35"/>
      <c r="K131" s="15"/>
      <c r="M131" s="114"/>
    </row>
    <row r="132" spans="1:13" ht="37.5" customHeight="1" hidden="1">
      <c r="A132" s="35"/>
      <c r="B132" s="264" t="s">
        <v>235</v>
      </c>
      <c r="C132" s="115" t="s">
        <v>124</v>
      </c>
      <c r="D132" s="211">
        <f t="shared" si="5"/>
        <v>5700</v>
      </c>
      <c r="E132" s="266">
        <v>5700</v>
      </c>
      <c r="F132" s="210"/>
      <c r="G132" s="126"/>
      <c r="H132" s="126"/>
      <c r="I132" s="125"/>
      <c r="J132" s="35"/>
      <c r="K132" s="15"/>
      <c r="M132" s="114"/>
    </row>
    <row r="133" spans="1:11" ht="20.25">
      <c r="A133" s="69"/>
      <c r="B133" s="254" t="s">
        <v>5</v>
      </c>
      <c r="C133" s="115"/>
      <c r="D133" s="255">
        <f aca="true" t="shared" si="6" ref="D133:I133">D122+D61+D45+D40+D31</f>
        <v>20042.05</v>
      </c>
      <c r="E133" s="255">
        <f>E122+E61+E45+E40+E31</f>
        <v>20042.05</v>
      </c>
      <c r="F133" s="255">
        <f t="shared" si="6"/>
        <v>0</v>
      </c>
      <c r="G133" s="255" t="e">
        <f t="shared" si="6"/>
        <v>#REF!</v>
      </c>
      <c r="H133" s="255" t="e">
        <f t="shared" si="6"/>
        <v>#REF!</v>
      </c>
      <c r="I133" s="255">
        <f t="shared" si="6"/>
        <v>0</v>
      </c>
      <c r="J133" s="71"/>
      <c r="K133" s="15"/>
    </row>
    <row r="134" spans="1:11" ht="15.75">
      <c r="A134" s="133"/>
      <c r="B134" s="134"/>
      <c r="C134" s="134"/>
      <c r="D134" s="135"/>
      <c r="E134" s="135"/>
      <c r="F134" s="135"/>
      <c r="G134" s="135"/>
      <c r="H134" s="135"/>
      <c r="I134" s="135"/>
      <c r="J134" s="20"/>
      <c r="K134" s="15"/>
    </row>
    <row r="135" spans="1:11" ht="15.75" hidden="1">
      <c r="A135" s="133"/>
      <c r="B135" s="134"/>
      <c r="C135" s="18"/>
      <c r="D135" s="19"/>
      <c r="E135" s="19"/>
      <c r="F135" s="19"/>
      <c r="G135" s="19"/>
      <c r="H135" s="19"/>
      <c r="I135" s="19"/>
      <c r="J135" s="20"/>
      <c r="K135" s="15"/>
    </row>
    <row r="136" spans="2:11" ht="15.75" hidden="1">
      <c r="B136" s="134"/>
      <c r="C136" s="18"/>
      <c r="D136" s="19"/>
      <c r="E136" s="19"/>
      <c r="F136" s="19"/>
      <c r="G136" s="19"/>
      <c r="H136" s="19"/>
      <c r="I136" s="19"/>
      <c r="J136" s="20"/>
      <c r="K136" s="15"/>
    </row>
    <row r="137" spans="2:11" ht="30.75" customHeight="1">
      <c r="B137" s="748" t="s">
        <v>18</v>
      </c>
      <c r="C137" s="748"/>
      <c r="D137" s="352"/>
      <c r="E137" s="352"/>
      <c r="F137" s="22"/>
      <c r="I137" s="23"/>
      <c r="J137" s="23" t="s">
        <v>30</v>
      </c>
      <c r="K137" s="23"/>
    </row>
    <row r="138" spans="2:11" ht="16.5" customHeight="1">
      <c r="B138" s="230"/>
      <c r="C138" s="352"/>
      <c r="D138" s="352"/>
      <c r="E138" s="352"/>
      <c r="F138" s="22"/>
      <c r="I138" s="23"/>
      <c r="J138" s="23"/>
      <c r="K138" s="23"/>
    </row>
    <row r="139" spans="2:11" ht="1.5" customHeight="1">
      <c r="B139" s="230"/>
      <c r="C139" s="352"/>
      <c r="D139" s="352"/>
      <c r="E139" s="352"/>
      <c r="F139" s="22"/>
      <c r="I139" s="23"/>
      <c r="J139" s="23"/>
      <c r="K139" s="23"/>
    </row>
    <row r="140" spans="2:10" ht="18.75">
      <c r="B140" s="777" t="s">
        <v>558</v>
      </c>
      <c r="C140" s="777"/>
      <c r="D140" s="25"/>
      <c r="E140" s="25"/>
      <c r="F140" s="26"/>
      <c r="G140" s="26"/>
      <c r="H140" s="26"/>
      <c r="I140" s="15"/>
      <c r="J140" s="15"/>
    </row>
    <row r="141" spans="2:12" ht="15.75" customHeight="1">
      <c r="B141" s="323"/>
      <c r="C141" s="17"/>
      <c r="D141" s="26"/>
      <c r="E141" s="26"/>
      <c r="F141" s="26"/>
      <c r="G141" s="26"/>
      <c r="H141" s="26"/>
      <c r="I141" s="15"/>
      <c r="J141" s="15"/>
      <c r="L141" s="12"/>
    </row>
    <row r="142" spans="2:10" ht="15.75">
      <c r="B142" s="137"/>
      <c r="C142" s="29"/>
      <c r="D142" s="30"/>
      <c r="E142" s="30"/>
      <c r="F142" s="26"/>
      <c r="G142" s="26"/>
      <c r="H142" s="26"/>
      <c r="I142" s="15"/>
      <c r="J142" s="15"/>
    </row>
    <row r="143" spans="3:9" ht="15.75">
      <c r="C143" s="30"/>
      <c r="D143" s="26"/>
      <c r="E143" s="26"/>
      <c r="F143" s="26"/>
      <c r="G143" s="26"/>
      <c r="H143" s="26"/>
      <c r="I143" s="26"/>
    </row>
    <row r="144" spans="3:9" ht="15.75">
      <c r="C144" s="31"/>
      <c r="D144" s="26"/>
      <c r="E144" s="26"/>
      <c r="F144" s="26"/>
      <c r="G144" s="26"/>
      <c r="H144" s="26"/>
      <c r="I144" s="26"/>
    </row>
    <row r="146" ht="12.75">
      <c r="H146" s="138"/>
    </row>
  </sheetData>
  <sheetProtection/>
  <mergeCells count="30">
    <mergeCell ref="I14:I15"/>
    <mergeCell ref="A45:A46"/>
    <mergeCell ref="J13:J15"/>
    <mergeCell ref="J45:J46"/>
    <mergeCell ref="C45:C46"/>
    <mergeCell ref="D45:D46"/>
    <mergeCell ref="E45:E46"/>
    <mergeCell ref="F45:F46"/>
    <mergeCell ref="D13:D15"/>
    <mergeCell ref="E13:I13"/>
    <mergeCell ref="C13:C15"/>
    <mergeCell ref="A59:A60"/>
    <mergeCell ref="B59:B60"/>
    <mergeCell ref="I9:J9"/>
    <mergeCell ref="A11:J11"/>
    <mergeCell ref="D12:H12"/>
    <mergeCell ref="A13:A15"/>
    <mergeCell ref="I45:I46"/>
    <mergeCell ref="E14:E15"/>
    <mergeCell ref="F14:H15"/>
    <mergeCell ref="I8:J8"/>
    <mergeCell ref="I7:N7"/>
    <mergeCell ref="J59:J60"/>
    <mergeCell ref="B137:C137"/>
    <mergeCell ref="B140:C140"/>
    <mergeCell ref="A54:A55"/>
    <mergeCell ref="B54:B55"/>
    <mergeCell ref="J54:J55"/>
    <mergeCell ref="B45:B46"/>
    <mergeCell ref="B13:B15"/>
  </mergeCells>
  <printOptions horizontalCentered="1"/>
  <pageMargins left="0.5905511811023623" right="0.5905511811023623" top="1.1811023622047245" bottom="0.1968503937007874" header="0" footer="0"/>
  <pageSetup fitToHeight="0" fitToWidth="1" horizontalDpi="600" verticalDpi="600" orientation="landscape" paperSize="9" scale="58" r:id="rId1"/>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N29"/>
  <sheetViews>
    <sheetView view="pageBreakPreview" zoomScaleSheetLayoutView="100" zoomScalePageLayoutView="0" workbookViewId="0" topLeftCell="A1">
      <selection activeCell="A10" sqref="A10:K10"/>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767" t="s">
        <v>454</v>
      </c>
      <c r="K1" s="767"/>
      <c r="L1" s="13" t="s">
        <v>19</v>
      </c>
    </row>
    <row r="2" spans="2:12" ht="15.75">
      <c r="B2" s="15"/>
      <c r="C2" s="15"/>
      <c r="D2" s="15"/>
      <c r="E2" s="15"/>
      <c r="F2" s="15"/>
      <c r="G2" s="15"/>
      <c r="H2" s="15"/>
      <c r="I2" s="12" t="s">
        <v>11</v>
      </c>
      <c r="J2" s="767" t="s">
        <v>11</v>
      </c>
      <c r="K2" s="767"/>
      <c r="L2" s="12" t="s">
        <v>11</v>
      </c>
    </row>
    <row r="3" spans="2:12" ht="15.75">
      <c r="B3" s="15"/>
      <c r="C3" s="15"/>
      <c r="D3" s="15"/>
      <c r="E3" s="15"/>
      <c r="F3" s="15"/>
      <c r="G3" s="15"/>
      <c r="H3" s="15"/>
      <c r="I3" s="12"/>
      <c r="J3" s="12" t="s">
        <v>291</v>
      </c>
      <c r="K3" s="12"/>
      <c r="L3" s="12"/>
    </row>
    <row r="4" spans="2:12" ht="15.75">
      <c r="B4" s="15"/>
      <c r="C4" s="15"/>
      <c r="D4" s="15"/>
      <c r="E4" s="15"/>
      <c r="F4" s="15"/>
      <c r="G4" s="15"/>
      <c r="H4" s="15"/>
      <c r="I4" s="12" t="s">
        <v>21</v>
      </c>
      <c r="J4" s="12" t="s">
        <v>575</v>
      </c>
      <c r="K4" s="12"/>
      <c r="L4" s="12" t="s">
        <v>21</v>
      </c>
    </row>
    <row r="5" spans="2:12" ht="15.75">
      <c r="B5" s="15"/>
      <c r="C5" s="15"/>
      <c r="D5" s="15"/>
      <c r="E5" s="15"/>
      <c r="F5" s="15"/>
      <c r="G5" s="15"/>
      <c r="H5" s="15"/>
      <c r="I5" s="12" t="s">
        <v>23</v>
      </c>
      <c r="J5" s="12" t="s">
        <v>569</v>
      </c>
      <c r="K5" s="12"/>
      <c r="L5" s="12" t="s">
        <v>23</v>
      </c>
    </row>
    <row r="6" spans="2:12" ht="15.75">
      <c r="B6" s="15"/>
      <c r="C6" s="15"/>
      <c r="D6" s="15"/>
      <c r="E6" s="15"/>
      <c r="F6" s="15"/>
      <c r="G6" s="15"/>
      <c r="H6" s="15"/>
      <c r="I6" s="12"/>
      <c r="J6" s="12" t="s">
        <v>563</v>
      </c>
      <c r="K6" s="12"/>
      <c r="L6" s="12"/>
    </row>
    <row r="7" spans="2:12" ht="15.75">
      <c r="B7" s="15"/>
      <c r="C7" s="15"/>
      <c r="D7" s="15"/>
      <c r="E7" s="15"/>
      <c r="F7" s="15"/>
      <c r="G7" s="15"/>
      <c r="H7" s="15"/>
      <c r="I7" s="12"/>
      <c r="J7" s="12" t="s">
        <v>564</v>
      </c>
      <c r="K7" s="12"/>
      <c r="L7" s="12"/>
    </row>
    <row r="8" spans="2:12" ht="15.75">
      <c r="B8" s="15"/>
      <c r="C8" s="15"/>
      <c r="D8" s="15"/>
      <c r="E8" s="15"/>
      <c r="F8" s="15"/>
      <c r="G8" s="15"/>
      <c r="H8" s="15"/>
      <c r="I8" s="12"/>
      <c r="J8" s="12" t="s">
        <v>565</v>
      </c>
      <c r="K8" s="12"/>
      <c r="L8" s="12"/>
    </row>
    <row r="9" spans="2:12" ht="15.75">
      <c r="B9" s="15"/>
      <c r="C9" s="15"/>
      <c r="D9" s="15"/>
      <c r="E9" s="15"/>
      <c r="F9" s="15"/>
      <c r="G9" s="15"/>
      <c r="H9" s="15"/>
      <c r="I9" s="15"/>
      <c r="J9" s="15" t="s">
        <v>652</v>
      </c>
      <c r="K9" s="15"/>
      <c r="L9" s="15"/>
    </row>
    <row r="10" spans="1:12" ht="35.25" customHeight="1">
      <c r="A10" s="769" t="s">
        <v>405</v>
      </c>
      <c r="B10" s="769"/>
      <c r="C10" s="769"/>
      <c r="D10" s="769"/>
      <c r="E10" s="769"/>
      <c r="F10" s="769"/>
      <c r="G10" s="769"/>
      <c r="H10" s="769"/>
      <c r="I10" s="769"/>
      <c r="J10" s="769"/>
      <c r="K10" s="769"/>
      <c r="L10" s="15"/>
    </row>
    <row r="11" spans="2:12" ht="23.25" customHeight="1">
      <c r="B11" s="15"/>
      <c r="C11" s="15"/>
      <c r="D11" s="785"/>
      <c r="E11" s="785"/>
      <c r="F11" s="785"/>
      <c r="G11" s="785"/>
      <c r="H11" s="785"/>
      <c r="I11" s="15"/>
      <c r="J11" s="15"/>
      <c r="K11" s="34" t="s">
        <v>391</v>
      </c>
      <c r="L11" s="15"/>
    </row>
    <row r="12" spans="1:12" ht="15.75" customHeight="1">
      <c r="A12" s="783" t="s">
        <v>32</v>
      </c>
      <c r="B12" s="783" t="s">
        <v>12</v>
      </c>
      <c r="C12" s="783" t="s">
        <v>13</v>
      </c>
      <c r="D12" s="783" t="s">
        <v>406</v>
      </c>
      <c r="E12" s="892" t="s">
        <v>9</v>
      </c>
      <c r="F12" s="892"/>
      <c r="G12" s="892"/>
      <c r="H12" s="892"/>
      <c r="I12" s="892"/>
      <c r="J12" s="893"/>
      <c r="K12" s="891" t="s">
        <v>15</v>
      </c>
      <c r="L12" s="15"/>
    </row>
    <row r="13" spans="1:12" ht="15.75">
      <c r="A13" s="850"/>
      <c r="B13" s="850"/>
      <c r="C13" s="850"/>
      <c r="D13" s="850"/>
      <c r="E13" s="783" t="s">
        <v>407</v>
      </c>
      <c r="F13" s="783" t="s">
        <v>408</v>
      </c>
      <c r="G13" s="783" t="s">
        <v>27</v>
      </c>
      <c r="H13" s="783" t="s">
        <v>28</v>
      </c>
      <c r="I13" s="783" t="s">
        <v>29</v>
      </c>
      <c r="J13" s="891" t="s">
        <v>409</v>
      </c>
      <c r="K13" s="891"/>
      <c r="L13" s="15"/>
    </row>
    <row r="14" spans="1:12" ht="15.75">
      <c r="A14" s="784"/>
      <c r="B14" s="784"/>
      <c r="C14" s="784"/>
      <c r="D14" s="784"/>
      <c r="E14" s="784"/>
      <c r="F14" s="784"/>
      <c r="G14" s="784"/>
      <c r="H14" s="784"/>
      <c r="I14" s="784"/>
      <c r="J14" s="891"/>
      <c r="K14" s="891"/>
      <c r="L14" s="15"/>
    </row>
    <row r="15" spans="1:12" ht="25.5" customHeight="1">
      <c r="A15" s="773">
        <v>1</v>
      </c>
      <c r="B15" s="787" t="s">
        <v>410</v>
      </c>
      <c r="C15" s="83" t="s">
        <v>16</v>
      </c>
      <c r="D15" s="108">
        <f>E15+F15+J15</f>
        <v>9972.5</v>
      </c>
      <c r="E15" s="109">
        <v>1980</v>
      </c>
      <c r="F15" s="109">
        <f>7000+992.5</f>
        <v>7992.5</v>
      </c>
      <c r="G15" s="109">
        <v>1980</v>
      </c>
      <c r="H15" s="109">
        <v>1980</v>
      </c>
      <c r="I15" s="109">
        <v>1980</v>
      </c>
      <c r="J15" s="109"/>
      <c r="K15" s="787" t="s">
        <v>359</v>
      </c>
      <c r="L15" s="15"/>
    </row>
    <row r="16" spans="1:14" ht="21" customHeight="1">
      <c r="A16" s="775"/>
      <c r="B16" s="789"/>
      <c r="C16" s="83" t="s">
        <v>539</v>
      </c>
      <c r="D16" s="108">
        <f>E16+F16+J16</f>
        <v>8000</v>
      </c>
      <c r="E16" s="110"/>
      <c r="F16" s="109"/>
      <c r="G16" s="109"/>
      <c r="H16" s="109"/>
      <c r="I16" s="109"/>
      <c r="J16" s="109">
        <v>8000</v>
      </c>
      <c r="K16" s="789"/>
      <c r="L16" s="15"/>
      <c r="N16" s="54">
        <v>441</v>
      </c>
    </row>
    <row r="17" spans="1:12" ht="32.25" customHeight="1">
      <c r="A17" s="84"/>
      <c r="B17" s="82" t="s">
        <v>5</v>
      </c>
      <c r="C17" s="111"/>
      <c r="D17" s="108">
        <f>E17+F17+J17</f>
        <v>17972.5</v>
      </c>
      <c r="E17" s="108">
        <f aca="true" t="shared" si="0" ref="E17:J17">E15+E16</f>
        <v>1980</v>
      </c>
      <c r="F17" s="108">
        <f t="shared" si="0"/>
        <v>7992.5</v>
      </c>
      <c r="G17" s="108">
        <f t="shared" si="0"/>
        <v>1980</v>
      </c>
      <c r="H17" s="108">
        <f t="shared" si="0"/>
        <v>1980</v>
      </c>
      <c r="I17" s="108">
        <f t="shared" si="0"/>
        <v>1980</v>
      </c>
      <c r="J17" s="108">
        <f t="shared" si="0"/>
        <v>8000</v>
      </c>
      <c r="K17" s="112"/>
      <c r="L17" s="15"/>
    </row>
    <row r="18" spans="2:12" ht="11.25" customHeight="1">
      <c r="B18" s="18"/>
      <c r="C18" s="18"/>
      <c r="D18" s="165"/>
      <c r="E18" s="165"/>
      <c r="F18" s="165"/>
      <c r="G18" s="165"/>
      <c r="H18" s="165"/>
      <c r="I18" s="165"/>
      <c r="J18" s="165"/>
      <c r="K18" s="20"/>
      <c r="L18" s="15"/>
    </row>
    <row r="19" spans="2:12" ht="11.25" customHeight="1">
      <c r="B19" s="18"/>
      <c r="C19" s="18"/>
      <c r="D19" s="19"/>
      <c r="E19" s="19"/>
      <c r="F19" s="19"/>
      <c r="G19" s="19"/>
      <c r="H19" s="19"/>
      <c r="I19" s="19"/>
      <c r="J19" s="19"/>
      <c r="K19" s="20"/>
      <c r="L19" s="15"/>
    </row>
    <row r="20" spans="2:12" ht="11.25" customHeight="1">
      <c r="B20" s="51"/>
      <c r="C20" s="52"/>
      <c r="E20" s="19"/>
      <c r="F20" s="19"/>
      <c r="G20" s="19"/>
      <c r="H20" s="19"/>
      <c r="I20" s="19"/>
      <c r="J20" s="19"/>
      <c r="K20" s="52"/>
      <c r="L20" s="15"/>
    </row>
    <row r="21" spans="1:12" ht="16.5" customHeight="1">
      <c r="A21" s="16"/>
      <c r="B21" s="809" t="s">
        <v>18</v>
      </c>
      <c r="C21" s="809"/>
      <c r="D21" s="352"/>
      <c r="E21" s="22"/>
      <c r="F21" s="22"/>
      <c r="G21" s="16"/>
      <c r="H21" s="16"/>
      <c r="I21" s="16"/>
      <c r="J21" s="23"/>
      <c r="K21" s="23" t="s">
        <v>30</v>
      </c>
      <c r="L21" s="23"/>
    </row>
    <row r="22" spans="1:12" ht="10.5" customHeight="1">
      <c r="A22" s="16"/>
      <c r="B22" s="352"/>
      <c r="C22" s="352"/>
      <c r="D22" s="352"/>
      <c r="E22" s="22"/>
      <c r="F22" s="22"/>
      <c r="G22" s="16"/>
      <c r="H22" s="16"/>
      <c r="I22" s="16"/>
      <c r="J22" s="23"/>
      <c r="K22" s="23"/>
      <c r="L22" s="23"/>
    </row>
    <row r="23" spans="1:11" ht="18.75">
      <c r="A23" s="16"/>
      <c r="B23" s="777" t="s">
        <v>558</v>
      </c>
      <c r="C23" s="777"/>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1">
    <mergeCell ref="A15:A16"/>
    <mergeCell ref="B15:B16"/>
    <mergeCell ref="K15:K16"/>
    <mergeCell ref="D12:D14"/>
    <mergeCell ref="A10:K10"/>
    <mergeCell ref="J13:J14"/>
    <mergeCell ref="J1:K1"/>
    <mergeCell ref="J2:K2"/>
    <mergeCell ref="D11:H11"/>
    <mergeCell ref="A12:A14"/>
    <mergeCell ref="B12:B14"/>
    <mergeCell ref="H13:H14"/>
    <mergeCell ref="B21:C21"/>
    <mergeCell ref="E12:J12"/>
    <mergeCell ref="B23:C23"/>
    <mergeCell ref="K12:K14"/>
    <mergeCell ref="E13:E14"/>
    <mergeCell ref="F13:F14"/>
    <mergeCell ref="G13:G14"/>
    <mergeCell ref="C12:C14"/>
    <mergeCell ref="I13:I14"/>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32.xml><?xml version="1.0" encoding="utf-8"?>
<worksheet xmlns="http://schemas.openxmlformats.org/spreadsheetml/2006/main" xmlns:r="http://schemas.openxmlformats.org/officeDocument/2006/relationships">
  <sheetPr>
    <tabColor theme="2" tint="-0.24997000396251678"/>
    <pageSetUpPr fitToPage="1"/>
  </sheetPr>
  <dimension ref="A1:O30"/>
  <sheetViews>
    <sheetView view="pageBreakPreview" zoomScaleSheetLayoutView="100" zoomScalePageLayoutView="0" workbookViewId="0" topLeftCell="A1">
      <selection activeCell="A1" sqref="A1:O24"/>
    </sheetView>
  </sheetViews>
  <sheetFormatPr defaultColWidth="9.140625" defaultRowHeight="12.75"/>
  <cols>
    <col min="1" max="1" width="6.7109375" style="14" customWidth="1"/>
    <col min="2" max="2" width="49.7109375" style="14" customWidth="1"/>
    <col min="3" max="3" width="19.00390625" style="14" customWidth="1"/>
    <col min="4" max="4" width="12.00390625" style="14" customWidth="1"/>
    <col min="5" max="5" width="11.14062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19</v>
      </c>
      <c r="J1" s="1" t="s">
        <v>456</v>
      </c>
      <c r="K1"/>
      <c r="L1" s="13" t="s">
        <v>19</v>
      </c>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566</v>
      </c>
      <c r="K3" s="12"/>
      <c r="L3" s="15"/>
      <c r="M3" s="12"/>
      <c r="N3" s="12"/>
      <c r="O3" s="12"/>
    </row>
    <row r="4" spans="2:15" ht="15.75">
      <c r="B4" s="15"/>
      <c r="C4" s="15"/>
      <c r="D4" s="15"/>
      <c r="E4" s="15"/>
      <c r="F4" s="15"/>
      <c r="G4" s="15"/>
      <c r="H4" s="15"/>
      <c r="I4" s="12" t="s">
        <v>21</v>
      </c>
      <c r="J4" s="17" t="s">
        <v>567</v>
      </c>
      <c r="K4" s="17"/>
      <c r="L4" s="15"/>
      <c r="M4" s="12"/>
      <c r="N4" s="12"/>
      <c r="O4" s="12"/>
    </row>
    <row r="5" spans="2:15" ht="15.75">
      <c r="B5" s="15"/>
      <c r="C5" s="15"/>
      <c r="D5" s="15"/>
      <c r="E5" s="15"/>
      <c r="F5" s="15"/>
      <c r="G5" s="15"/>
      <c r="H5" s="15"/>
      <c r="I5" s="12" t="s">
        <v>23</v>
      </c>
      <c r="J5" s="17" t="s">
        <v>907</v>
      </c>
      <c r="K5" s="17"/>
      <c r="L5" s="15"/>
      <c r="M5" s="12"/>
      <c r="N5" s="12"/>
      <c r="O5" s="12"/>
    </row>
    <row r="6" spans="2:15" ht="15.75">
      <c r="B6" s="15"/>
      <c r="C6" s="15"/>
      <c r="D6" s="15"/>
      <c r="E6" s="15"/>
      <c r="F6" s="15"/>
      <c r="G6" s="15"/>
      <c r="H6" s="15"/>
      <c r="I6" s="12"/>
      <c r="J6" s="17" t="s">
        <v>931</v>
      </c>
      <c r="K6" s="17"/>
      <c r="L6" s="327"/>
      <c r="M6" s="12"/>
      <c r="N6" s="12"/>
      <c r="O6" s="12"/>
    </row>
    <row r="7" spans="2:15" ht="15.75">
      <c r="B7" s="15"/>
      <c r="C7" s="15"/>
      <c r="D7" s="15"/>
      <c r="E7" s="15"/>
      <c r="F7" s="15"/>
      <c r="G7" s="15"/>
      <c r="H7" s="15"/>
      <c r="I7" s="12"/>
      <c r="J7" s="17" t="s">
        <v>932</v>
      </c>
      <c r="K7" s="17"/>
      <c r="L7" s="327"/>
      <c r="M7" s="12"/>
      <c r="N7" s="12"/>
      <c r="O7" s="12"/>
    </row>
    <row r="8" spans="2:15" ht="15.75" customHeight="1">
      <c r="B8" s="15"/>
      <c r="C8" s="15"/>
      <c r="D8" s="15"/>
      <c r="E8" s="15"/>
      <c r="F8" s="15"/>
      <c r="G8" s="15"/>
      <c r="H8" s="15"/>
      <c r="I8" s="12"/>
      <c r="J8" s="768" t="s">
        <v>920</v>
      </c>
      <c r="K8" s="768"/>
      <c r="L8" s="768"/>
      <c r="M8" s="768"/>
      <c r="N8" s="768"/>
      <c r="O8" s="768"/>
    </row>
    <row r="9" spans="2:15" ht="15.75">
      <c r="B9" s="15"/>
      <c r="C9" s="15"/>
      <c r="D9" s="15"/>
      <c r="E9" s="15"/>
      <c r="F9" s="15"/>
      <c r="G9" s="15"/>
      <c r="H9" s="15"/>
      <c r="I9" s="12"/>
      <c r="J9" s="768" t="s">
        <v>941</v>
      </c>
      <c r="K9" s="768"/>
      <c r="L9" s="730"/>
      <c r="M9" s="730"/>
      <c r="N9" s="730"/>
      <c r="O9" s="730"/>
    </row>
    <row r="10" spans="2:12" ht="15.75">
      <c r="B10" s="15"/>
      <c r="C10" s="15"/>
      <c r="D10" s="15"/>
      <c r="E10" s="15"/>
      <c r="F10" s="15"/>
      <c r="G10" s="15"/>
      <c r="H10" s="15"/>
      <c r="I10" s="15"/>
      <c r="J10" s="15"/>
      <c r="K10" s="15"/>
      <c r="L10" s="15"/>
    </row>
    <row r="11" spans="1:12" ht="35.25" customHeight="1">
      <c r="A11" s="769" t="s">
        <v>821</v>
      </c>
      <c r="B11" s="769"/>
      <c r="C11" s="769"/>
      <c r="D11" s="769"/>
      <c r="E11" s="769"/>
      <c r="F11" s="769"/>
      <c r="G11" s="769"/>
      <c r="H11" s="769"/>
      <c r="I11" s="769"/>
      <c r="J11" s="769"/>
      <c r="K11" s="769"/>
      <c r="L11" s="15"/>
    </row>
    <row r="12" spans="2:12" ht="23.25" customHeight="1">
      <c r="B12" s="15"/>
      <c r="C12" s="15"/>
      <c r="D12" s="785"/>
      <c r="E12" s="785"/>
      <c r="F12" s="785"/>
      <c r="G12" s="785"/>
      <c r="H12" s="785"/>
      <c r="I12" s="15"/>
      <c r="J12" s="15"/>
      <c r="K12" s="34" t="s">
        <v>391</v>
      </c>
      <c r="L12" s="15"/>
    </row>
    <row r="13" spans="1:12" ht="15.75" customHeight="1">
      <c r="A13" s="770" t="s">
        <v>32</v>
      </c>
      <c r="B13" s="770" t="s">
        <v>12</v>
      </c>
      <c r="C13" s="770" t="s">
        <v>13</v>
      </c>
      <c r="D13" s="770" t="s">
        <v>406</v>
      </c>
      <c r="E13" s="786" t="s">
        <v>9</v>
      </c>
      <c r="F13" s="786"/>
      <c r="G13" s="786"/>
      <c r="H13" s="786"/>
      <c r="I13" s="786"/>
      <c r="J13" s="849"/>
      <c r="K13" s="776" t="s">
        <v>15</v>
      </c>
      <c r="L13" s="15"/>
    </row>
    <row r="14" spans="1:12" ht="15.75">
      <c r="A14" s="771"/>
      <c r="B14" s="771"/>
      <c r="C14" s="771"/>
      <c r="D14" s="771"/>
      <c r="E14" s="770">
        <v>2021</v>
      </c>
      <c r="F14" s="770">
        <v>2022</v>
      </c>
      <c r="G14" s="770" t="s">
        <v>27</v>
      </c>
      <c r="H14" s="770" t="s">
        <v>28</v>
      </c>
      <c r="I14" s="770" t="s">
        <v>29</v>
      </c>
      <c r="J14" s="776">
        <v>2023</v>
      </c>
      <c r="K14" s="776"/>
      <c r="L14" s="15"/>
    </row>
    <row r="15" spans="1:12" ht="15.75">
      <c r="A15" s="772"/>
      <c r="B15" s="772"/>
      <c r="C15" s="772"/>
      <c r="D15" s="772"/>
      <c r="E15" s="772"/>
      <c r="F15" s="772"/>
      <c r="G15" s="772"/>
      <c r="H15" s="772"/>
      <c r="I15" s="772"/>
      <c r="J15" s="776"/>
      <c r="K15" s="776"/>
      <c r="L15" s="15"/>
    </row>
    <row r="16" spans="1:12" ht="25.5" customHeight="1">
      <c r="A16" s="773">
        <v>1</v>
      </c>
      <c r="B16" s="895" t="s">
        <v>796</v>
      </c>
      <c r="C16" s="773" t="s">
        <v>657</v>
      </c>
      <c r="D16" s="897">
        <f>E16+F16+J16</f>
        <v>7000</v>
      </c>
      <c r="E16" s="901">
        <v>7000</v>
      </c>
      <c r="F16" s="901"/>
      <c r="G16" s="62"/>
      <c r="H16" s="62"/>
      <c r="I16" s="62"/>
      <c r="J16" s="901"/>
      <c r="K16" s="773" t="s">
        <v>797</v>
      </c>
      <c r="L16" s="15"/>
    </row>
    <row r="17" spans="1:14" ht="53.25" customHeight="1">
      <c r="A17" s="775"/>
      <c r="B17" s="896"/>
      <c r="C17" s="775"/>
      <c r="D17" s="898"/>
      <c r="E17" s="902"/>
      <c r="F17" s="902"/>
      <c r="G17" s="62"/>
      <c r="H17" s="62"/>
      <c r="I17" s="62"/>
      <c r="J17" s="902"/>
      <c r="K17" s="775"/>
      <c r="L17" s="15"/>
      <c r="N17" s="54">
        <v>441</v>
      </c>
    </row>
    <row r="18" spans="1:12" ht="32.25" customHeight="1">
      <c r="A18" s="69"/>
      <c r="B18" s="59" t="s">
        <v>5</v>
      </c>
      <c r="C18" s="70"/>
      <c r="D18" s="61">
        <f>E18+F18+J18</f>
        <v>7000</v>
      </c>
      <c r="E18" s="61">
        <f aca="true" t="shared" si="0" ref="E18:J18">E16</f>
        <v>7000</v>
      </c>
      <c r="F18" s="61">
        <f t="shared" si="0"/>
        <v>0</v>
      </c>
      <c r="G18" s="61">
        <f t="shared" si="0"/>
        <v>0</v>
      </c>
      <c r="H18" s="61">
        <f t="shared" si="0"/>
        <v>0</v>
      </c>
      <c r="I18" s="61">
        <f t="shared" si="0"/>
        <v>0</v>
      </c>
      <c r="J18" s="61">
        <f t="shared" si="0"/>
        <v>0</v>
      </c>
      <c r="K18" s="71"/>
      <c r="L18" s="15"/>
    </row>
    <row r="19" spans="2:12" ht="11.25" customHeight="1">
      <c r="B19" s="18"/>
      <c r="C19" s="18"/>
      <c r="D19" s="165"/>
      <c r="E19" s="165"/>
      <c r="F19" s="165"/>
      <c r="G19" s="165"/>
      <c r="H19" s="165"/>
      <c r="I19" s="165"/>
      <c r="J19" s="165"/>
      <c r="K19" s="20"/>
      <c r="L19" s="15"/>
    </row>
    <row r="20" spans="2:12" ht="11.25" customHeight="1">
      <c r="B20" s="18"/>
      <c r="C20" s="18"/>
      <c r="D20" s="19"/>
      <c r="E20" s="19"/>
      <c r="F20" s="19"/>
      <c r="G20" s="19"/>
      <c r="H20" s="19"/>
      <c r="I20" s="19"/>
      <c r="J20" s="19"/>
      <c r="K20" s="20"/>
      <c r="L20" s="15"/>
    </row>
    <row r="21" spans="2:12" ht="11.25" customHeight="1">
      <c r="B21" s="51"/>
      <c r="C21" s="52"/>
      <c r="E21" s="19"/>
      <c r="F21" s="19"/>
      <c r="G21" s="19"/>
      <c r="H21" s="19"/>
      <c r="I21" s="19"/>
      <c r="J21" s="19"/>
      <c r="K21" s="52"/>
      <c r="L21" s="15"/>
    </row>
    <row r="22" spans="1:12" ht="16.5" customHeight="1">
      <c r="A22" s="16"/>
      <c r="B22" s="809" t="s">
        <v>18</v>
      </c>
      <c r="C22" s="809"/>
      <c r="D22" s="352"/>
      <c r="E22" s="22"/>
      <c r="F22" s="22"/>
      <c r="G22" s="16"/>
      <c r="H22" s="16"/>
      <c r="I22" s="16"/>
      <c r="J22" s="23"/>
      <c r="K22" s="23" t="s">
        <v>30</v>
      </c>
      <c r="L22" s="23"/>
    </row>
    <row r="23" spans="1:12" ht="10.5" customHeight="1">
      <c r="A23" s="16"/>
      <c r="B23" s="352"/>
      <c r="C23" s="352"/>
      <c r="D23" s="352"/>
      <c r="E23" s="22"/>
      <c r="F23" s="22"/>
      <c r="G23" s="16"/>
      <c r="H23" s="16"/>
      <c r="I23" s="16"/>
      <c r="J23" s="23"/>
      <c r="K23" s="23"/>
      <c r="L23" s="23"/>
    </row>
    <row r="24" spans="1:11" ht="18.75">
      <c r="A24" s="16"/>
      <c r="B24" s="777" t="s">
        <v>558</v>
      </c>
      <c r="C24" s="777"/>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6">
    <mergeCell ref="A13:A15"/>
    <mergeCell ref="B13:B15"/>
    <mergeCell ref="C13:C15"/>
    <mergeCell ref="D13:D15"/>
    <mergeCell ref="E13:J13"/>
    <mergeCell ref="H14:H15"/>
    <mergeCell ref="I14:I15"/>
    <mergeCell ref="J14:J15"/>
    <mergeCell ref="A16:A17"/>
    <mergeCell ref="B16:B17"/>
    <mergeCell ref="J8:O8"/>
    <mergeCell ref="K16:K17"/>
    <mergeCell ref="J16:J17"/>
    <mergeCell ref="F14:F15"/>
    <mergeCell ref="A11:K11"/>
    <mergeCell ref="K13:K15"/>
    <mergeCell ref="E14:E15"/>
    <mergeCell ref="G14:G15"/>
    <mergeCell ref="J9:K9"/>
    <mergeCell ref="B22:C22"/>
    <mergeCell ref="B24:C24"/>
    <mergeCell ref="C16:C17"/>
    <mergeCell ref="D16:D17"/>
    <mergeCell ref="E16:E17"/>
    <mergeCell ref="F16:F17"/>
    <mergeCell ref="D12:H12"/>
  </mergeCells>
  <printOptions horizontalCentered="1"/>
  <pageMargins left="0.7874015748031497" right="0.5905511811023623" top="1.1811023622047245" bottom="0.7874015748031497" header="0" footer="0"/>
  <pageSetup fitToHeight="1" fitToWidth="1" horizontalDpi="600" verticalDpi="600" orientation="landscape" paperSize="9" scale="82" r:id="rId1"/>
</worksheet>
</file>

<file path=xl/worksheets/sheet33.xml><?xml version="1.0" encoding="utf-8"?>
<worksheet xmlns="http://schemas.openxmlformats.org/spreadsheetml/2006/main" xmlns:r="http://schemas.openxmlformats.org/officeDocument/2006/relationships">
  <sheetPr>
    <tabColor rgb="FFFF0000"/>
    <pageSetUpPr fitToPage="1"/>
  </sheetPr>
  <dimension ref="A1:N34"/>
  <sheetViews>
    <sheetView view="pageBreakPreview" zoomScaleSheetLayoutView="100" zoomScalePageLayoutView="0" workbookViewId="0" topLeftCell="A1">
      <selection activeCell="F25" sqref="F25"/>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767" t="s">
        <v>455</v>
      </c>
      <c r="K1" s="767"/>
      <c r="L1" s="13" t="s">
        <v>19</v>
      </c>
    </row>
    <row r="2" spans="2:12" ht="15.75">
      <c r="B2" s="15"/>
      <c r="C2" s="15"/>
      <c r="D2" s="15"/>
      <c r="E2" s="15"/>
      <c r="F2" s="15"/>
      <c r="G2" s="15"/>
      <c r="H2" s="15"/>
      <c r="I2" s="12" t="s">
        <v>11</v>
      </c>
      <c r="J2" s="767" t="s">
        <v>11</v>
      </c>
      <c r="K2" s="767"/>
      <c r="L2" s="12" t="s">
        <v>11</v>
      </c>
    </row>
    <row r="3" spans="2:12" ht="15.75">
      <c r="B3" s="15"/>
      <c r="C3" s="15"/>
      <c r="D3" s="15"/>
      <c r="E3" s="15"/>
      <c r="F3" s="15"/>
      <c r="G3" s="15"/>
      <c r="H3" s="15"/>
      <c r="I3" s="12"/>
      <c r="J3" s="12" t="s">
        <v>291</v>
      </c>
      <c r="K3" s="12"/>
      <c r="L3" s="12"/>
    </row>
    <row r="4" spans="2:12" ht="15.75">
      <c r="B4" s="15"/>
      <c r="C4" s="15"/>
      <c r="D4" s="15"/>
      <c r="E4" s="15"/>
      <c r="F4" s="15"/>
      <c r="G4" s="15"/>
      <c r="H4" s="15"/>
      <c r="I4" s="12" t="s">
        <v>21</v>
      </c>
      <c r="J4" s="12" t="s">
        <v>579</v>
      </c>
      <c r="K4" s="12"/>
      <c r="L4" s="12" t="s">
        <v>21</v>
      </c>
    </row>
    <row r="5" spans="2:12" ht="15.75">
      <c r="B5" s="15"/>
      <c r="C5" s="15"/>
      <c r="D5" s="15"/>
      <c r="E5" s="15"/>
      <c r="F5" s="15"/>
      <c r="G5" s="15"/>
      <c r="H5" s="15"/>
      <c r="I5" s="12" t="s">
        <v>23</v>
      </c>
      <c r="J5" s="12" t="s">
        <v>580</v>
      </c>
      <c r="K5" s="12"/>
      <c r="L5" s="12" t="s">
        <v>23</v>
      </c>
    </row>
    <row r="6" spans="2:12" ht="15.75">
      <c r="B6" s="15"/>
      <c r="C6" s="15"/>
      <c r="D6" s="15"/>
      <c r="E6" s="15"/>
      <c r="F6" s="15"/>
      <c r="G6" s="15"/>
      <c r="H6" s="15"/>
      <c r="I6" s="12"/>
      <c r="J6" s="12" t="s">
        <v>563</v>
      </c>
      <c r="K6" s="12"/>
      <c r="L6" s="12"/>
    </row>
    <row r="7" spans="2:12" ht="15.75">
      <c r="B7" s="15"/>
      <c r="C7" s="15"/>
      <c r="D7" s="15"/>
      <c r="E7" s="15"/>
      <c r="F7" s="15"/>
      <c r="G7" s="15"/>
      <c r="H7" s="16"/>
      <c r="I7" s="12" t="s">
        <v>24</v>
      </c>
      <c r="J7" s="12" t="s">
        <v>564</v>
      </c>
      <c r="K7" s="12"/>
      <c r="L7" s="12" t="s">
        <v>24</v>
      </c>
    </row>
    <row r="8" spans="2:12" ht="15.75">
      <c r="B8" s="15"/>
      <c r="C8" s="15"/>
      <c r="D8" s="15"/>
      <c r="E8" s="15"/>
      <c r="F8" s="15"/>
      <c r="G8" s="15"/>
      <c r="H8" s="16"/>
      <c r="I8" s="12"/>
      <c r="J8" s="12" t="s">
        <v>565</v>
      </c>
      <c r="K8" s="12"/>
      <c r="L8" s="12"/>
    </row>
    <row r="9" spans="2:12" ht="15.75">
      <c r="B9" s="15"/>
      <c r="C9" s="15"/>
      <c r="D9" s="15"/>
      <c r="E9" s="15"/>
      <c r="F9" s="15"/>
      <c r="G9" s="15"/>
      <c r="H9" s="15"/>
      <c r="I9" s="15"/>
      <c r="J9" s="15" t="s">
        <v>651</v>
      </c>
      <c r="K9" s="15"/>
      <c r="L9" s="15"/>
    </row>
    <row r="10" spans="2:12" ht="38.25" customHeight="1">
      <c r="B10" s="769" t="s">
        <v>442</v>
      </c>
      <c r="C10" s="769"/>
      <c r="D10" s="769"/>
      <c r="E10" s="769"/>
      <c r="F10" s="769"/>
      <c r="G10" s="769"/>
      <c r="H10" s="769"/>
      <c r="I10" s="769"/>
      <c r="J10" s="769"/>
      <c r="K10" s="769"/>
      <c r="L10" s="15"/>
    </row>
    <row r="11" spans="2:12" ht="15.75">
      <c r="B11" s="15"/>
      <c r="C11" s="15"/>
      <c r="D11" s="785"/>
      <c r="E11" s="785"/>
      <c r="F11" s="785"/>
      <c r="G11" s="785"/>
      <c r="H11" s="785"/>
      <c r="I11" s="15"/>
      <c r="J11" s="15"/>
      <c r="K11" s="34" t="s">
        <v>426</v>
      </c>
      <c r="L11" s="15"/>
    </row>
    <row r="12" spans="1:12" ht="15.75" customHeight="1">
      <c r="A12" s="783" t="s">
        <v>32</v>
      </c>
      <c r="B12" s="783" t="s">
        <v>12</v>
      </c>
      <c r="C12" s="783" t="s">
        <v>13</v>
      </c>
      <c r="D12" s="783" t="s">
        <v>397</v>
      </c>
      <c r="E12" s="892" t="s">
        <v>9</v>
      </c>
      <c r="F12" s="892"/>
      <c r="G12" s="892"/>
      <c r="H12" s="892"/>
      <c r="I12" s="892"/>
      <c r="J12" s="893"/>
      <c r="K12" s="891" t="s">
        <v>15</v>
      </c>
      <c r="L12" s="15"/>
    </row>
    <row r="13" spans="1:12" ht="15.75">
      <c r="A13" s="850"/>
      <c r="B13" s="850"/>
      <c r="C13" s="850"/>
      <c r="D13" s="850"/>
      <c r="E13" s="783" t="s">
        <v>432</v>
      </c>
      <c r="F13" s="783" t="s">
        <v>429</v>
      </c>
      <c r="G13" s="783" t="s">
        <v>27</v>
      </c>
      <c r="H13" s="783" t="s">
        <v>28</v>
      </c>
      <c r="I13" s="783" t="s">
        <v>29</v>
      </c>
      <c r="J13" s="891" t="s">
        <v>433</v>
      </c>
      <c r="K13" s="891"/>
      <c r="L13" s="15"/>
    </row>
    <row r="14" spans="1:12" ht="15.75">
      <c r="A14" s="784"/>
      <c r="B14" s="784"/>
      <c r="C14" s="784"/>
      <c r="D14" s="784"/>
      <c r="E14" s="784"/>
      <c r="F14" s="784"/>
      <c r="G14" s="784"/>
      <c r="H14" s="784"/>
      <c r="I14" s="784"/>
      <c r="J14" s="891"/>
      <c r="K14" s="891"/>
      <c r="L14" s="15"/>
    </row>
    <row r="15" spans="1:12" ht="28.5" customHeight="1">
      <c r="A15" s="773">
        <v>1</v>
      </c>
      <c r="B15" s="787" t="s">
        <v>119</v>
      </c>
      <c r="C15" s="83" t="s">
        <v>16</v>
      </c>
      <c r="D15" s="108">
        <f>SUM(E15:J15)</f>
        <v>4715</v>
      </c>
      <c r="E15" s="109">
        <v>3000</v>
      </c>
      <c r="F15" s="110">
        <f>3000-1285</f>
        <v>1715</v>
      </c>
      <c r="G15" s="109"/>
      <c r="H15" s="109"/>
      <c r="I15" s="109"/>
      <c r="J15" s="109"/>
      <c r="K15" s="787" t="s">
        <v>31</v>
      </c>
      <c r="L15" s="15"/>
    </row>
    <row r="16" spans="1:14" ht="21" customHeight="1">
      <c r="A16" s="775"/>
      <c r="B16" s="789"/>
      <c r="C16" s="83" t="s">
        <v>539</v>
      </c>
      <c r="D16" s="108">
        <f>SUM(E16:J16)</f>
        <v>100</v>
      </c>
      <c r="E16" s="110"/>
      <c r="F16" s="109"/>
      <c r="G16" s="109"/>
      <c r="H16" s="109"/>
      <c r="I16" s="109"/>
      <c r="J16" s="109">
        <v>100</v>
      </c>
      <c r="K16" s="789"/>
      <c r="L16" s="15"/>
      <c r="N16" s="54">
        <v>441</v>
      </c>
    </row>
    <row r="17" spans="1:14" ht="44.25" customHeight="1">
      <c r="A17" s="268">
        <v>2</v>
      </c>
      <c r="B17" s="158" t="s">
        <v>596</v>
      </c>
      <c r="C17" s="83" t="s">
        <v>539</v>
      </c>
      <c r="D17" s="108">
        <f>SUM(E17:J17)</f>
        <v>2000</v>
      </c>
      <c r="E17" s="110"/>
      <c r="F17" s="109"/>
      <c r="G17" s="109"/>
      <c r="H17" s="109"/>
      <c r="I17" s="109"/>
      <c r="J17" s="109">
        <v>2000</v>
      </c>
      <c r="K17" s="441" t="s">
        <v>31</v>
      </c>
      <c r="L17" s="15"/>
      <c r="N17" s="54"/>
    </row>
    <row r="18" spans="1:14" ht="44.25" customHeight="1">
      <c r="A18" s="268">
        <v>3</v>
      </c>
      <c r="B18" s="158" t="s">
        <v>597</v>
      </c>
      <c r="C18" s="83" t="s">
        <v>539</v>
      </c>
      <c r="D18" s="108">
        <f>SUM(E18:J18)</f>
        <v>6000</v>
      </c>
      <c r="E18" s="110"/>
      <c r="F18" s="109"/>
      <c r="G18" s="109"/>
      <c r="H18" s="109"/>
      <c r="I18" s="109"/>
      <c r="J18" s="109">
        <v>6000</v>
      </c>
      <c r="K18" s="441" t="s">
        <v>31</v>
      </c>
      <c r="L18" s="15"/>
      <c r="N18" s="54"/>
    </row>
    <row r="19" spans="1:14" ht="44.25" customHeight="1">
      <c r="A19" s="268">
        <v>4</v>
      </c>
      <c r="B19" s="158" t="s">
        <v>598</v>
      </c>
      <c r="C19" s="83" t="s">
        <v>539</v>
      </c>
      <c r="D19" s="108">
        <f>SUM(E19:J19)</f>
        <v>1000</v>
      </c>
      <c r="E19" s="110"/>
      <c r="F19" s="109"/>
      <c r="G19" s="109"/>
      <c r="H19" s="109"/>
      <c r="I19" s="109"/>
      <c r="J19" s="109">
        <v>1000</v>
      </c>
      <c r="K19" s="441" t="s">
        <v>31</v>
      </c>
      <c r="L19" s="15"/>
      <c r="N19" s="54"/>
    </row>
    <row r="20" spans="1:12" ht="23.25" customHeight="1">
      <c r="A20" s="84"/>
      <c r="B20" s="82" t="s">
        <v>5</v>
      </c>
      <c r="C20" s="111"/>
      <c r="D20" s="108">
        <f>D15+D16+D17+D18+D19</f>
        <v>13815</v>
      </c>
      <c r="E20" s="108">
        <f>E15+E16</f>
        <v>3000</v>
      </c>
      <c r="F20" s="108">
        <f>F15+F16</f>
        <v>1715</v>
      </c>
      <c r="G20" s="108">
        <f>G15+G16</f>
        <v>0</v>
      </c>
      <c r="H20" s="108">
        <f>H15+H16</f>
        <v>0</v>
      </c>
      <c r="I20" s="108">
        <f>I15+I16</f>
        <v>0</v>
      </c>
      <c r="J20" s="108">
        <f>J15+J16+J17+J18+J19</f>
        <v>9100</v>
      </c>
      <c r="K20" s="112"/>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1"/>
      <c r="C25" s="52"/>
      <c r="E25" s="19"/>
      <c r="F25" s="19"/>
      <c r="G25" s="19"/>
      <c r="H25" s="19"/>
      <c r="I25" s="19"/>
      <c r="J25" s="19"/>
      <c r="K25" s="52"/>
      <c r="L25" s="15"/>
    </row>
    <row r="26" spans="2:12" ht="21" customHeight="1">
      <c r="B26" s="809" t="s">
        <v>18</v>
      </c>
      <c r="C26" s="809"/>
      <c r="D26" s="352"/>
      <c r="E26" s="22"/>
      <c r="F26" s="22"/>
      <c r="G26" s="16"/>
      <c r="H26" s="16"/>
      <c r="I26" s="16"/>
      <c r="J26" s="23"/>
      <c r="K26" s="23" t="s">
        <v>30</v>
      </c>
      <c r="L26" s="23"/>
    </row>
    <row r="27" spans="2:12" ht="13.5" customHeight="1">
      <c r="B27" s="352"/>
      <c r="C27" s="352"/>
      <c r="D27" s="352"/>
      <c r="E27" s="22"/>
      <c r="F27" s="22"/>
      <c r="G27" s="16"/>
      <c r="H27" s="16"/>
      <c r="I27" s="16"/>
      <c r="J27" s="23"/>
      <c r="K27" s="23"/>
      <c r="L27" s="23"/>
    </row>
    <row r="28" spans="2:11" ht="18.75">
      <c r="B28" s="777" t="s">
        <v>558</v>
      </c>
      <c r="C28" s="777"/>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1">
    <mergeCell ref="A15:A16"/>
    <mergeCell ref="B15:B16"/>
    <mergeCell ref="K15:K16"/>
    <mergeCell ref="A12:A14"/>
    <mergeCell ref="B12:B14"/>
    <mergeCell ref="E12:J12"/>
    <mergeCell ref="J13:J14"/>
    <mergeCell ref="J1:K1"/>
    <mergeCell ref="J2:K2"/>
    <mergeCell ref="B10:K10"/>
    <mergeCell ref="D11:H11"/>
    <mergeCell ref="I13:I14"/>
    <mergeCell ref="C12:C14"/>
    <mergeCell ref="B26:C26"/>
    <mergeCell ref="B28:C28"/>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88" r:id="rId1"/>
</worksheet>
</file>

<file path=xl/worksheets/sheet34.xml><?xml version="1.0" encoding="utf-8"?>
<worksheet xmlns="http://schemas.openxmlformats.org/spreadsheetml/2006/main" xmlns:r="http://schemas.openxmlformats.org/officeDocument/2006/relationships">
  <sheetPr>
    <tabColor theme="2" tint="-0.24997000396251678"/>
    <pageSetUpPr fitToPage="1"/>
  </sheetPr>
  <dimension ref="A1:O35"/>
  <sheetViews>
    <sheetView view="pageBreakPreview" zoomScaleSheetLayoutView="100" zoomScalePageLayoutView="0" workbookViewId="0" topLeftCell="A1">
      <selection activeCell="A1" sqref="A1:O29"/>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19</v>
      </c>
      <c r="J1" s="1" t="s">
        <v>457</v>
      </c>
      <c r="K1"/>
      <c r="L1" s="13" t="s">
        <v>19</v>
      </c>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566</v>
      </c>
      <c r="K3" s="12"/>
      <c r="L3" s="15"/>
      <c r="M3" s="12"/>
      <c r="N3" s="12"/>
      <c r="O3" s="12"/>
    </row>
    <row r="4" spans="2:15" ht="15.75">
      <c r="B4" s="15"/>
      <c r="C4" s="15"/>
      <c r="D4" s="15"/>
      <c r="E4" s="15"/>
      <c r="F4" s="15"/>
      <c r="G4" s="15"/>
      <c r="H4" s="15"/>
      <c r="I4" s="12" t="s">
        <v>21</v>
      </c>
      <c r="J4" s="17" t="s">
        <v>567</v>
      </c>
      <c r="K4" s="17"/>
      <c r="L4" s="15"/>
      <c r="M4" s="12"/>
      <c r="N4" s="12"/>
      <c r="O4" s="12"/>
    </row>
    <row r="5" spans="2:15" ht="15.75">
      <c r="B5" s="15"/>
      <c r="C5" s="15"/>
      <c r="D5" s="15"/>
      <c r="E5" s="15"/>
      <c r="F5" s="15"/>
      <c r="G5" s="15"/>
      <c r="H5" s="15"/>
      <c r="I5" s="12" t="s">
        <v>23</v>
      </c>
      <c r="J5" s="17" t="s">
        <v>907</v>
      </c>
      <c r="K5" s="17"/>
      <c r="L5" s="15"/>
      <c r="M5" s="12"/>
      <c r="N5" s="12"/>
      <c r="O5" s="12"/>
    </row>
    <row r="6" spans="2:15" ht="15.75">
      <c r="B6" s="15"/>
      <c r="C6" s="15"/>
      <c r="D6" s="15"/>
      <c r="E6" s="15"/>
      <c r="F6" s="15"/>
      <c r="G6" s="15"/>
      <c r="H6" s="15"/>
      <c r="I6" s="12"/>
      <c r="J6" s="17" t="s">
        <v>927</v>
      </c>
      <c r="K6" s="17"/>
      <c r="L6" s="327"/>
      <c r="M6" s="12"/>
      <c r="N6" s="12"/>
      <c r="O6" s="12"/>
    </row>
    <row r="7" spans="2:15" ht="15.75">
      <c r="B7" s="15"/>
      <c r="C7" s="15"/>
      <c r="D7" s="15"/>
      <c r="E7" s="15"/>
      <c r="F7" s="15"/>
      <c r="G7" s="15"/>
      <c r="H7" s="15"/>
      <c r="I7" s="12"/>
      <c r="J7" s="17" t="s">
        <v>928</v>
      </c>
      <c r="K7" s="17"/>
      <c r="L7" s="327"/>
      <c r="M7" s="12"/>
      <c r="N7" s="12"/>
      <c r="O7" s="12"/>
    </row>
    <row r="8" spans="2:15" ht="15.75" customHeight="1">
      <c r="B8" s="15"/>
      <c r="C8" s="15"/>
      <c r="D8" s="15"/>
      <c r="E8" s="15"/>
      <c r="F8" s="15"/>
      <c r="G8" s="15"/>
      <c r="H8" s="16"/>
      <c r="I8" s="12" t="s">
        <v>24</v>
      </c>
      <c r="J8" s="768" t="s">
        <v>920</v>
      </c>
      <c r="K8" s="768"/>
      <c r="L8" s="768"/>
      <c r="M8" s="768"/>
      <c r="N8" s="768"/>
      <c r="O8" s="768"/>
    </row>
    <row r="9" spans="2:15" ht="15.75">
      <c r="B9" s="15"/>
      <c r="C9" s="15"/>
      <c r="D9" s="15"/>
      <c r="E9" s="15"/>
      <c r="F9" s="15"/>
      <c r="G9" s="15"/>
      <c r="H9" s="16"/>
      <c r="I9" s="12"/>
      <c r="J9" s="768" t="s">
        <v>941</v>
      </c>
      <c r="K9" s="768"/>
      <c r="L9" s="730"/>
      <c r="M9" s="730"/>
      <c r="N9" s="730"/>
      <c r="O9" s="730"/>
    </row>
    <row r="10" spans="2:12" ht="15.75">
      <c r="B10" s="15"/>
      <c r="C10" s="15"/>
      <c r="D10" s="15"/>
      <c r="E10" s="15"/>
      <c r="F10" s="15"/>
      <c r="G10" s="15"/>
      <c r="H10" s="15"/>
      <c r="I10" s="15"/>
      <c r="J10" s="15"/>
      <c r="K10" s="15"/>
      <c r="L10" s="15"/>
    </row>
    <row r="11" spans="2:12" ht="38.25" customHeight="1">
      <c r="B11" s="769" t="s">
        <v>698</v>
      </c>
      <c r="C11" s="769"/>
      <c r="D11" s="769"/>
      <c r="E11" s="769"/>
      <c r="F11" s="769"/>
      <c r="G11" s="769"/>
      <c r="H11" s="769"/>
      <c r="I11" s="769"/>
      <c r="J11" s="769"/>
      <c r="K11" s="769"/>
      <c r="L11" s="15"/>
    </row>
    <row r="12" spans="2:12" ht="15.75">
      <c r="B12" s="15"/>
      <c r="C12" s="15"/>
      <c r="D12" s="785"/>
      <c r="E12" s="785"/>
      <c r="F12" s="785"/>
      <c r="G12" s="785"/>
      <c r="H12" s="785"/>
      <c r="I12" s="15"/>
      <c r="J12" s="15"/>
      <c r="K12" s="34" t="s">
        <v>426</v>
      </c>
      <c r="L12" s="15"/>
    </row>
    <row r="13" spans="1:12" ht="15.75" customHeight="1">
      <c r="A13" s="770" t="s">
        <v>32</v>
      </c>
      <c r="B13" s="770" t="s">
        <v>12</v>
      </c>
      <c r="C13" s="770" t="s">
        <v>13</v>
      </c>
      <c r="D13" s="770" t="s">
        <v>397</v>
      </c>
      <c r="E13" s="786" t="s">
        <v>9</v>
      </c>
      <c r="F13" s="786"/>
      <c r="G13" s="786"/>
      <c r="H13" s="786"/>
      <c r="I13" s="786"/>
      <c r="J13" s="849"/>
      <c r="K13" s="776" t="s">
        <v>15</v>
      </c>
      <c r="L13" s="15"/>
    </row>
    <row r="14" spans="1:12" ht="15.75">
      <c r="A14" s="771"/>
      <c r="B14" s="771"/>
      <c r="C14" s="771"/>
      <c r="D14" s="771"/>
      <c r="E14" s="770">
        <v>2021</v>
      </c>
      <c r="F14" s="770">
        <v>2022</v>
      </c>
      <c r="G14" s="770" t="s">
        <v>27</v>
      </c>
      <c r="H14" s="770" t="s">
        <v>28</v>
      </c>
      <c r="I14" s="770" t="s">
        <v>29</v>
      </c>
      <c r="J14" s="776">
        <v>2023</v>
      </c>
      <c r="K14" s="776"/>
      <c r="L14" s="15"/>
    </row>
    <row r="15" spans="1:12" ht="15.75">
      <c r="A15" s="772"/>
      <c r="B15" s="772"/>
      <c r="C15" s="772"/>
      <c r="D15" s="772"/>
      <c r="E15" s="772"/>
      <c r="F15" s="772"/>
      <c r="G15" s="772"/>
      <c r="H15" s="772"/>
      <c r="I15" s="772"/>
      <c r="J15" s="776"/>
      <c r="K15" s="776"/>
      <c r="L15" s="15"/>
    </row>
    <row r="16" spans="1:12" ht="28.5" customHeight="1">
      <c r="A16" s="773">
        <v>1</v>
      </c>
      <c r="B16" s="773" t="s">
        <v>119</v>
      </c>
      <c r="C16" s="773" t="s">
        <v>657</v>
      </c>
      <c r="D16" s="897">
        <f>E16+F16+J16</f>
        <v>960</v>
      </c>
      <c r="E16" s="901">
        <v>300</v>
      </c>
      <c r="F16" s="899">
        <v>320</v>
      </c>
      <c r="G16" s="62"/>
      <c r="H16" s="62"/>
      <c r="I16" s="62"/>
      <c r="J16" s="901">
        <v>340</v>
      </c>
      <c r="K16" s="773" t="s">
        <v>245</v>
      </c>
      <c r="L16" s="15"/>
    </row>
    <row r="17" spans="1:14" ht="21" customHeight="1">
      <c r="A17" s="775"/>
      <c r="B17" s="775"/>
      <c r="C17" s="775"/>
      <c r="D17" s="898"/>
      <c r="E17" s="902"/>
      <c r="F17" s="900"/>
      <c r="G17" s="62"/>
      <c r="H17" s="62"/>
      <c r="I17" s="62"/>
      <c r="J17" s="902"/>
      <c r="K17" s="775"/>
      <c r="L17" s="15"/>
      <c r="N17" s="54">
        <v>441</v>
      </c>
    </row>
    <row r="18" spans="1:14" ht="44.25" customHeight="1" hidden="1">
      <c r="A18" s="268">
        <v>2</v>
      </c>
      <c r="B18" s="164" t="s">
        <v>596</v>
      </c>
      <c r="C18" s="35" t="s">
        <v>539</v>
      </c>
      <c r="D18" s="61">
        <f>SUM(E18:J18)</f>
        <v>2000</v>
      </c>
      <c r="E18" s="63"/>
      <c r="F18" s="62"/>
      <c r="G18" s="62"/>
      <c r="H18" s="62"/>
      <c r="I18" s="62"/>
      <c r="J18" s="62">
        <v>2000</v>
      </c>
      <c r="K18" s="268" t="s">
        <v>31</v>
      </c>
      <c r="L18" s="15"/>
      <c r="N18" s="54"/>
    </row>
    <row r="19" spans="1:14" ht="44.25" customHeight="1" hidden="1">
      <c r="A19" s="268">
        <v>3</v>
      </c>
      <c r="B19" s="164" t="s">
        <v>597</v>
      </c>
      <c r="C19" s="35" t="s">
        <v>539</v>
      </c>
      <c r="D19" s="61">
        <f>SUM(E19:J19)</f>
        <v>6000</v>
      </c>
      <c r="E19" s="63"/>
      <c r="F19" s="62"/>
      <c r="G19" s="62"/>
      <c r="H19" s="62"/>
      <c r="I19" s="62"/>
      <c r="J19" s="62">
        <v>6000</v>
      </c>
      <c r="K19" s="268" t="s">
        <v>31</v>
      </c>
      <c r="L19" s="15"/>
      <c r="N19" s="54"/>
    </row>
    <row r="20" spans="1:14" ht="44.25" customHeight="1" hidden="1">
      <c r="A20" s="268">
        <v>4</v>
      </c>
      <c r="B20" s="164" t="s">
        <v>598</v>
      </c>
      <c r="C20" s="35" t="s">
        <v>539</v>
      </c>
      <c r="D20" s="61">
        <f>SUM(E20:J20)</f>
        <v>1000</v>
      </c>
      <c r="E20" s="63"/>
      <c r="F20" s="62"/>
      <c r="G20" s="62"/>
      <c r="H20" s="62"/>
      <c r="I20" s="62"/>
      <c r="J20" s="62">
        <v>1000</v>
      </c>
      <c r="K20" s="268" t="s">
        <v>31</v>
      </c>
      <c r="L20" s="15"/>
      <c r="N20" s="54"/>
    </row>
    <row r="21" spans="1:12" ht="23.25" customHeight="1">
      <c r="A21" s="69"/>
      <c r="B21" s="59" t="s">
        <v>5</v>
      </c>
      <c r="C21" s="70"/>
      <c r="D21" s="61">
        <f aca="true" t="shared" si="0" ref="D21:J21">D16</f>
        <v>960</v>
      </c>
      <c r="E21" s="61">
        <f t="shared" si="0"/>
        <v>300</v>
      </c>
      <c r="F21" s="61">
        <f t="shared" si="0"/>
        <v>320</v>
      </c>
      <c r="G21" s="61">
        <f t="shared" si="0"/>
        <v>0</v>
      </c>
      <c r="H21" s="61">
        <f t="shared" si="0"/>
        <v>0</v>
      </c>
      <c r="I21" s="61">
        <f t="shared" si="0"/>
        <v>0</v>
      </c>
      <c r="J21" s="61">
        <f t="shared" si="0"/>
        <v>340</v>
      </c>
      <c r="K21" s="71"/>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1"/>
      <c r="C26" s="52"/>
      <c r="E26" s="19"/>
      <c r="F26" s="19"/>
      <c r="G26" s="19"/>
      <c r="H26" s="19"/>
      <c r="I26" s="19"/>
      <c r="J26" s="19"/>
      <c r="K26" s="52"/>
      <c r="L26" s="15"/>
    </row>
    <row r="27" spans="2:12" ht="21" customHeight="1">
      <c r="B27" s="809" t="s">
        <v>18</v>
      </c>
      <c r="C27" s="809"/>
      <c r="D27" s="352"/>
      <c r="E27" s="22"/>
      <c r="F27" s="22"/>
      <c r="G27" s="16"/>
      <c r="H27" s="16"/>
      <c r="I27" s="16"/>
      <c r="J27" s="23"/>
      <c r="K27" s="23" t="s">
        <v>30</v>
      </c>
      <c r="L27" s="23"/>
    </row>
    <row r="28" spans="2:12" ht="13.5" customHeight="1">
      <c r="B28" s="352"/>
      <c r="C28" s="352"/>
      <c r="D28" s="352"/>
      <c r="E28" s="22"/>
      <c r="F28" s="22"/>
      <c r="G28" s="16"/>
      <c r="H28" s="16"/>
      <c r="I28" s="16"/>
      <c r="J28" s="23"/>
      <c r="K28" s="23"/>
      <c r="L28" s="23"/>
    </row>
    <row r="29" spans="2:11" ht="18.75">
      <c r="B29" s="777" t="s">
        <v>558</v>
      </c>
      <c r="C29" s="777"/>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A13:A15"/>
    <mergeCell ref="B13:B15"/>
    <mergeCell ref="C13:C15"/>
    <mergeCell ref="D13:D15"/>
    <mergeCell ref="E13:J13"/>
    <mergeCell ref="H14:H15"/>
    <mergeCell ref="I14:I15"/>
    <mergeCell ref="J14:J15"/>
    <mergeCell ref="A16:A17"/>
    <mergeCell ref="B16:B17"/>
    <mergeCell ref="J8:O8"/>
    <mergeCell ref="K16:K17"/>
    <mergeCell ref="J16:J17"/>
    <mergeCell ref="F14:F15"/>
    <mergeCell ref="B11:K11"/>
    <mergeCell ref="K13:K15"/>
    <mergeCell ref="E14:E15"/>
    <mergeCell ref="G14:G15"/>
    <mergeCell ref="J9:K9"/>
    <mergeCell ref="B27:C27"/>
    <mergeCell ref="B29:C29"/>
    <mergeCell ref="C16:C17"/>
    <mergeCell ref="D16:D17"/>
    <mergeCell ref="E16:E17"/>
    <mergeCell ref="F16:F17"/>
    <mergeCell ref="D12:H12"/>
  </mergeCells>
  <printOptions horizontalCentered="1"/>
  <pageMargins left="0" right="0" top="1.1811023622047245" bottom="0" header="0" footer="0"/>
  <pageSetup fitToHeight="1" fitToWidth="1" horizontalDpi="600" verticalDpi="600" orientation="landscape" paperSize="9" scale="89" r:id="rId1"/>
</worksheet>
</file>

<file path=xl/worksheets/sheet35.xml><?xml version="1.0" encoding="utf-8"?>
<worksheet xmlns="http://schemas.openxmlformats.org/spreadsheetml/2006/main" xmlns:r="http://schemas.openxmlformats.org/officeDocument/2006/relationships">
  <sheetPr>
    <tabColor rgb="FFFF0000"/>
    <pageSetUpPr fitToPage="1"/>
  </sheetPr>
  <dimension ref="A1:I81"/>
  <sheetViews>
    <sheetView view="pageLayout" zoomScale="90" zoomScalePageLayoutView="90" workbookViewId="0" topLeftCell="A10">
      <selection activeCell="E23" sqref="E23"/>
    </sheetView>
  </sheetViews>
  <sheetFormatPr defaultColWidth="9.140625" defaultRowHeight="12.75"/>
  <cols>
    <col min="1" max="1" width="63.8515625" style="14" customWidth="1"/>
    <col min="2" max="2" width="22.421875" style="14" customWidth="1"/>
    <col min="3" max="3" width="25.8515625" style="14" customWidth="1"/>
    <col min="4" max="4" width="23.28125" style="14" customWidth="1"/>
    <col min="5" max="5" width="19.140625" style="14" customWidth="1"/>
    <col min="6" max="6" width="17.7109375" style="14" customWidth="1"/>
    <col min="7" max="7" width="47.421875" style="14" customWidth="1"/>
    <col min="8" max="9" width="9.140625" style="14" hidden="1" customWidth="1"/>
    <col min="10" max="16384" width="9.140625" style="14" customWidth="1"/>
  </cols>
  <sheetData>
    <row r="1" spans="1:9" ht="18.75" hidden="1">
      <c r="A1" s="15"/>
      <c r="B1" s="15"/>
      <c r="C1" s="15"/>
      <c r="D1" s="15"/>
      <c r="E1" s="15"/>
      <c r="F1" s="778" t="s">
        <v>456</v>
      </c>
      <c r="G1" s="778"/>
      <c r="H1" s="13" t="s">
        <v>19</v>
      </c>
      <c r="I1" s="14">
        <f>I19+I20+I21</f>
        <v>0</v>
      </c>
    </row>
    <row r="2" spans="1:8" ht="18.75">
      <c r="A2" s="15"/>
      <c r="B2" s="15"/>
      <c r="C2" s="15"/>
      <c r="D2" s="15"/>
      <c r="E2" s="15"/>
      <c r="F2" s="778" t="s">
        <v>11</v>
      </c>
      <c r="G2" s="778"/>
      <c r="H2" s="12" t="s">
        <v>11</v>
      </c>
    </row>
    <row r="3" spans="1:8" ht="18.75">
      <c r="A3" s="15"/>
      <c r="B3" s="15"/>
      <c r="C3" s="15"/>
      <c r="D3" s="15"/>
      <c r="E3" s="15"/>
      <c r="F3" s="58" t="s">
        <v>540</v>
      </c>
      <c r="G3" s="58"/>
      <c r="H3" s="12"/>
    </row>
    <row r="4" spans="1:8" ht="18.75">
      <c r="A4" s="15"/>
      <c r="B4" s="15"/>
      <c r="C4" s="15"/>
      <c r="D4" s="15"/>
      <c r="E4" s="15"/>
      <c r="F4" s="58" t="s">
        <v>541</v>
      </c>
      <c r="G4" s="58"/>
      <c r="H4" s="12"/>
    </row>
    <row r="5" spans="1:8" ht="18.75">
      <c r="A5" s="15"/>
      <c r="B5" s="15"/>
      <c r="C5" s="15"/>
      <c r="D5" s="15"/>
      <c r="E5" s="15"/>
      <c r="F5" s="58" t="s">
        <v>135</v>
      </c>
      <c r="G5" s="58"/>
      <c r="H5" s="12" t="s">
        <v>20</v>
      </c>
    </row>
    <row r="6" spans="1:8" ht="18.75">
      <c r="A6" s="15"/>
      <c r="B6" s="15"/>
      <c r="C6" s="15"/>
      <c r="D6" s="15"/>
      <c r="E6" s="15"/>
      <c r="F6" s="58" t="s">
        <v>22</v>
      </c>
      <c r="G6" s="58"/>
      <c r="H6" s="12" t="s">
        <v>21</v>
      </c>
    </row>
    <row r="7" spans="1:8" ht="18.75">
      <c r="A7" s="15"/>
      <c r="B7" s="15"/>
      <c r="C7" s="15"/>
      <c r="D7" s="15"/>
      <c r="E7" s="15"/>
      <c r="F7" s="58" t="s">
        <v>38</v>
      </c>
      <c r="G7" s="58"/>
      <c r="H7" s="12" t="s">
        <v>23</v>
      </c>
    </row>
    <row r="8" spans="1:8" ht="18.75">
      <c r="A8" s="15"/>
      <c r="B8" s="15"/>
      <c r="C8" s="15"/>
      <c r="D8" s="15"/>
      <c r="E8" s="15"/>
      <c r="F8" s="58" t="s">
        <v>542</v>
      </c>
      <c r="G8" s="58"/>
      <c r="H8" s="12" t="s">
        <v>24</v>
      </c>
    </row>
    <row r="9" spans="1:8" ht="15.75" customHeight="1">
      <c r="A9" s="15"/>
      <c r="B9" s="15"/>
      <c r="C9" s="15"/>
      <c r="D9" s="15"/>
      <c r="E9" s="15"/>
      <c r="F9" s="15" t="s">
        <v>543</v>
      </c>
      <c r="G9" s="15"/>
      <c r="H9" s="15"/>
    </row>
    <row r="10" spans="1:8" ht="18" customHeight="1">
      <c r="A10" s="852" t="s">
        <v>444</v>
      </c>
      <c r="B10" s="852"/>
      <c r="C10" s="852"/>
      <c r="D10" s="852"/>
      <c r="E10" s="852"/>
      <c r="F10" s="852"/>
      <c r="G10" s="852"/>
      <c r="H10" s="15"/>
    </row>
    <row r="11" spans="1:8" ht="15.75" hidden="1">
      <c r="A11" s="15"/>
      <c r="B11" s="15"/>
      <c r="C11" s="785"/>
      <c r="D11" s="785"/>
      <c r="E11" s="785"/>
      <c r="F11" s="15"/>
      <c r="G11" s="15"/>
      <c r="H11" s="15"/>
    </row>
    <row r="12" spans="1:8" ht="15.75" customHeight="1">
      <c r="A12" s="770" t="s">
        <v>12</v>
      </c>
      <c r="B12" s="770" t="s">
        <v>13</v>
      </c>
      <c r="C12" s="770" t="s">
        <v>14</v>
      </c>
      <c r="D12" s="786" t="s">
        <v>9</v>
      </c>
      <c r="E12" s="786"/>
      <c r="F12" s="849"/>
      <c r="G12" s="776" t="s">
        <v>15</v>
      </c>
      <c r="H12" s="15"/>
    </row>
    <row r="13" spans="1:8" ht="15.75" customHeight="1">
      <c r="A13" s="771"/>
      <c r="B13" s="771"/>
      <c r="C13" s="771"/>
      <c r="D13" s="770">
        <v>2018</v>
      </c>
      <c r="E13" s="770">
        <v>2019</v>
      </c>
      <c r="F13" s="776">
        <v>2020</v>
      </c>
      <c r="G13" s="776"/>
      <c r="H13" s="15"/>
    </row>
    <row r="14" spans="1:8" ht="14.25" customHeight="1">
      <c r="A14" s="772"/>
      <c r="B14" s="772"/>
      <c r="C14" s="772"/>
      <c r="D14" s="772"/>
      <c r="E14" s="772"/>
      <c r="F14" s="776"/>
      <c r="G14" s="776"/>
      <c r="H14" s="15"/>
    </row>
    <row r="15" spans="1:8" ht="20.25" customHeight="1">
      <c r="A15" s="770" t="s">
        <v>283</v>
      </c>
      <c r="B15" s="83" t="s">
        <v>16</v>
      </c>
      <c r="C15" s="298">
        <f>SUM(D15:F16)</f>
        <v>181037.4</v>
      </c>
      <c r="D15" s="299">
        <v>89037.4</v>
      </c>
      <c r="E15" s="299">
        <v>92000</v>
      </c>
      <c r="F15" s="299">
        <f>95000-95000</f>
        <v>0</v>
      </c>
      <c r="G15" s="923" t="s">
        <v>31</v>
      </c>
      <c r="H15" s="15"/>
    </row>
    <row r="16" spans="1:8" ht="43.5" customHeight="1" hidden="1">
      <c r="A16" s="771"/>
      <c r="B16" s="83" t="s">
        <v>62</v>
      </c>
      <c r="C16" s="298">
        <f>SUM(D16:F17)</f>
        <v>95000</v>
      </c>
      <c r="D16" s="289"/>
      <c r="E16" s="290"/>
      <c r="F16" s="291"/>
      <c r="G16" s="929"/>
      <c r="H16" s="15"/>
    </row>
    <row r="17" spans="1:8" ht="22.5" customHeight="1">
      <c r="A17" s="771"/>
      <c r="B17" s="83" t="s">
        <v>539</v>
      </c>
      <c r="C17" s="298">
        <f>SUM(D17:F17)</f>
        <v>95000</v>
      </c>
      <c r="D17" s="289">
        <v>0</v>
      </c>
      <c r="E17" s="290">
        <v>0</v>
      </c>
      <c r="F17" s="443">
        <v>95000</v>
      </c>
      <c r="G17" s="929"/>
      <c r="H17" s="15"/>
    </row>
    <row r="18" spans="1:8" ht="24" customHeight="1">
      <c r="A18" s="771"/>
      <c r="B18" s="83" t="s">
        <v>70</v>
      </c>
      <c r="C18" s="298">
        <f>D18+E18+F18</f>
        <v>30</v>
      </c>
      <c r="D18" s="299">
        <f>D55</f>
        <v>30</v>
      </c>
      <c r="E18" s="290"/>
      <c r="F18" s="291"/>
      <c r="G18" s="929"/>
      <c r="H18" s="15"/>
    </row>
    <row r="19" spans="1:8" ht="24" customHeight="1">
      <c r="A19" s="772"/>
      <c r="B19" s="83" t="s">
        <v>62</v>
      </c>
      <c r="C19" s="300">
        <f>D19+E19+F19</f>
        <v>5512.9220000000005</v>
      </c>
      <c r="D19" s="301">
        <f>D33+D36+D51+D53+D35</f>
        <v>5512.9220000000005</v>
      </c>
      <c r="E19" s="290"/>
      <c r="F19" s="292"/>
      <c r="G19" s="924"/>
      <c r="H19" s="15"/>
    </row>
    <row r="20" spans="1:8" ht="53.25" customHeight="1">
      <c r="A20" s="367" t="s">
        <v>259</v>
      </c>
      <c r="B20" s="65" t="s">
        <v>16</v>
      </c>
      <c r="C20" s="288">
        <f aca="true" t="shared" si="0" ref="C20:C71">D20+E20+F20</f>
        <v>3979.4</v>
      </c>
      <c r="D20" s="289">
        <f>1200-946</f>
        <v>254</v>
      </c>
      <c r="E20" s="290">
        <v>3725.4</v>
      </c>
      <c r="F20" s="292"/>
      <c r="G20" s="375" t="s">
        <v>31</v>
      </c>
      <c r="H20" s="15"/>
    </row>
    <row r="21" spans="1:8" ht="24" customHeight="1">
      <c r="A21" s="933" t="s">
        <v>261</v>
      </c>
      <c r="B21" s="65" t="s">
        <v>16</v>
      </c>
      <c r="C21" s="288">
        <f t="shared" si="0"/>
        <v>5500</v>
      </c>
      <c r="D21" s="289">
        <v>2000</v>
      </c>
      <c r="E21" s="290">
        <v>3500</v>
      </c>
      <c r="F21" s="291">
        <v>0</v>
      </c>
      <c r="G21" s="923" t="s">
        <v>31</v>
      </c>
      <c r="H21" s="15"/>
    </row>
    <row r="22" spans="1:8" ht="28.5" customHeight="1">
      <c r="A22" s="934"/>
      <c r="B22" s="65" t="s">
        <v>539</v>
      </c>
      <c r="C22" s="288">
        <f>D22+E22+F22</f>
        <v>3000</v>
      </c>
      <c r="D22" s="289">
        <v>0</v>
      </c>
      <c r="E22" s="290">
        <v>0</v>
      </c>
      <c r="F22" s="291">
        <v>3000</v>
      </c>
      <c r="G22" s="924"/>
      <c r="H22" s="15"/>
    </row>
    <row r="23" spans="1:8" ht="84.75" customHeight="1">
      <c r="A23" s="367" t="s">
        <v>264</v>
      </c>
      <c r="B23" s="65" t="s">
        <v>16</v>
      </c>
      <c r="C23" s="288">
        <f t="shared" si="0"/>
        <v>250</v>
      </c>
      <c r="D23" s="289">
        <v>250</v>
      </c>
      <c r="E23" s="290"/>
      <c r="F23" s="292"/>
      <c r="G23" s="375" t="s">
        <v>31</v>
      </c>
      <c r="H23" s="15"/>
    </row>
    <row r="24" spans="1:8" ht="54.75" customHeight="1">
      <c r="A24" s="367" t="s">
        <v>266</v>
      </c>
      <c r="B24" s="65" t="s">
        <v>16</v>
      </c>
      <c r="C24" s="288">
        <f t="shared" si="0"/>
        <v>240</v>
      </c>
      <c r="D24" s="289">
        <v>240</v>
      </c>
      <c r="E24" s="290"/>
      <c r="F24" s="292"/>
      <c r="G24" s="375" t="s">
        <v>31</v>
      </c>
      <c r="H24" s="15"/>
    </row>
    <row r="25" spans="1:8" ht="75">
      <c r="A25" s="295" t="s">
        <v>268</v>
      </c>
      <c r="B25" s="302" t="s">
        <v>16</v>
      </c>
      <c r="C25" s="288">
        <f t="shared" si="0"/>
        <v>240</v>
      </c>
      <c r="D25" s="303">
        <v>240</v>
      </c>
      <c r="E25" s="304"/>
      <c r="F25" s="305"/>
      <c r="G25" s="373" t="s">
        <v>31</v>
      </c>
      <c r="H25" s="23"/>
    </row>
    <row r="26" spans="1:8" ht="18.75">
      <c r="A26" s="440"/>
      <c r="B26" s="439"/>
      <c r="C26" s="288"/>
      <c r="D26" s="303"/>
      <c r="E26" s="304"/>
      <c r="F26" s="305"/>
      <c r="G26" s="373"/>
      <c r="H26" s="23"/>
    </row>
    <row r="27" spans="1:8" ht="66.75" customHeight="1">
      <c r="A27" s="925" t="s">
        <v>269</v>
      </c>
      <c r="B27" s="286" t="s">
        <v>16</v>
      </c>
      <c r="C27" s="288">
        <f t="shared" si="0"/>
        <v>14920</v>
      </c>
      <c r="D27" s="293">
        <v>650</v>
      </c>
      <c r="E27" s="293">
        <v>14270</v>
      </c>
      <c r="F27" s="293"/>
      <c r="G27" s="931" t="s">
        <v>31</v>
      </c>
      <c r="H27" s="23"/>
    </row>
    <row r="28" spans="1:8" ht="66.75" customHeight="1">
      <c r="A28" s="926"/>
      <c r="B28" s="306" t="s">
        <v>539</v>
      </c>
      <c r="C28" s="288">
        <f t="shared" si="0"/>
        <v>1000</v>
      </c>
      <c r="D28" s="290"/>
      <c r="E28" s="290"/>
      <c r="F28" s="290">
        <v>1000</v>
      </c>
      <c r="G28" s="932"/>
      <c r="H28" s="23"/>
    </row>
    <row r="29" spans="1:8" ht="56.25">
      <c r="A29" s="296" t="s">
        <v>270</v>
      </c>
      <c r="B29" s="306" t="s">
        <v>16</v>
      </c>
      <c r="C29" s="288">
        <f t="shared" si="0"/>
        <v>1300</v>
      </c>
      <c r="D29" s="290">
        <v>1300</v>
      </c>
      <c r="E29" s="290"/>
      <c r="F29" s="294"/>
      <c r="G29" s="377" t="s">
        <v>31</v>
      </c>
      <c r="H29" s="23"/>
    </row>
    <row r="30" spans="1:7" ht="56.25">
      <c r="A30" s="253" t="s">
        <v>271</v>
      </c>
      <c r="B30" s="65" t="s">
        <v>16</v>
      </c>
      <c r="C30" s="288">
        <f t="shared" si="0"/>
        <v>2180</v>
      </c>
      <c r="D30" s="289">
        <f>1980-1780</f>
        <v>200</v>
      </c>
      <c r="E30" s="290">
        <v>1980</v>
      </c>
      <c r="F30" s="292"/>
      <c r="G30" s="375" t="s">
        <v>31</v>
      </c>
    </row>
    <row r="31" spans="1:9" ht="117" customHeight="1">
      <c r="A31" s="253" t="s">
        <v>272</v>
      </c>
      <c r="B31" s="65" t="s">
        <v>16</v>
      </c>
      <c r="C31" s="288">
        <f t="shared" si="0"/>
        <v>13570</v>
      </c>
      <c r="D31" s="372">
        <v>350</v>
      </c>
      <c r="E31" s="293">
        <v>12000</v>
      </c>
      <c r="F31" s="288">
        <v>1220</v>
      </c>
      <c r="G31" s="375" t="s">
        <v>31</v>
      </c>
      <c r="I31" s="12"/>
    </row>
    <row r="32" spans="1:7" ht="18.75">
      <c r="A32" s="847" t="s">
        <v>273</v>
      </c>
      <c r="B32" s="286" t="s">
        <v>16</v>
      </c>
      <c r="C32" s="288">
        <f t="shared" si="0"/>
        <v>426.74</v>
      </c>
      <c r="D32" s="290">
        <v>426.74</v>
      </c>
      <c r="E32" s="290"/>
      <c r="F32" s="290"/>
      <c r="G32" s="931" t="s">
        <v>31</v>
      </c>
    </row>
    <row r="33" spans="1:7" ht="114" customHeight="1">
      <c r="A33" s="930"/>
      <c r="B33" s="286" t="s">
        <v>62</v>
      </c>
      <c r="C33" s="288">
        <f t="shared" si="0"/>
        <v>1224.322</v>
      </c>
      <c r="D33" s="297">
        <v>1224.322</v>
      </c>
      <c r="E33" s="290"/>
      <c r="F33" s="290"/>
      <c r="G33" s="932"/>
    </row>
    <row r="34" spans="1:7" ht="18.75">
      <c r="A34" s="927" t="s">
        <v>274</v>
      </c>
      <c r="B34" s="286" t="s">
        <v>16</v>
      </c>
      <c r="C34" s="288">
        <f t="shared" si="0"/>
        <v>269</v>
      </c>
      <c r="D34" s="297">
        <v>269</v>
      </c>
      <c r="E34" s="290"/>
      <c r="F34" s="290"/>
      <c r="G34" s="923" t="s">
        <v>31</v>
      </c>
    </row>
    <row r="35" spans="1:7" ht="37.5">
      <c r="A35" s="928"/>
      <c r="B35" s="65" t="s">
        <v>62</v>
      </c>
      <c r="C35" s="288">
        <f t="shared" si="0"/>
        <v>2420</v>
      </c>
      <c r="D35" s="289">
        <v>2420</v>
      </c>
      <c r="E35" s="290"/>
      <c r="F35" s="291"/>
      <c r="G35" s="924"/>
    </row>
    <row r="36" spans="1:7" ht="56.25">
      <c r="A36" s="253" t="s">
        <v>275</v>
      </c>
      <c r="B36" s="286" t="s">
        <v>62</v>
      </c>
      <c r="C36" s="288">
        <f t="shared" si="0"/>
        <v>621.6</v>
      </c>
      <c r="D36" s="290">
        <v>621.6</v>
      </c>
      <c r="E36" s="290"/>
      <c r="F36" s="290"/>
      <c r="G36" s="376" t="s">
        <v>31</v>
      </c>
    </row>
    <row r="37" spans="1:7" ht="62.25" customHeight="1">
      <c r="A37" s="253" t="s">
        <v>276</v>
      </c>
      <c r="B37" s="65" t="s">
        <v>16</v>
      </c>
      <c r="C37" s="288">
        <f t="shared" si="0"/>
        <v>20</v>
      </c>
      <c r="D37" s="290">
        <v>20</v>
      </c>
      <c r="E37" s="290"/>
      <c r="F37" s="292"/>
      <c r="G37" s="375" t="s">
        <v>31</v>
      </c>
    </row>
    <row r="38" spans="1:7" ht="51" customHeight="1">
      <c r="A38" s="925" t="s">
        <v>277</v>
      </c>
      <c r="B38" s="220" t="s">
        <v>16</v>
      </c>
      <c r="C38" s="288">
        <f t="shared" si="0"/>
        <v>5250</v>
      </c>
      <c r="D38" s="289">
        <f>500+500</f>
        <v>1000</v>
      </c>
      <c r="E38" s="289">
        <v>3750</v>
      </c>
      <c r="F38" s="289">
        <v>500</v>
      </c>
      <c r="G38" s="378" t="s">
        <v>31</v>
      </c>
    </row>
    <row r="39" spans="1:7" ht="18.75" customHeight="1">
      <c r="A39" s="926"/>
      <c r="B39" s="285" t="s">
        <v>70</v>
      </c>
      <c r="C39" s="288"/>
      <c r="D39" s="289"/>
      <c r="E39" s="289"/>
      <c r="F39" s="289"/>
      <c r="G39" s="378"/>
    </row>
    <row r="40" spans="1:7" ht="103.5" customHeight="1">
      <c r="A40" s="253" t="s">
        <v>278</v>
      </c>
      <c r="B40" s="285" t="s">
        <v>16</v>
      </c>
      <c r="C40" s="288">
        <f t="shared" si="0"/>
        <v>1150</v>
      </c>
      <c r="D40" s="290">
        <v>700</v>
      </c>
      <c r="E40" s="290">
        <v>450</v>
      </c>
      <c r="F40" s="291"/>
      <c r="G40" s="375" t="s">
        <v>31</v>
      </c>
    </row>
    <row r="41" spans="1:7" ht="56.25">
      <c r="A41" s="295" t="s">
        <v>279</v>
      </c>
      <c r="B41" s="307" t="s">
        <v>16</v>
      </c>
      <c r="C41" s="288">
        <f t="shared" si="0"/>
        <v>295</v>
      </c>
      <c r="D41" s="303">
        <v>295</v>
      </c>
      <c r="E41" s="303"/>
      <c r="F41" s="303"/>
      <c r="G41" s="379" t="s">
        <v>31</v>
      </c>
    </row>
    <row r="42" spans="1:7" ht="42" customHeight="1">
      <c r="A42" s="221" t="s">
        <v>280</v>
      </c>
      <c r="B42" s="65" t="s">
        <v>16</v>
      </c>
      <c r="C42" s="288">
        <f t="shared" si="0"/>
        <v>1785</v>
      </c>
      <c r="D42" s="293">
        <f>1000-665</f>
        <v>335</v>
      </c>
      <c r="E42" s="293">
        <f>0+1450</f>
        <v>1450</v>
      </c>
      <c r="F42" s="288"/>
      <c r="G42" s="375" t="s">
        <v>31</v>
      </c>
    </row>
    <row r="43" spans="1:7" ht="40.5" customHeight="1">
      <c r="A43" s="296" t="s">
        <v>281</v>
      </c>
      <c r="B43" s="308" t="s">
        <v>16</v>
      </c>
      <c r="C43" s="288">
        <f t="shared" si="0"/>
        <v>3000</v>
      </c>
      <c r="D43" s="290">
        <v>3000</v>
      </c>
      <c r="E43" s="290"/>
      <c r="F43" s="291"/>
      <c r="G43" s="374" t="s">
        <v>31</v>
      </c>
    </row>
    <row r="44" spans="1:7" ht="33" customHeight="1">
      <c r="A44" s="253" t="s">
        <v>282</v>
      </c>
      <c r="B44" s="285" t="s">
        <v>16</v>
      </c>
      <c r="C44" s="288">
        <f t="shared" si="0"/>
        <v>376.8</v>
      </c>
      <c r="D44" s="290">
        <v>376.8</v>
      </c>
      <c r="E44" s="290"/>
      <c r="F44" s="291"/>
      <c r="G44" s="375" t="s">
        <v>31</v>
      </c>
    </row>
    <row r="45" spans="1:7" ht="56.25">
      <c r="A45" s="218" t="s">
        <v>284</v>
      </c>
      <c r="B45" s="285" t="s">
        <v>16</v>
      </c>
      <c r="C45" s="288">
        <f t="shared" si="0"/>
        <v>350</v>
      </c>
      <c r="D45" s="293">
        <v>350</v>
      </c>
      <c r="E45" s="293"/>
      <c r="F45" s="437"/>
      <c r="G45" s="375" t="s">
        <v>31</v>
      </c>
    </row>
    <row r="46" spans="1:7" ht="56.25">
      <c r="A46" s="218" t="s">
        <v>285</v>
      </c>
      <c r="B46" s="285" t="s">
        <v>16</v>
      </c>
      <c r="C46" s="288">
        <f t="shared" si="0"/>
        <v>250</v>
      </c>
      <c r="D46" s="293">
        <v>250</v>
      </c>
      <c r="E46" s="293"/>
      <c r="F46" s="288"/>
      <c r="G46" s="375" t="s">
        <v>31</v>
      </c>
    </row>
    <row r="47" spans="1:7" ht="76.5" customHeight="1">
      <c r="A47" s="218" t="s">
        <v>369</v>
      </c>
      <c r="B47" s="285" t="s">
        <v>16</v>
      </c>
      <c r="C47" s="288">
        <f t="shared" si="0"/>
        <v>2744</v>
      </c>
      <c r="D47" s="293">
        <f>1194</f>
        <v>1194</v>
      </c>
      <c r="E47" s="293">
        <f>1550</f>
        <v>1550</v>
      </c>
      <c r="F47" s="288"/>
      <c r="G47" s="375" t="s">
        <v>31</v>
      </c>
    </row>
    <row r="48" spans="1:7" ht="75">
      <c r="A48" s="218" t="s">
        <v>305</v>
      </c>
      <c r="B48" s="285" t="s">
        <v>16</v>
      </c>
      <c r="C48" s="288">
        <f t="shared" si="0"/>
        <v>1497</v>
      </c>
      <c r="D48" s="290">
        <v>1497</v>
      </c>
      <c r="E48" s="290"/>
      <c r="F48" s="291"/>
      <c r="G48" s="375" t="s">
        <v>31</v>
      </c>
    </row>
    <row r="49" spans="1:7" ht="56.25">
      <c r="A49" s="218" t="s">
        <v>286</v>
      </c>
      <c r="B49" s="285" t="s">
        <v>16</v>
      </c>
      <c r="C49" s="288">
        <f t="shared" si="0"/>
        <v>1200</v>
      </c>
      <c r="D49" s="290">
        <f>200+1000</f>
        <v>1200</v>
      </c>
      <c r="E49" s="290"/>
      <c r="F49" s="292"/>
      <c r="G49" s="375" t="s">
        <v>31</v>
      </c>
    </row>
    <row r="50" spans="1:7" ht="49.5">
      <c r="A50" s="218" t="s">
        <v>287</v>
      </c>
      <c r="B50" s="285" t="s">
        <v>16</v>
      </c>
      <c r="C50" s="288">
        <f t="shared" si="0"/>
        <v>3690</v>
      </c>
      <c r="D50" s="290">
        <v>250</v>
      </c>
      <c r="E50" s="290">
        <f>3640-200</f>
        <v>3440</v>
      </c>
      <c r="F50" s="291"/>
      <c r="G50" s="375" t="s">
        <v>31</v>
      </c>
    </row>
    <row r="51" spans="1:7" ht="54" customHeight="1">
      <c r="A51" s="925" t="s">
        <v>306</v>
      </c>
      <c r="B51" s="285" t="s">
        <v>62</v>
      </c>
      <c r="C51" s="288">
        <f t="shared" si="0"/>
        <v>950</v>
      </c>
      <c r="D51" s="290">
        <v>950</v>
      </c>
      <c r="E51" s="290"/>
      <c r="F51" s="291"/>
      <c r="G51" s="923" t="s">
        <v>31</v>
      </c>
    </row>
    <row r="52" spans="1:7" ht="18.75">
      <c r="A52" s="926"/>
      <c r="B52" s="285" t="s">
        <v>16</v>
      </c>
      <c r="C52" s="288">
        <f t="shared" si="0"/>
        <v>28.5</v>
      </c>
      <c r="D52" s="290">
        <v>28.5</v>
      </c>
      <c r="E52" s="290"/>
      <c r="F52" s="291"/>
      <c r="G52" s="924"/>
    </row>
    <row r="53" spans="1:7" ht="33.75" customHeight="1">
      <c r="A53" s="925" t="s">
        <v>307</v>
      </c>
      <c r="B53" s="285" t="s">
        <v>62</v>
      </c>
      <c r="C53" s="288">
        <f t="shared" si="0"/>
        <v>297</v>
      </c>
      <c r="D53" s="290">
        <v>297</v>
      </c>
      <c r="E53" s="290"/>
      <c r="F53" s="291"/>
      <c r="G53" s="923" t="s">
        <v>31</v>
      </c>
    </row>
    <row r="54" spans="1:7" ht="18.75">
      <c r="A54" s="926"/>
      <c r="B54" s="285" t="s">
        <v>16</v>
      </c>
      <c r="C54" s="288">
        <f t="shared" si="0"/>
        <v>8.9</v>
      </c>
      <c r="D54" s="290">
        <v>8.9</v>
      </c>
      <c r="E54" s="290"/>
      <c r="F54" s="291"/>
      <c r="G54" s="924"/>
    </row>
    <row r="55" spans="1:7" ht="49.5">
      <c r="A55" s="218" t="s">
        <v>308</v>
      </c>
      <c r="B55" s="285" t="s">
        <v>70</v>
      </c>
      <c r="C55" s="288">
        <f t="shared" si="0"/>
        <v>30</v>
      </c>
      <c r="D55" s="290">
        <v>30</v>
      </c>
      <c r="E55" s="290"/>
      <c r="F55" s="291"/>
      <c r="G55" s="375" t="s">
        <v>31</v>
      </c>
    </row>
    <row r="56" spans="1:7" ht="36" customHeight="1">
      <c r="A56" s="365" t="s">
        <v>354</v>
      </c>
      <c r="B56" s="285" t="s">
        <v>16</v>
      </c>
      <c r="C56" s="288">
        <f t="shared" si="0"/>
        <v>400</v>
      </c>
      <c r="D56" s="290"/>
      <c r="E56" s="290">
        <v>400</v>
      </c>
      <c r="F56" s="291"/>
      <c r="G56" s="375" t="s">
        <v>31</v>
      </c>
    </row>
    <row r="57" spans="1:7" ht="49.5" customHeight="1">
      <c r="A57" s="366" t="s">
        <v>355</v>
      </c>
      <c r="B57" s="285" t="s">
        <v>16</v>
      </c>
      <c r="C57" s="288">
        <f t="shared" si="0"/>
        <v>250</v>
      </c>
      <c r="D57" s="290"/>
      <c r="E57" s="290">
        <v>250</v>
      </c>
      <c r="F57" s="291"/>
      <c r="G57" s="375" t="s">
        <v>31</v>
      </c>
    </row>
    <row r="58" spans="1:7" ht="49.5">
      <c r="A58" s="218" t="s">
        <v>353</v>
      </c>
      <c r="B58" s="285" t="s">
        <v>16</v>
      </c>
      <c r="C58" s="288">
        <f t="shared" si="0"/>
        <v>1000</v>
      </c>
      <c r="D58" s="290"/>
      <c r="E58" s="290">
        <v>1000</v>
      </c>
      <c r="F58" s="291"/>
      <c r="G58" s="375" t="s">
        <v>31</v>
      </c>
    </row>
    <row r="59" spans="1:7" ht="88.5" customHeight="1">
      <c r="A59" s="422" t="s">
        <v>468</v>
      </c>
      <c r="B59" s="220" t="s">
        <v>16</v>
      </c>
      <c r="C59" s="288">
        <f t="shared" si="0"/>
        <v>0</v>
      </c>
      <c r="D59" s="290"/>
      <c r="E59" s="290">
        <f>0+200-200</f>
        <v>0</v>
      </c>
      <c r="F59" s="291"/>
      <c r="G59" s="375" t="s">
        <v>31</v>
      </c>
    </row>
    <row r="60" spans="1:7" ht="54" customHeight="1">
      <c r="A60" s="422" t="s">
        <v>473</v>
      </c>
      <c r="B60" s="285" t="s">
        <v>16</v>
      </c>
      <c r="C60" s="288">
        <f t="shared" si="0"/>
        <v>2116.5</v>
      </c>
      <c r="D60" s="290"/>
      <c r="E60" s="290">
        <f>0+316.5</f>
        <v>316.5</v>
      </c>
      <c r="F60" s="291">
        <v>1800</v>
      </c>
      <c r="G60" s="375" t="s">
        <v>31</v>
      </c>
    </row>
    <row r="61" spans="1:7" ht="51.75" customHeight="1">
      <c r="A61" s="436" t="s">
        <v>478</v>
      </c>
      <c r="B61" s="285" t="s">
        <v>16</v>
      </c>
      <c r="C61" s="288">
        <f t="shared" si="0"/>
        <v>50</v>
      </c>
      <c r="D61" s="290"/>
      <c r="E61" s="290">
        <f>0+50</f>
        <v>50</v>
      </c>
      <c r="F61" s="291"/>
      <c r="G61" s="375" t="s">
        <v>31</v>
      </c>
    </row>
    <row r="62" spans="1:7" ht="48" customHeight="1">
      <c r="A62" s="436" t="s">
        <v>492</v>
      </c>
      <c r="B62" s="285" t="s">
        <v>16</v>
      </c>
      <c r="C62" s="288">
        <f t="shared" si="0"/>
        <v>750</v>
      </c>
      <c r="D62" s="290"/>
      <c r="E62" s="290"/>
      <c r="F62" s="291">
        <v>750</v>
      </c>
      <c r="G62" s="375" t="s">
        <v>31</v>
      </c>
    </row>
    <row r="63" spans="1:7" ht="48" customHeight="1">
      <c r="A63" s="436" t="s">
        <v>493</v>
      </c>
      <c r="B63" s="285" t="s">
        <v>16</v>
      </c>
      <c r="C63" s="288">
        <f t="shared" si="0"/>
        <v>240</v>
      </c>
      <c r="D63" s="290"/>
      <c r="E63" s="290"/>
      <c r="F63" s="291">
        <v>240</v>
      </c>
      <c r="G63" s="375" t="s">
        <v>31</v>
      </c>
    </row>
    <row r="64" spans="1:7" ht="43.5" customHeight="1">
      <c r="A64" s="436" t="s">
        <v>494</v>
      </c>
      <c r="B64" s="285" t="s">
        <v>16</v>
      </c>
      <c r="C64" s="288">
        <f t="shared" si="0"/>
        <v>1200</v>
      </c>
      <c r="D64" s="290"/>
      <c r="E64" s="290"/>
      <c r="F64" s="291">
        <v>1200</v>
      </c>
      <c r="G64" s="375" t="s">
        <v>31</v>
      </c>
    </row>
    <row r="65" spans="1:7" ht="66.75" customHeight="1">
      <c r="A65" s="436" t="s">
        <v>495</v>
      </c>
      <c r="B65" s="285" t="s">
        <v>16</v>
      </c>
      <c r="C65" s="288">
        <f t="shared" si="0"/>
        <v>0</v>
      </c>
      <c r="D65" s="290"/>
      <c r="E65" s="290"/>
      <c r="F65" s="292"/>
      <c r="G65" s="375" t="s">
        <v>31</v>
      </c>
    </row>
    <row r="66" spans="1:7" ht="51" customHeight="1">
      <c r="A66" s="436" t="s">
        <v>496</v>
      </c>
      <c r="B66" s="285" t="s">
        <v>16</v>
      </c>
      <c r="C66" s="288">
        <f t="shared" si="0"/>
        <v>1950</v>
      </c>
      <c r="D66" s="290"/>
      <c r="E66" s="290"/>
      <c r="F66" s="291">
        <v>1950</v>
      </c>
      <c r="G66" s="375" t="s">
        <v>31</v>
      </c>
    </row>
    <row r="67" spans="1:7" ht="45.75" customHeight="1">
      <c r="A67" s="436" t="s">
        <v>497</v>
      </c>
      <c r="B67" s="285" t="s">
        <v>16</v>
      </c>
      <c r="C67" s="288">
        <f t="shared" si="0"/>
        <v>0</v>
      </c>
      <c r="D67" s="290"/>
      <c r="E67" s="290"/>
      <c r="F67" s="292"/>
      <c r="G67" s="375" t="s">
        <v>31</v>
      </c>
    </row>
    <row r="68" spans="1:7" ht="33.75" customHeight="1">
      <c r="A68" s="436" t="s">
        <v>498</v>
      </c>
      <c r="B68" s="285" t="s">
        <v>16</v>
      </c>
      <c r="C68" s="288">
        <f t="shared" si="0"/>
        <v>9700</v>
      </c>
      <c r="D68" s="290"/>
      <c r="E68" s="290"/>
      <c r="F68" s="291">
        <v>9700</v>
      </c>
      <c r="G68" s="375" t="s">
        <v>31</v>
      </c>
    </row>
    <row r="69" spans="1:7" ht="56.25" customHeight="1">
      <c r="A69" s="436" t="s">
        <v>499</v>
      </c>
      <c r="B69" s="285" t="s">
        <v>16</v>
      </c>
      <c r="C69" s="288">
        <f t="shared" si="0"/>
        <v>72</v>
      </c>
      <c r="D69" s="290"/>
      <c r="E69" s="290"/>
      <c r="F69" s="291">
        <v>72</v>
      </c>
      <c r="G69" s="375" t="s">
        <v>31</v>
      </c>
    </row>
    <row r="70" spans="1:7" ht="28.5" customHeight="1">
      <c r="A70" s="436" t="s">
        <v>535</v>
      </c>
      <c r="B70" s="285" t="s">
        <v>16</v>
      </c>
      <c r="C70" s="288">
        <f t="shared" si="0"/>
        <v>250</v>
      </c>
      <c r="D70" s="290"/>
      <c r="E70" s="290"/>
      <c r="F70" s="291">
        <v>250</v>
      </c>
      <c r="G70" s="375" t="s">
        <v>31</v>
      </c>
    </row>
    <row r="71" spans="1:7" ht="30" customHeight="1">
      <c r="A71" s="436" t="s">
        <v>536</v>
      </c>
      <c r="B71" s="285" t="s">
        <v>16</v>
      </c>
      <c r="C71" s="288">
        <f t="shared" si="0"/>
        <v>300</v>
      </c>
      <c r="D71" s="290"/>
      <c r="E71" s="290"/>
      <c r="F71" s="291">
        <v>300</v>
      </c>
      <c r="G71" s="375" t="s">
        <v>31</v>
      </c>
    </row>
    <row r="72" spans="1:7" ht="18.75">
      <c r="A72" s="59" t="s">
        <v>5</v>
      </c>
      <c r="B72" s="70"/>
      <c r="C72" s="343">
        <f>C15+C19+C18</f>
        <v>186580.322</v>
      </c>
      <c r="D72" s="343">
        <f>D15+D19+D18</f>
        <v>94580.322</v>
      </c>
      <c r="E72" s="343">
        <f>E15+E19+E18</f>
        <v>92000</v>
      </c>
      <c r="F72" s="343">
        <f>F15+F19+F18</f>
        <v>0</v>
      </c>
      <c r="G72" s="380"/>
    </row>
    <row r="73" spans="1:7" ht="16.5">
      <c r="A73" s="18"/>
      <c r="B73" s="18"/>
      <c r="C73" s="89"/>
      <c r="D73" s="19"/>
      <c r="E73" s="19"/>
      <c r="F73" s="19"/>
      <c r="G73" s="381"/>
    </row>
    <row r="74" spans="1:7" ht="18.75">
      <c r="A74" s="51"/>
      <c r="B74" s="52"/>
      <c r="D74" s="19"/>
      <c r="E74" s="19"/>
      <c r="F74" s="19"/>
      <c r="G74" s="382"/>
    </row>
    <row r="75" spans="1:7" ht="23.25" customHeight="1">
      <c r="A75" s="352" t="s">
        <v>523</v>
      </c>
      <c r="B75" s="352"/>
      <c r="C75" s="352"/>
      <c r="D75" s="22"/>
      <c r="E75" s="22"/>
      <c r="F75" s="23"/>
      <c r="G75" s="23" t="s">
        <v>30</v>
      </c>
    </row>
    <row r="76" spans="1:7" ht="18.75">
      <c r="A76" s="21"/>
      <c r="B76" s="21"/>
      <c r="C76" s="21"/>
      <c r="D76" s="22"/>
      <c r="E76" s="22"/>
      <c r="F76" s="23"/>
      <c r="G76" s="24"/>
    </row>
    <row r="77" spans="1:7" ht="18.75">
      <c r="A77" s="777" t="s">
        <v>482</v>
      </c>
      <c r="B77" s="777"/>
      <c r="C77" s="25"/>
      <c r="D77" s="26"/>
      <c r="E77" s="26"/>
      <c r="F77" s="15"/>
      <c r="G77" s="15"/>
    </row>
    <row r="78" spans="1:7" ht="15.75">
      <c r="A78" s="17" t="s">
        <v>10</v>
      </c>
      <c r="B78" s="17"/>
      <c r="C78" s="26"/>
      <c r="D78" s="26"/>
      <c r="E78" s="26"/>
      <c r="F78" s="15"/>
      <c r="G78" s="15"/>
    </row>
    <row r="79" spans="1:7" ht="15.75">
      <c r="A79" s="28"/>
      <c r="B79" s="29"/>
      <c r="C79" s="30"/>
      <c r="D79" s="26"/>
      <c r="E79" s="26"/>
      <c r="F79" s="15"/>
      <c r="G79" s="15"/>
    </row>
    <row r="80" spans="2:6" ht="15.75">
      <c r="B80" s="30"/>
      <c r="C80" s="26"/>
      <c r="D80" s="26"/>
      <c r="E80" s="26"/>
      <c r="F80" s="26"/>
    </row>
    <row r="81" spans="2:6" ht="15.75">
      <c r="B81" s="31"/>
      <c r="C81" s="26"/>
      <c r="D81" s="26"/>
      <c r="E81" s="26"/>
      <c r="F81" s="26"/>
    </row>
  </sheetData>
  <sheetProtection/>
  <mergeCells count="28">
    <mergeCell ref="A77:B77"/>
    <mergeCell ref="F1:G1"/>
    <mergeCell ref="F2:G2"/>
    <mergeCell ref="A10:G10"/>
    <mergeCell ref="C11:E11"/>
    <mergeCell ref="C12:C14"/>
    <mergeCell ref="D12:F12"/>
    <mergeCell ref="D13:D14"/>
    <mergeCell ref="G12:G14"/>
    <mergeCell ref="A21:A22"/>
    <mergeCell ref="A15:A19"/>
    <mergeCell ref="G34:G35"/>
    <mergeCell ref="G15:G19"/>
    <mergeCell ref="A32:A33"/>
    <mergeCell ref="G32:G33"/>
    <mergeCell ref="G21:G22"/>
    <mergeCell ref="A27:A28"/>
    <mergeCell ref="G27:G28"/>
    <mergeCell ref="G53:G54"/>
    <mergeCell ref="A51:A52"/>
    <mergeCell ref="G51:G52"/>
    <mergeCell ref="A12:A14"/>
    <mergeCell ref="E13:E14"/>
    <mergeCell ref="F13:F14"/>
    <mergeCell ref="A53:A54"/>
    <mergeCell ref="A34:A35"/>
    <mergeCell ref="B12:B14"/>
    <mergeCell ref="A38:A39"/>
  </mergeCells>
  <printOptions horizontalCentered="1"/>
  <pageMargins left="0" right="0" top="1.1811023622047245" bottom="0.7874015748031497" header="0" footer="0"/>
  <pageSetup fitToHeight="0" fitToWidth="1" horizontalDpi="600" verticalDpi="600" orientation="landscape" paperSize="9" scale="67" r:id="rId1"/>
  <headerFooter scaleWithDoc="0" alignWithMargins="0">
    <oddHeader>&amp;C&amp;N&amp;P</oddHeader>
  </headerFooter>
</worksheet>
</file>

<file path=xl/worksheets/sheet36.xml><?xml version="1.0" encoding="utf-8"?>
<worksheet xmlns="http://schemas.openxmlformats.org/spreadsheetml/2006/main" xmlns:r="http://schemas.openxmlformats.org/officeDocument/2006/relationships">
  <sheetPr>
    <tabColor theme="6" tint="0.5999900102615356"/>
    <pageSetUpPr fitToPage="1"/>
  </sheetPr>
  <dimension ref="A1:L72"/>
  <sheetViews>
    <sheetView view="pageBreakPreview" zoomScale="90" zoomScaleSheetLayoutView="90" zoomScalePageLayoutView="0" workbookViewId="0" topLeftCell="A2">
      <selection activeCell="A1" sqref="A1:L67"/>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4.14062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388" t="s">
        <v>458</v>
      </c>
    </row>
    <row r="2" spans="2:12" ht="15.75">
      <c r="B2" s="15"/>
      <c r="C2" s="15"/>
      <c r="D2" s="15"/>
      <c r="E2" s="15"/>
      <c r="F2" s="15"/>
      <c r="G2" s="12" t="s">
        <v>11</v>
      </c>
      <c r="H2" s="12"/>
      <c r="I2" s="15"/>
      <c r="J2" s="12"/>
      <c r="K2" s="12"/>
      <c r="L2" s="12"/>
    </row>
    <row r="3" spans="2:12" ht="15.75">
      <c r="B3" s="15"/>
      <c r="C3" s="15"/>
      <c r="D3" s="15"/>
      <c r="E3" s="15"/>
      <c r="F3" s="15"/>
      <c r="G3" s="12" t="s">
        <v>566</v>
      </c>
      <c r="H3" s="12"/>
      <c r="I3" s="15"/>
      <c r="J3" s="12"/>
      <c r="K3" s="12"/>
      <c r="L3" s="12"/>
    </row>
    <row r="4" spans="2:12" ht="15.75">
      <c r="B4" s="15"/>
      <c r="C4" s="15"/>
      <c r="D4" s="15"/>
      <c r="E4" s="15"/>
      <c r="F4" s="15"/>
      <c r="G4" s="17" t="s">
        <v>567</v>
      </c>
      <c r="H4" s="17"/>
      <c r="I4" s="15"/>
      <c r="J4" s="12"/>
      <c r="K4" s="12"/>
      <c r="L4" s="12"/>
    </row>
    <row r="5" spans="2:12" ht="15.75">
      <c r="B5" s="15"/>
      <c r="C5" s="15"/>
      <c r="D5" s="15"/>
      <c r="E5" s="15"/>
      <c r="F5" s="15"/>
      <c r="G5" s="17" t="s">
        <v>907</v>
      </c>
      <c r="H5" s="17"/>
      <c r="I5" s="15"/>
      <c r="J5" s="12"/>
      <c r="K5" s="12"/>
      <c r="L5" s="12"/>
    </row>
    <row r="6" spans="2:12" ht="15.75">
      <c r="B6" s="15"/>
      <c r="C6" s="15"/>
      <c r="D6" s="15"/>
      <c r="E6" s="15"/>
      <c r="F6" s="15"/>
      <c r="G6" s="17" t="s">
        <v>924</v>
      </c>
      <c r="H6" s="17"/>
      <c r="I6" s="327"/>
      <c r="J6" s="12"/>
      <c r="K6" s="12"/>
      <c r="L6" s="12"/>
    </row>
    <row r="7" spans="2:12" ht="15.75" customHeight="1">
      <c r="B7" s="15"/>
      <c r="C7" s="15"/>
      <c r="D7" s="15"/>
      <c r="E7" s="15"/>
      <c r="F7" s="15"/>
      <c r="G7" s="768" t="s">
        <v>920</v>
      </c>
      <c r="H7" s="768"/>
      <c r="I7" s="768"/>
      <c r="J7" s="768"/>
      <c r="K7" s="768"/>
      <c r="L7" s="768"/>
    </row>
    <row r="8" spans="2:12" ht="15.75">
      <c r="B8" s="15"/>
      <c r="C8" s="15"/>
      <c r="D8" s="15"/>
      <c r="E8" s="15"/>
      <c r="F8" s="15"/>
      <c r="G8" s="768" t="s">
        <v>941</v>
      </c>
      <c r="H8" s="768"/>
      <c r="I8" s="730"/>
      <c r="J8" s="730"/>
      <c r="K8" s="730"/>
      <c r="L8" s="730"/>
    </row>
    <row r="9" spans="2:8" ht="11.25" customHeight="1">
      <c r="B9" s="15"/>
      <c r="C9" s="15"/>
      <c r="D9" s="15"/>
      <c r="E9" s="15"/>
      <c r="F9" s="15"/>
      <c r="H9" s="15"/>
    </row>
    <row r="10" spans="2:8" ht="16.5" customHeight="1">
      <c r="B10" s="852" t="s">
        <v>661</v>
      </c>
      <c r="C10" s="852"/>
      <c r="D10" s="852"/>
      <c r="E10" s="852"/>
      <c r="F10" s="852"/>
      <c r="G10" s="852"/>
      <c r="H10" s="852"/>
    </row>
    <row r="11" spans="2:8" ht="4.5" customHeight="1">
      <c r="B11" s="15"/>
      <c r="C11" s="15"/>
      <c r="D11" s="785"/>
      <c r="E11" s="785"/>
      <c r="F11" s="785"/>
      <c r="G11" s="15"/>
      <c r="H11" s="15"/>
    </row>
    <row r="12" spans="1:8" ht="20.25" customHeight="1">
      <c r="A12" s="776" t="s">
        <v>32</v>
      </c>
      <c r="B12" s="849" t="s">
        <v>12</v>
      </c>
      <c r="C12" s="770" t="s">
        <v>13</v>
      </c>
      <c r="D12" s="770" t="s">
        <v>14</v>
      </c>
      <c r="E12" s="786" t="s">
        <v>9</v>
      </c>
      <c r="F12" s="786"/>
      <c r="G12" s="849"/>
      <c r="H12" s="776" t="s">
        <v>15</v>
      </c>
    </row>
    <row r="13" spans="1:8" ht="45" customHeight="1">
      <c r="A13" s="776"/>
      <c r="B13" s="935"/>
      <c r="C13" s="771"/>
      <c r="D13" s="771"/>
      <c r="E13" s="805">
        <v>2021</v>
      </c>
      <c r="F13" s="805">
        <v>2022</v>
      </c>
      <c r="G13" s="805">
        <v>2023</v>
      </c>
      <c r="H13" s="776"/>
    </row>
    <row r="14" spans="1:8" ht="1.5" customHeight="1">
      <c r="A14" s="776"/>
      <c r="B14" s="906"/>
      <c r="C14" s="772"/>
      <c r="D14" s="772"/>
      <c r="E14" s="806"/>
      <c r="F14" s="806"/>
      <c r="G14" s="806"/>
      <c r="H14" s="776"/>
    </row>
    <row r="15" spans="1:8" s="497" customFormat="1" ht="39.75" customHeight="1">
      <c r="A15" s="581"/>
      <c r="B15" s="572" t="s">
        <v>662</v>
      </c>
      <c r="C15" s="568"/>
      <c r="D15" s="631">
        <f>E15+F15+G15</f>
        <v>108197.6</v>
      </c>
      <c r="E15" s="632">
        <f>E16+E23+E29+E37</f>
        <v>40850</v>
      </c>
      <c r="F15" s="632">
        <f>F16+F23+F29</f>
        <v>32733.8</v>
      </c>
      <c r="G15" s="632">
        <f>G16+G23+G29</f>
        <v>34613.8</v>
      </c>
      <c r="H15" s="569"/>
    </row>
    <row r="16" spans="1:8" ht="33" customHeight="1">
      <c r="A16" s="582" t="s">
        <v>798</v>
      </c>
      <c r="B16" s="626" t="s">
        <v>666</v>
      </c>
      <c r="C16" s="35" t="s">
        <v>657</v>
      </c>
      <c r="D16" s="633">
        <f aca="true" t="shared" si="0" ref="D16:D33">E16+F16+G16</f>
        <v>64200</v>
      </c>
      <c r="E16" s="634">
        <v>20100</v>
      </c>
      <c r="F16" s="634">
        <v>21400</v>
      </c>
      <c r="G16" s="634">
        <v>22700</v>
      </c>
      <c r="H16" s="773" t="s">
        <v>245</v>
      </c>
    </row>
    <row r="17" spans="1:8" s="493" customFormat="1" ht="81.75" customHeight="1" hidden="1">
      <c r="A17" s="582" t="s">
        <v>248</v>
      </c>
      <c r="B17" s="573" t="s">
        <v>669</v>
      </c>
      <c r="C17" s="35" t="str">
        <f aca="true" t="shared" si="1" ref="C17:C22">$C$16</f>
        <v>Бюджет ТГ</v>
      </c>
      <c r="D17" s="633">
        <f t="shared" si="0"/>
        <v>0</v>
      </c>
      <c r="E17" s="634"/>
      <c r="F17" s="634"/>
      <c r="G17" s="635"/>
      <c r="H17" s="774"/>
    </row>
    <row r="18" spans="1:8" s="493" customFormat="1" ht="99" customHeight="1" hidden="1">
      <c r="A18" s="582" t="s">
        <v>260</v>
      </c>
      <c r="B18" s="574" t="s">
        <v>670</v>
      </c>
      <c r="C18" s="35" t="str">
        <f t="shared" si="1"/>
        <v>Бюджет ТГ</v>
      </c>
      <c r="D18" s="633">
        <f t="shared" si="0"/>
        <v>0</v>
      </c>
      <c r="E18" s="634"/>
      <c r="F18" s="634"/>
      <c r="G18" s="635"/>
      <c r="H18" s="774"/>
    </row>
    <row r="19" spans="1:8" s="493" customFormat="1" ht="57" customHeight="1" hidden="1">
      <c r="A19" s="582" t="s">
        <v>262</v>
      </c>
      <c r="B19" s="570" t="s">
        <v>671</v>
      </c>
      <c r="C19" s="65" t="str">
        <f t="shared" si="1"/>
        <v>Бюджет ТГ</v>
      </c>
      <c r="D19" s="633">
        <f t="shared" si="0"/>
        <v>0</v>
      </c>
      <c r="E19" s="634"/>
      <c r="F19" s="634"/>
      <c r="G19" s="636"/>
      <c r="H19" s="774"/>
    </row>
    <row r="20" spans="1:8" s="493" customFormat="1" ht="57" customHeight="1" hidden="1">
      <c r="A20" s="582" t="s">
        <v>263</v>
      </c>
      <c r="B20" s="573" t="s">
        <v>672</v>
      </c>
      <c r="C20" s="65" t="str">
        <f t="shared" si="1"/>
        <v>Бюджет ТГ</v>
      </c>
      <c r="D20" s="633">
        <f t="shared" si="0"/>
        <v>0</v>
      </c>
      <c r="E20" s="637"/>
      <c r="F20" s="637"/>
      <c r="G20" s="633"/>
      <c r="H20" s="774"/>
    </row>
    <row r="21" spans="1:8" s="493" customFormat="1" ht="66.75" customHeight="1" hidden="1">
      <c r="A21" s="582" t="s">
        <v>265</v>
      </c>
      <c r="B21" s="576" t="s">
        <v>673</v>
      </c>
      <c r="C21" s="308" t="str">
        <f t="shared" si="1"/>
        <v>Бюджет ТГ</v>
      </c>
      <c r="D21" s="633">
        <f t="shared" si="0"/>
        <v>0</v>
      </c>
      <c r="E21" s="634"/>
      <c r="F21" s="634"/>
      <c r="G21" s="635"/>
      <c r="H21" s="774"/>
    </row>
    <row r="22" spans="1:8" s="493" customFormat="1" ht="57.75" customHeight="1" hidden="1">
      <c r="A22" s="582" t="s">
        <v>267</v>
      </c>
      <c r="B22" s="576" t="s">
        <v>754</v>
      </c>
      <c r="C22" s="308" t="str">
        <f t="shared" si="1"/>
        <v>Бюджет ТГ</v>
      </c>
      <c r="D22" s="633">
        <f t="shared" si="0"/>
        <v>0</v>
      </c>
      <c r="E22" s="634"/>
      <c r="F22" s="634"/>
      <c r="G22" s="635"/>
      <c r="H22" s="774"/>
    </row>
    <row r="23" spans="1:8" ht="27.75" customHeight="1">
      <c r="A23" s="582" t="s">
        <v>601</v>
      </c>
      <c r="B23" s="627" t="s">
        <v>663</v>
      </c>
      <c r="C23" s="285" t="s">
        <v>657</v>
      </c>
      <c r="D23" s="633">
        <f t="shared" si="0"/>
        <v>3997.6000000000004</v>
      </c>
      <c r="E23" s="634">
        <v>1250</v>
      </c>
      <c r="F23" s="634">
        <v>1333.8</v>
      </c>
      <c r="G23" s="635">
        <v>1413.8</v>
      </c>
      <c r="H23" s="774"/>
    </row>
    <row r="24" spans="1:8" ht="56.25" customHeight="1" hidden="1">
      <c r="A24" s="582" t="s">
        <v>356</v>
      </c>
      <c r="B24" s="575" t="s">
        <v>680</v>
      </c>
      <c r="C24" s="285" t="s">
        <v>657</v>
      </c>
      <c r="D24" s="633">
        <f t="shared" si="0"/>
        <v>250</v>
      </c>
      <c r="E24" s="634">
        <v>250</v>
      </c>
      <c r="F24" s="634"/>
      <c r="G24" s="635"/>
      <c r="H24" s="774"/>
    </row>
    <row r="25" spans="1:8" ht="57" customHeight="1" hidden="1">
      <c r="A25" s="582" t="s">
        <v>388</v>
      </c>
      <c r="B25" s="575" t="s">
        <v>681</v>
      </c>
      <c r="C25" s="285" t="s">
        <v>657</v>
      </c>
      <c r="D25" s="633">
        <f t="shared" si="0"/>
        <v>250</v>
      </c>
      <c r="E25" s="634">
        <v>250</v>
      </c>
      <c r="F25" s="634"/>
      <c r="G25" s="635"/>
      <c r="H25" s="774"/>
    </row>
    <row r="26" spans="1:8" ht="56.25" customHeight="1" hidden="1">
      <c r="A26" s="582" t="s">
        <v>413</v>
      </c>
      <c r="B26" s="575" t="s">
        <v>682</v>
      </c>
      <c r="C26" s="285" t="s">
        <v>657</v>
      </c>
      <c r="D26" s="633">
        <f t="shared" si="0"/>
        <v>250</v>
      </c>
      <c r="E26" s="634">
        <v>250</v>
      </c>
      <c r="F26" s="634"/>
      <c r="G26" s="635"/>
      <c r="H26" s="774"/>
    </row>
    <row r="27" spans="1:8" ht="57.75" customHeight="1" hidden="1">
      <c r="A27" s="582" t="s">
        <v>414</v>
      </c>
      <c r="B27" s="575" t="s">
        <v>683</v>
      </c>
      <c r="C27" s="285" t="s">
        <v>657</v>
      </c>
      <c r="D27" s="633">
        <f t="shared" si="0"/>
        <v>250</v>
      </c>
      <c r="E27" s="634">
        <v>250</v>
      </c>
      <c r="F27" s="634"/>
      <c r="G27" s="635"/>
      <c r="H27" s="774"/>
    </row>
    <row r="28" spans="1:8" ht="55.5" customHeight="1" hidden="1">
      <c r="A28" s="582" t="s">
        <v>415</v>
      </c>
      <c r="B28" s="575" t="s">
        <v>684</v>
      </c>
      <c r="C28" s="285" t="s">
        <v>657</v>
      </c>
      <c r="D28" s="633">
        <f t="shared" si="0"/>
        <v>250</v>
      </c>
      <c r="E28" s="634">
        <v>250</v>
      </c>
      <c r="F28" s="634"/>
      <c r="G28" s="635"/>
      <c r="H28" s="774"/>
    </row>
    <row r="29" spans="1:8" ht="29.25" customHeight="1">
      <c r="A29" s="582" t="s">
        <v>557</v>
      </c>
      <c r="B29" s="628" t="s">
        <v>664</v>
      </c>
      <c r="C29" s="285" t="s">
        <v>657</v>
      </c>
      <c r="D29" s="633">
        <f>E29+F29+G29</f>
        <v>35500</v>
      </c>
      <c r="E29" s="634">
        <v>15000</v>
      </c>
      <c r="F29" s="634">
        <v>10000</v>
      </c>
      <c r="G29" s="635">
        <v>10500</v>
      </c>
      <c r="H29" s="774"/>
    </row>
    <row r="30" spans="1:8" ht="56.25" customHeight="1" hidden="1">
      <c r="A30" s="582" t="s">
        <v>460</v>
      </c>
      <c r="B30" s="573" t="s">
        <v>674</v>
      </c>
      <c r="C30" s="285" t="s">
        <v>657</v>
      </c>
      <c r="D30" s="633">
        <f t="shared" si="0"/>
        <v>1200</v>
      </c>
      <c r="E30" s="634">
        <v>1200</v>
      </c>
      <c r="F30" s="634"/>
      <c r="G30" s="635"/>
      <c r="H30" s="774"/>
    </row>
    <row r="31" spans="1:8" ht="86.25" customHeight="1" hidden="1">
      <c r="A31" s="582" t="s">
        <v>514</v>
      </c>
      <c r="B31" s="574" t="s">
        <v>675</v>
      </c>
      <c r="C31" s="285" t="s">
        <v>657</v>
      </c>
      <c r="D31" s="633">
        <f t="shared" si="0"/>
        <v>300</v>
      </c>
      <c r="E31" s="634">
        <v>300</v>
      </c>
      <c r="F31" s="634"/>
      <c r="G31" s="635"/>
      <c r="H31" s="774"/>
    </row>
    <row r="32" spans="1:8" ht="57" customHeight="1" hidden="1">
      <c r="A32" s="582" t="s">
        <v>623</v>
      </c>
      <c r="B32" s="574" t="s">
        <v>676</v>
      </c>
      <c r="C32" s="285" t="s">
        <v>657</v>
      </c>
      <c r="D32" s="633">
        <f t="shared" si="0"/>
        <v>3000</v>
      </c>
      <c r="E32" s="634">
        <v>3000</v>
      </c>
      <c r="F32" s="634"/>
      <c r="G32" s="635"/>
      <c r="H32" s="774"/>
    </row>
    <row r="33" spans="1:8" ht="55.5" customHeight="1" hidden="1">
      <c r="A33" s="582" t="s">
        <v>624</v>
      </c>
      <c r="B33" s="575" t="s">
        <v>677</v>
      </c>
      <c r="C33" s="285" t="s">
        <v>657</v>
      </c>
      <c r="D33" s="633">
        <f t="shared" si="0"/>
        <v>550</v>
      </c>
      <c r="E33" s="634">
        <v>550</v>
      </c>
      <c r="F33" s="634"/>
      <c r="G33" s="635"/>
      <c r="H33" s="774"/>
    </row>
    <row r="34" spans="1:8" ht="61.5" customHeight="1" hidden="1">
      <c r="A34" s="582" t="s">
        <v>641</v>
      </c>
      <c r="B34" s="575" t="s">
        <v>678</v>
      </c>
      <c r="C34" s="285" t="s">
        <v>657</v>
      </c>
      <c r="D34" s="633">
        <f aca="true" t="shared" si="2" ref="D34:D61">E34+F34+G34</f>
        <v>400</v>
      </c>
      <c r="E34" s="634">
        <v>400</v>
      </c>
      <c r="F34" s="634"/>
      <c r="G34" s="635"/>
      <c r="H34" s="774"/>
    </row>
    <row r="35" spans="1:8" ht="78" customHeight="1" hidden="1">
      <c r="A35" s="582" t="s">
        <v>799</v>
      </c>
      <c r="B35" s="575" t="s">
        <v>679</v>
      </c>
      <c r="C35" s="285" t="s">
        <v>657</v>
      </c>
      <c r="D35" s="633">
        <f t="shared" si="2"/>
        <v>2350</v>
      </c>
      <c r="E35" s="634">
        <v>2350</v>
      </c>
      <c r="F35" s="634"/>
      <c r="G35" s="635"/>
      <c r="H35" s="774"/>
    </row>
    <row r="36" spans="1:8" ht="55.5" customHeight="1" hidden="1">
      <c r="A36" s="582" t="s">
        <v>800</v>
      </c>
      <c r="B36" s="575" t="s">
        <v>755</v>
      </c>
      <c r="C36" s="285" t="s">
        <v>657</v>
      </c>
      <c r="D36" s="633">
        <f t="shared" si="2"/>
        <v>1500</v>
      </c>
      <c r="E36" s="634">
        <v>1500</v>
      </c>
      <c r="F36" s="634"/>
      <c r="G36" s="635"/>
      <c r="H36" s="774"/>
    </row>
    <row r="37" spans="1:8" ht="40.5" customHeight="1">
      <c r="A37" s="582" t="s">
        <v>881</v>
      </c>
      <c r="B37" s="575" t="s">
        <v>882</v>
      </c>
      <c r="C37" s="285" t="s">
        <v>657</v>
      </c>
      <c r="D37" s="633">
        <f t="shared" si="2"/>
        <v>4500</v>
      </c>
      <c r="E37" s="634">
        <v>4500</v>
      </c>
      <c r="F37" s="634"/>
      <c r="G37" s="635"/>
      <c r="H37" s="775"/>
    </row>
    <row r="38" spans="1:10" s="497" customFormat="1" ht="48.75" customHeight="1">
      <c r="A38" s="585"/>
      <c r="B38" s="577" t="s">
        <v>665</v>
      </c>
      <c r="C38" s="571"/>
      <c r="D38" s="631">
        <f t="shared" si="2"/>
        <v>118000</v>
      </c>
      <c r="E38" s="632">
        <f>E39+E47+E54</f>
        <v>37500</v>
      </c>
      <c r="F38" s="632">
        <f>F39+F47</f>
        <v>39000</v>
      </c>
      <c r="G38" s="632">
        <f>G39+G47</f>
        <v>41500</v>
      </c>
      <c r="H38" s="568"/>
      <c r="J38" s="615"/>
    </row>
    <row r="39" spans="1:8" ht="37.5" customHeight="1">
      <c r="A39" s="582" t="s">
        <v>632</v>
      </c>
      <c r="B39" s="628" t="s">
        <v>666</v>
      </c>
      <c r="C39" s="285" t="s">
        <v>657</v>
      </c>
      <c r="D39" s="633">
        <f t="shared" si="2"/>
        <v>21100</v>
      </c>
      <c r="E39" s="638">
        <v>6600</v>
      </c>
      <c r="F39" s="638">
        <v>7000</v>
      </c>
      <c r="G39" s="635">
        <v>7500</v>
      </c>
      <c r="H39" s="773" t="s">
        <v>245</v>
      </c>
    </row>
    <row r="40" spans="1:8" ht="60" customHeight="1" hidden="1">
      <c r="A40" s="582" t="s">
        <v>476</v>
      </c>
      <c r="B40" s="578" t="s">
        <v>609</v>
      </c>
      <c r="C40" s="285" t="s">
        <v>657</v>
      </c>
      <c r="D40" s="633">
        <f t="shared" si="2"/>
        <v>1499.9</v>
      </c>
      <c r="E40" s="634">
        <v>1499.9</v>
      </c>
      <c r="F40" s="638"/>
      <c r="G40" s="635"/>
      <c r="H40" s="774"/>
    </row>
    <row r="41" spans="1:8" ht="51" customHeight="1" hidden="1">
      <c r="A41" s="582" t="s">
        <v>629</v>
      </c>
      <c r="B41" s="579" t="s">
        <v>685</v>
      </c>
      <c r="C41" s="285" t="s">
        <v>657</v>
      </c>
      <c r="D41" s="633">
        <f t="shared" si="2"/>
        <v>2000</v>
      </c>
      <c r="E41" s="634">
        <v>2000</v>
      </c>
      <c r="F41" s="638"/>
      <c r="G41" s="635"/>
      <c r="H41" s="774"/>
    </row>
    <row r="42" spans="1:8" ht="60.75" customHeight="1" hidden="1">
      <c r="A42" s="582" t="s">
        <v>630</v>
      </c>
      <c r="B42" s="580" t="s">
        <v>756</v>
      </c>
      <c r="C42" s="285" t="s">
        <v>657</v>
      </c>
      <c r="D42" s="633">
        <f t="shared" si="2"/>
        <v>1800</v>
      </c>
      <c r="E42" s="634">
        <v>1800</v>
      </c>
      <c r="F42" s="638"/>
      <c r="G42" s="635"/>
      <c r="H42" s="774"/>
    </row>
    <row r="43" spans="1:8" ht="60.75" customHeight="1" hidden="1">
      <c r="A43" s="582" t="s">
        <v>631</v>
      </c>
      <c r="B43" s="580" t="s">
        <v>757</v>
      </c>
      <c r="C43" s="285" t="s">
        <v>657</v>
      </c>
      <c r="D43" s="633">
        <f t="shared" si="2"/>
        <v>600</v>
      </c>
      <c r="E43" s="634">
        <v>600</v>
      </c>
      <c r="F43" s="638"/>
      <c r="G43" s="635"/>
      <c r="H43" s="774"/>
    </row>
    <row r="44" spans="1:8" ht="51" customHeight="1" hidden="1">
      <c r="A44" s="582" t="s">
        <v>806</v>
      </c>
      <c r="B44" s="580" t="s">
        <v>758</v>
      </c>
      <c r="C44" s="285" t="s">
        <v>657</v>
      </c>
      <c r="D44" s="633">
        <f t="shared" si="2"/>
        <v>304.6</v>
      </c>
      <c r="E44" s="634">
        <v>304.6</v>
      </c>
      <c r="F44" s="638"/>
      <c r="G44" s="635"/>
      <c r="H44" s="774"/>
    </row>
    <row r="45" spans="1:8" ht="58.5" customHeight="1" hidden="1">
      <c r="A45" s="582" t="s">
        <v>807</v>
      </c>
      <c r="B45" s="580" t="s">
        <v>759</v>
      </c>
      <c r="C45" s="285" t="s">
        <v>657</v>
      </c>
      <c r="D45" s="633">
        <f t="shared" si="2"/>
        <v>388.7</v>
      </c>
      <c r="E45" s="634">
        <v>388.7</v>
      </c>
      <c r="F45" s="638"/>
      <c r="G45" s="635"/>
      <c r="H45" s="774"/>
    </row>
    <row r="46" spans="1:8" ht="51" customHeight="1" hidden="1">
      <c r="A46" s="582" t="s">
        <v>808</v>
      </c>
      <c r="B46" s="580" t="s">
        <v>760</v>
      </c>
      <c r="C46" s="285" t="s">
        <v>657</v>
      </c>
      <c r="D46" s="633">
        <f t="shared" si="2"/>
        <v>35</v>
      </c>
      <c r="E46" s="634">
        <v>35</v>
      </c>
      <c r="F46" s="638"/>
      <c r="G46" s="635"/>
      <c r="H46" s="774"/>
    </row>
    <row r="47" spans="1:8" ht="39" customHeight="1">
      <c r="A47" s="582" t="s">
        <v>634</v>
      </c>
      <c r="B47" s="629" t="s">
        <v>667</v>
      </c>
      <c r="C47" s="285" t="s">
        <v>657</v>
      </c>
      <c r="D47" s="633">
        <f t="shared" si="2"/>
        <v>96250</v>
      </c>
      <c r="E47" s="634">
        <v>30250</v>
      </c>
      <c r="F47" s="638">
        <v>32000</v>
      </c>
      <c r="G47" s="635">
        <v>34000</v>
      </c>
      <c r="H47" s="774"/>
    </row>
    <row r="48" spans="1:8" ht="114.75" customHeight="1" hidden="1">
      <c r="A48" s="582" t="s">
        <v>462</v>
      </c>
      <c r="B48" s="575" t="s">
        <v>611</v>
      </c>
      <c r="C48" s="285" t="s">
        <v>657</v>
      </c>
      <c r="D48" s="633">
        <f t="shared" si="2"/>
        <v>3500</v>
      </c>
      <c r="E48" s="634">
        <v>3500</v>
      </c>
      <c r="F48" s="638"/>
      <c r="G48" s="635"/>
      <c r="H48" s="774"/>
    </row>
    <row r="49" spans="1:8" ht="56.25" customHeight="1" hidden="1">
      <c r="A49" s="582" t="s">
        <v>502</v>
      </c>
      <c r="B49" s="573" t="s">
        <v>686</v>
      </c>
      <c r="C49" s="285" t="s">
        <v>657</v>
      </c>
      <c r="D49" s="633">
        <f t="shared" si="2"/>
        <v>21000</v>
      </c>
      <c r="E49" s="634">
        <v>21000</v>
      </c>
      <c r="F49" s="638"/>
      <c r="G49" s="635"/>
      <c r="H49" s="774"/>
    </row>
    <row r="50" spans="1:8" ht="57.75" customHeight="1" hidden="1">
      <c r="A50" s="582" t="s">
        <v>515</v>
      </c>
      <c r="B50" s="573" t="s">
        <v>687</v>
      </c>
      <c r="C50" s="285" t="s">
        <v>657</v>
      </c>
      <c r="D50" s="633">
        <f t="shared" si="2"/>
        <v>2000</v>
      </c>
      <c r="E50" s="634">
        <v>2000</v>
      </c>
      <c r="F50" s="638"/>
      <c r="G50" s="635"/>
      <c r="H50" s="774"/>
    </row>
    <row r="51" spans="1:8" ht="59.25" customHeight="1" hidden="1">
      <c r="A51" s="582" t="s">
        <v>801</v>
      </c>
      <c r="B51" s="573" t="s">
        <v>688</v>
      </c>
      <c r="C51" s="285" t="s">
        <v>657</v>
      </c>
      <c r="D51" s="633">
        <f t="shared" si="2"/>
        <v>1750</v>
      </c>
      <c r="E51" s="634">
        <v>1750</v>
      </c>
      <c r="F51" s="638"/>
      <c r="G51" s="635"/>
      <c r="H51" s="774"/>
    </row>
    <row r="52" spans="1:8" ht="58.5" customHeight="1" hidden="1">
      <c r="A52" s="582" t="s">
        <v>802</v>
      </c>
      <c r="B52" s="573" t="s">
        <v>689</v>
      </c>
      <c r="C52" s="285" t="s">
        <v>657</v>
      </c>
      <c r="D52" s="633">
        <f t="shared" si="2"/>
        <v>1750</v>
      </c>
      <c r="E52" s="634">
        <v>1750</v>
      </c>
      <c r="F52" s="638"/>
      <c r="G52" s="635"/>
      <c r="H52" s="774"/>
    </row>
    <row r="53" spans="1:8" ht="57" customHeight="1" hidden="1">
      <c r="A53" s="582" t="s">
        <v>803</v>
      </c>
      <c r="B53" s="573" t="s">
        <v>690</v>
      </c>
      <c r="C53" s="285" t="s">
        <v>657</v>
      </c>
      <c r="D53" s="633">
        <f t="shared" si="2"/>
        <v>250</v>
      </c>
      <c r="E53" s="634">
        <v>250</v>
      </c>
      <c r="F53" s="638"/>
      <c r="G53" s="635"/>
      <c r="H53" s="774"/>
    </row>
    <row r="54" spans="1:8" s="498" customFormat="1" ht="33" customHeight="1">
      <c r="A54" s="582" t="s">
        <v>636</v>
      </c>
      <c r="B54" s="575" t="s">
        <v>696</v>
      </c>
      <c r="C54" s="285" t="s">
        <v>657</v>
      </c>
      <c r="D54" s="633">
        <f t="shared" si="2"/>
        <v>650</v>
      </c>
      <c r="E54" s="638">
        <v>650</v>
      </c>
      <c r="F54" s="638">
        <f>F55</f>
        <v>0</v>
      </c>
      <c r="G54" s="638">
        <f>G55</f>
        <v>0</v>
      </c>
      <c r="H54" s="775"/>
    </row>
    <row r="55" spans="1:8" ht="56.25" customHeight="1" hidden="1">
      <c r="A55" s="582" t="s">
        <v>469</v>
      </c>
      <c r="B55" s="575" t="s">
        <v>697</v>
      </c>
      <c r="C55" s="285" t="s">
        <v>657</v>
      </c>
      <c r="D55" s="633">
        <f t="shared" si="2"/>
        <v>650</v>
      </c>
      <c r="E55" s="634">
        <v>650</v>
      </c>
      <c r="F55" s="638"/>
      <c r="G55" s="635"/>
      <c r="H55" s="268" t="s">
        <v>245</v>
      </c>
    </row>
    <row r="56" spans="1:8" s="497" customFormat="1" ht="42.75" customHeight="1">
      <c r="A56" s="583"/>
      <c r="B56" s="577" t="s">
        <v>668</v>
      </c>
      <c r="C56" s="571"/>
      <c r="D56" s="631">
        <f t="shared" si="2"/>
        <v>19000</v>
      </c>
      <c r="E56" s="632">
        <f>E57+E59</f>
        <v>14000</v>
      </c>
      <c r="F56" s="632">
        <f>F59</f>
        <v>5000</v>
      </c>
      <c r="G56" s="632">
        <f>G57+G59</f>
        <v>0</v>
      </c>
      <c r="H56" s="568"/>
    </row>
    <row r="57" spans="1:8" ht="33" customHeight="1">
      <c r="A57" s="582" t="s">
        <v>647</v>
      </c>
      <c r="B57" s="575" t="s">
        <v>694</v>
      </c>
      <c r="C57" s="285"/>
      <c r="D57" s="633">
        <f t="shared" si="2"/>
        <v>4000</v>
      </c>
      <c r="E57" s="638">
        <v>4000</v>
      </c>
      <c r="F57" s="638"/>
      <c r="G57" s="635"/>
      <c r="H57" s="773" t="s">
        <v>245</v>
      </c>
    </row>
    <row r="58" spans="1:8" s="256" customFormat="1" ht="60" customHeight="1" hidden="1">
      <c r="A58" s="584" t="s">
        <v>520</v>
      </c>
      <c r="B58" s="580" t="s">
        <v>691</v>
      </c>
      <c r="C58" s="285" t="s">
        <v>657</v>
      </c>
      <c r="D58" s="637">
        <f t="shared" si="2"/>
        <v>0</v>
      </c>
      <c r="E58" s="634"/>
      <c r="F58" s="634"/>
      <c r="G58" s="634"/>
      <c r="H58" s="774"/>
    </row>
    <row r="59" spans="1:8" ht="30.75" customHeight="1">
      <c r="A59" s="582" t="s">
        <v>884</v>
      </c>
      <c r="B59" s="575" t="s">
        <v>883</v>
      </c>
      <c r="C59" s="285"/>
      <c r="D59" s="633">
        <f t="shared" si="2"/>
        <v>15000</v>
      </c>
      <c r="E59" s="634">
        <v>10000</v>
      </c>
      <c r="F59" s="634">
        <v>5000</v>
      </c>
      <c r="G59" s="638"/>
      <c r="H59" s="775"/>
    </row>
    <row r="60" spans="1:8" ht="58.5" customHeight="1" hidden="1">
      <c r="A60" s="582" t="s">
        <v>521</v>
      </c>
      <c r="B60" s="575" t="s">
        <v>692</v>
      </c>
      <c r="C60" s="285" t="s">
        <v>657</v>
      </c>
      <c r="D60" s="633">
        <f t="shared" si="2"/>
        <v>9880.2</v>
      </c>
      <c r="E60" s="634">
        <v>9880.2</v>
      </c>
      <c r="F60" s="634"/>
      <c r="G60" s="635"/>
      <c r="H60" s="268" t="s">
        <v>245</v>
      </c>
    </row>
    <row r="61" spans="1:8" ht="54.75" customHeight="1" hidden="1">
      <c r="A61" s="582" t="s">
        <v>522</v>
      </c>
      <c r="B61" s="575" t="s">
        <v>693</v>
      </c>
      <c r="C61" s="285" t="s">
        <v>657</v>
      </c>
      <c r="D61" s="633">
        <f t="shared" si="2"/>
        <v>5250</v>
      </c>
      <c r="E61" s="634">
        <v>250</v>
      </c>
      <c r="F61" s="634">
        <v>5000</v>
      </c>
      <c r="G61" s="635"/>
      <c r="H61" s="268" t="s">
        <v>245</v>
      </c>
    </row>
    <row r="62" spans="1:8" ht="18.75">
      <c r="A62" s="560"/>
      <c r="B62" s="70" t="s">
        <v>5</v>
      </c>
      <c r="C62" s="70"/>
      <c r="D62" s="639">
        <f>E62+F62+G62</f>
        <v>245197.59999999998</v>
      </c>
      <c r="E62" s="639">
        <f>E56+E38+E15</f>
        <v>92350</v>
      </c>
      <c r="F62" s="639">
        <f>F56+F38+F15</f>
        <v>76733.8</v>
      </c>
      <c r="G62" s="639">
        <f>G56+G38+G15</f>
        <v>76113.8</v>
      </c>
      <c r="H62" s="112"/>
    </row>
    <row r="63" spans="2:8" ht="16.5">
      <c r="B63" s="18"/>
      <c r="C63" s="18"/>
      <c r="D63" s="89"/>
      <c r="E63" s="19"/>
      <c r="F63" s="19"/>
      <c r="G63" s="19"/>
      <c r="H63" s="381"/>
    </row>
    <row r="64" spans="2:8" ht="5.25" customHeight="1">
      <c r="B64" s="51"/>
      <c r="C64" s="52"/>
      <c r="D64" s="14"/>
      <c r="E64" s="19"/>
      <c r="F64" s="19"/>
      <c r="G64" s="19"/>
      <c r="H64" s="382"/>
    </row>
    <row r="65" spans="2:8" s="388" customFormat="1" ht="18.75">
      <c r="B65" s="352" t="s">
        <v>523</v>
      </c>
      <c r="C65" s="352"/>
      <c r="D65" s="352"/>
      <c r="E65" s="22"/>
      <c r="F65" s="22"/>
      <c r="G65" s="23"/>
      <c r="H65" s="23" t="s">
        <v>30</v>
      </c>
    </row>
    <row r="66" spans="2:8" ht="10.5" customHeight="1">
      <c r="B66" s="21"/>
      <c r="C66" s="21"/>
      <c r="D66" s="21"/>
      <c r="E66" s="22"/>
      <c r="F66" s="22"/>
      <c r="G66" s="23"/>
      <c r="H66" s="24"/>
    </row>
    <row r="67" spans="2:8" ht="18.75">
      <c r="B67" s="777" t="s">
        <v>558</v>
      </c>
      <c r="C67" s="777"/>
      <c r="D67" s="25"/>
      <c r="E67" s="26"/>
      <c r="F67" s="26"/>
      <c r="G67" s="15"/>
      <c r="H67" s="15"/>
    </row>
    <row r="68" spans="2:8" ht="15.75">
      <c r="B68" s="17"/>
      <c r="C68" s="17"/>
      <c r="D68" s="26"/>
      <c r="E68" s="26"/>
      <c r="F68" s="26"/>
      <c r="G68" s="15"/>
      <c r="H68" s="15"/>
    </row>
    <row r="69" spans="2:8" ht="15.75">
      <c r="B69" s="28"/>
      <c r="C69" s="29"/>
      <c r="D69" s="30"/>
      <c r="E69" s="26"/>
      <c r="F69" s="26"/>
      <c r="G69" s="15"/>
      <c r="H69" s="15"/>
    </row>
    <row r="70" spans="2:8" ht="15.75">
      <c r="B70" s="14"/>
      <c r="C70" s="30"/>
      <c r="D70" s="26"/>
      <c r="E70" s="26"/>
      <c r="F70" s="26"/>
      <c r="G70" s="26"/>
      <c r="H70" s="14"/>
    </row>
    <row r="71" spans="2:8" ht="15.75">
      <c r="B71" s="14"/>
      <c r="C71" s="31"/>
      <c r="D71" s="26"/>
      <c r="E71" s="26"/>
      <c r="F71" s="26"/>
      <c r="G71" s="26"/>
      <c r="H71" s="14"/>
    </row>
    <row r="72" spans="2:8" ht="12.75">
      <c r="B72" s="14"/>
      <c r="C72" s="14"/>
      <c r="D72" s="14"/>
      <c r="E72" s="14"/>
      <c r="F72" s="14"/>
      <c r="G72" s="14"/>
      <c r="H72" s="14"/>
    </row>
  </sheetData>
  <sheetProtection/>
  <mergeCells count="17">
    <mergeCell ref="B12:B14"/>
    <mergeCell ref="C12:C14"/>
    <mergeCell ref="G13:G14"/>
    <mergeCell ref="D12:D14"/>
    <mergeCell ref="E12:G12"/>
    <mergeCell ref="H12:H14"/>
    <mergeCell ref="E13:E14"/>
    <mergeCell ref="G8:H8"/>
    <mergeCell ref="G7:L7"/>
    <mergeCell ref="F13:F14"/>
    <mergeCell ref="A12:A14"/>
    <mergeCell ref="B67:C67"/>
    <mergeCell ref="H39:H54"/>
    <mergeCell ref="H57:H59"/>
    <mergeCell ref="H16:H37"/>
    <mergeCell ref="B10:H10"/>
    <mergeCell ref="D11:F11"/>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6" r:id="rId1"/>
</worksheet>
</file>

<file path=xl/worksheets/sheet37.xml><?xml version="1.0" encoding="utf-8"?>
<worksheet xmlns="http://schemas.openxmlformats.org/spreadsheetml/2006/main" xmlns:r="http://schemas.openxmlformats.org/officeDocument/2006/relationships">
  <sheetPr>
    <tabColor theme="6" tint="0.5999900102615356"/>
    <pageSetUpPr fitToPage="1"/>
  </sheetPr>
  <dimension ref="A1:O32"/>
  <sheetViews>
    <sheetView tabSelected="1" view="pageBreakPreview" zoomScaleSheetLayoutView="100" zoomScalePageLayoutView="0" workbookViewId="0" topLeftCell="A1">
      <selection activeCell="A1" sqref="A1:O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19</v>
      </c>
      <c r="J1" s="878" t="s">
        <v>459</v>
      </c>
      <c r="K1" s="878"/>
    </row>
    <row r="2" spans="2:15" ht="15.75">
      <c r="B2" s="1"/>
      <c r="C2" s="1"/>
      <c r="D2" s="1"/>
      <c r="E2" s="1"/>
      <c r="F2" s="1"/>
      <c r="G2" s="1"/>
      <c r="H2" s="1"/>
      <c r="I2" s="3" t="s">
        <v>11</v>
      </c>
      <c r="J2" s="12" t="s">
        <v>11</v>
      </c>
      <c r="K2" s="12"/>
      <c r="L2" s="15"/>
      <c r="M2" s="12"/>
      <c r="N2" s="12"/>
      <c r="O2" s="12"/>
    </row>
    <row r="3" spans="2:15" ht="15.75">
      <c r="B3" s="1"/>
      <c r="C3" s="1"/>
      <c r="D3" s="1"/>
      <c r="E3" s="1"/>
      <c r="F3" s="1"/>
      <c r="G3" s="1"/>
      <c r="H3" s="1"/>
      <c r="I3" s="3"/>
      <c r="J3" s="12" t="s">
        <v>566</v>
      </c>
      <c r="K3" s="12"/>
      <c r="L3" s="15"/>
      <c r="M3" s="12"/>
      <c r="N3" s="12"/>
      <c r="O3" s="12"/>
    </row>
    <row r="4" spans="2:15" ht="15.75">
      <c r="B4" s="1"/>
      <c r="C4" s="1"/>
      <c r="D4" s="1"/>
      <c r="E4" s="1"/>
      <c r="F4" s="1"/>
      <c r="G4" s="1"/>
      <c r="H4" s="1"/>
      <c r="I4" s="3" t="s">
        <v>21</v>
      </c>
      <c r="J4" s="17" t="s">
        <v>567</v>
      </c>
      <c r="K4" s="17"/>
      <c r="L4" s="15"/>
      <c r="M4" s="12"/>
      <c r="N4" s="12"/>
      <c r="O4" s="12"/>
    </row>
    <row r="5" spans="2:15" ht="15.75">
      <c r="B5" s="1"/>
      <c r="C5" s="1"/>
      <c r="D5" s="1"/>
      <c r="E5" s="1"/>
      <c r="F5" s="1"/>
      <c r="G5" s="1"/>
      <c r="H5" s="1"/>
      <c r="I5" s="3" t="s">
        <v>23</v>
      </c>
      <c r="J5" s="17" t="s">
        <v>907</v>
      </c>
      <c r="K5" s="17"/>
      <c r="L5" s="15"/>
      <c r="M5" s="12"/>
      <c r="N5" s="12"/>
      <c r="O5" s="12"/>
    </row>
    <row r="6" spans="2:15" ht="15.75">
      <c r="B6" s="1"/>
      <c r="C6" s="1"/>
      <c r="D6" s="1"/>
      <c r="E6" s="1"/>
      <c r="F6" s="1"/>
      <c r="G6" s="1"/>
      <c r="H6" s="9"/>
      <c r="I6" s="3" t="s">
        <v>24</v>
      </c>
      <c r="J6" s="17" t="s">
        <v>927</v>
      </c>
      <c r="K6" s="17"/>
      <c r="L6" s="327"/>
      <c r="M6" s="12"/>
      <c r="N6" s="12"/>
      <c r="O6" s="12"/>
    </row>
    <row r="7" spans="2:15" ht="15.75">
      <c r="B7" s="1"/>
      <c r="C7" s="1"/>
      <c r="D7" s="1"/>
      <c r="E7" s="1"/>
      <c r="F7" s="1"/>
      <c r="G7" s="1"/>
      <c r="H7" s="9"/>
      <c r="I7" s="3"/>
      <c r="J7" s="17" t="s">
        <v>928</v>
      </c>
      <c r="K7" s="17"/>
      <c r="L7" s="327"/>
      <c r="M7" s="12"/>
      <c r="N7" s="12"/>
      <c r="O7" s="12"/>
    </row>
    <row r="8" spans="2:15" ht="15.75" customHeight="1">
      <c r="B8" s="1"/>
      <c r="C8" s="1"/>
      <c r="D8" s="1"/>
      <c r="E8" s="1"/>
      <c r="F8" s="1"/>
      <c r="G8" s="1"/>
      <c r="H8" s="9"/>
      <c r="I8" s="3"/>
      <c r="J8" s="768" t="s">
        <v>920</v>
      </c>
      <c r="K8" s="768"/>
      <c r="L8" s="768"/>
      <c r="M8" s="768"/>
      <c r="N8" s="768"/>
      <c r="O8" s="768"/>
    </row>
    <row r="9" spans="2:15" ht="15.75">
      <c r="B9" s="1"/>
      <c r="C9" s="1"/>
      <c r="D9" s="1"/>
      <c r="E9" s="1"/>
      <c r="F9" s="1"/>
      <c r="G9" s="1"/>
      <c r="H9" s="9"/>
      <c r="I9" s="3"/>
      <c r="J9" s="768" t="s">
        <v>941</v>
      </c>
      <c r="K9" s="768"/>
      <c r="L9" s="730"/>
      <c r="M9" s="730"/>
      <c r="N9" s="730"/>
      <c r="O9" s="730"/>
    </row>
    <row r="10" spans="2:9" ht="15.75" customHeight="1">
      <c r="B10" s="1"/>
      <c r="C10" s="1"/>
      <c r="D10" s="1"/>
      <c r="E10" s="1"/>
      <c r="F10" s="1"/>
      <c r="G10" s="1"/>
      <c r="H10" s="9"/>
      <c r="I10" s="3" t="s">
        <v>25</v>
      </c>
    </row>
    <row r="11" spans="2:11" ht="15.75">
      <c r="B11" s="1"/>
      <c r="C11" s="1"/>
      <c r="D11" s="1"/>
      <c r="E11" s="1"/>
      <c r="F11" s="1"/>
      <c r="G11" s="1"/>
      <c r="H11" s="1"/>
      <c r="I11" s="1"/>
      <c r="J11" s="1"/>
      <c r="K11" s="1"/>
    </row>
    <row r="12" spans="2:11" ht="18.75">
      <c r="B12" s="815" t="s">
        <v>656</v>
      </c>
      <c r="C12" s="815"/>
      <c r="D12" s="815"/>
      <c r="E12" s="815"/>
      <c r="F12" s="815"/>
      <c r="G12" s="815"/>
      <c r="H12" s="815"/>
      <c r="I12" s="815"/>
      <c r="J12" s="815"/>
      <c r="K12" s="815"/>
    </row>
    <row r="13" spans="2:11" ht="15.75">
      <c r="B13" s="1"/>
      <c r="C13" s="1"/>
      <c r="D13" s="857"/>
      <c r="E13" s="857"/>
      <c r="F13" s="857"/>
      <c r="G13" s="857"/>
      <c r="H13" s="857"/>
      <c r="I13" s="1"/>
      <c r="J13" s="1"/>
      <c r="K13" s="45" t="s">
        <v>426</v>
      </c>
    </row>
    <row r="14" spans="1:11" ht="18.75">
      <c r="A14" s="797" t="s">
        <v>6</v>
      </c>
      <c r="B14" s="805" t="s">
        <v>12</v>
      </c>
      <c r="C14" s="805" t="s">
        <v>13</v>
      </c>
      <c r="D14" s="805" t="s">
        <v>437</v>
      </c>
      <c r="E14" s="855" t="s">
        <v>9</v>
      </c>
      <c r="F14" s="855"/>
      <c r="G14" s="855"/>
      <c r="H14" s="855"/>
      <c r="I14" s="855"/>
      <c r="J14" s="856"/>
      <c r="K14" s="816" t="s">
        <v>15</v>
      </c>
    </row>
    <row r="15" spans="1:11" ht="17.25" customHeight="1">
      <c r="A15" s="804"/>
      <c r="B15" s="854"/>
      <c r="C15" s="854"/>
      <c r="D15" s="854"/>
      <c r="E15" s="805">
        <v>2021</v>
      </c>
      <c r="F15" s="805">
        <v>2022</v>
      </c>
      <c r="G15" s="805" t="s">
        <v>27</v>
      </c>
      <c r="H15" s="805" t="s">
        <v>28</v>
      </c>
      <c r="I15" s="805" t="s">
        <v>29</v>
      </c>
      <c r="J15" s="816">
        <v>2023</v>
      </c>
      <c r="K15" s="816"/>
    </row>
    <row r="16" spans="1:11" ht="12.75">
      <c r="A16" s="798"/>
      <c r="B16" s="806"/>
      <c r="C16" s="806"/>
      <c r="D16" s="806"/>
      <c r="E16" s="806"/>
      <c r="F16" s="806"/>
      <c r="G16" s="806"/>
      <c r="H16" s="806"/>
      <c r="I16" s="806"/>
      <c r="J16" s="816"/>
      <c r="K16" s="816"/>
    </row>
    <row r="17" spans="1:11" ht="75.75" customHeight="1">
      <c r="A17" s="450">
        <v>1</v>
      </c>
      <c r="B17" s="539" t="s">
        <v>134</v>
      </c>
      <c r="C17" s="46" t="s">
        <v>657</v>
      </c>
      <c r="D17" s="144">
        <f>E17+F17+J17</f>
        <v>-2054.09</v>
      </c>
      <c r="E17" s="78">
        <v>-2054.09</v>
      </c>
      <c r="F17" s="78">
        <f>-2054.09+2054.09</f>
        <v>0</v>
      </c>
      <c r="G17" s="78"/>
      <c r="H17" s="78"/>
      <c r="I17" s="78"/>
      <c r="J17" s="78">
        <v>0</v>
      </c>
      <c r="K17" s="450" t="s">
        <v>816</v>
      </c>
    </row>
    <row r="18" spans="1:11" ht="48" customHeight="1">
      <c r="A18" s="450">
        <v>2</v>
      </c>
      <c r="B18" s="539" t="s">
        <v>134</v>
      </c>
      <c r="C18" s="46" t="s">
        <v>658</v>
      </c>
      <c r="D18" s="144">
        <f>E18+F18+J18</f>
        <v>-740</v>
      </c>
      <c r="E18" s="78">
        <v>-740</v>
      </c>
      <c r="F18" s="78">
        <f>-740+740</f>
        <v>0</v>
      </c>
      <c r="G18" s="78"/>
      <c r="H18" s="78"/>
      <c r="I18" s="78"/>
      <c r="J18" s="78">
        <v>0</v>
      </c>
      <c r="K18" s="450" t="s">
        <v>804</v>
      </c>
    </row>
    <row r="19" spans="1:11" ht="18.75">
      <c r="A19" s="145"/>
      <c r="B19" s="56" t="s">
        <v>5</v>
      </c>
      <c r="C19" s="57"/>
      <c r="D19" s="79">
        <f>D17+D18</f>
        <v>-2794.09</v>
      </c>
      <c r="E19" s="79">
        <f aca="true" t="shared" si="0" ref="E19:J19">E17+E18</f>
        <v>-2794.09</v>
      </c>
      <c r="F19" s="79">
        <f t="shared" si="0"/>
        <v>0</v>
      </c>
      <c r="G19" s="79">
        <f t="shared" si="0"/>
        <v>0</v>
      </c>
      <c r="H19" s="79">
        <f t="shared" si="0"/>
        <v>0</v>
      </c>
      <c r="I19" s="79">
        <f t="shared" si="0"/>
        <v>0</v>
      </c>
      <c r="J19" s="79">
        <f t="shared" si="0"/>
        <v>0</v>
      </c>
      <c r="K19" s="80"/>
    </row>
    <row r="20" spans="2:11" ht="18.75">
      <c r="B20" s="146"/>
      <c r="C20" s="4"/>
      <c r="D20" s="6"/>
      <c r="E20" s="6"/>
      <c r="F20" s="6"/>
      <c r="G20" s="6"/>
      <c r="H20" s="6"/>
      <c r="I20" s="6"/>
      <c r="J20" s="6"/>
      <c r="K20" s="41"/>
    </row>
    <row r="21" spans="2:11" ht="3" customHeight="1">
      <c r="B21" s="4"/>
      <c r="C21" s="4"/>
      <c r="D21" s="6"/>
      <c r="E21" s="6"/>
      <c r="F21" s="6"/>
      <c r="G21" s="6"/>
      <c r="H21" s="6"/>
      <c r="I21" s="6"/>
      <c r="J21" s="6"/>
      <c r="K21" s="41"/>
    </row>
    <row r="22" spans="2:11" ht="15.75" hidden="1">
      <c r="B22" s="4"/>
      <c r="C22" s="4"/>
      <c r="D22" s="6"/>
      <c r="E22" s="6"/>
      <c r="F22" s="6"/>
      <c r="G22" s="6"/>
      <c r="H22" s="6"/>
      <c r="I22" s="6"/>
      <c r="J22" s="6"/>
      <c r="K22" s="41"/>
    </row>
    <row r="23" spans="2:11" ht="18.75">
      <c r="B23" s="147"/>
      <c r="C23" s="148"/>
      <c r="E23" s="6"/>
      <c r="F23" s="6"/>
      <c r="G23" s="6"/>
      <c r="H23" s="6"/>
      <c r="I23" s="6"/>
      <c r="J23" s="6"/>
      <c r="K23" s="148"/>
    </row>
    <row r="24" spans="1:11" ht="18.75">
      <c r="A24" s="149"/>
      <c r="B24" s="383" t="s">
        <v>18</v>
      </c>
      <c r="C24" s="383"/>
      <c r="D24" s="149"/>
      <c r="E24" s="383"/>
      <c r="F24" s="936" t="s">
        <v>30</v>
      </c>
      <c r="G24" s="936"/>
      <c r="H24" s="936"/>
      <c r="I24" s="936"/>
      <c r="J24" s="936"/>
      <c r="K24" s="152"/>
    </row>
    <row r="25" spans="1:11" ht="30.75" customHeight="1">
      <c r="A25" s="149"/>
      <c r="B25" s="383"/>
      <c r="C25" s="383"/>
      <c r="D25" s="149"/>
      <c r="E25" s="383"/>
      <c r="F25" s="201"/>
      <c r="G25" s="201"/>
      <c r="H25" s="201"/>
      <c r="I25" s="201"/>
      <c r="J25" s="201"/>
      <c r="K25" s="152"/>
    </row>
    <row r="26" spans="1:11" ht="18.75">
      <c r="A26" s="149"/>
      <c r="B26" s="153" t="s">
        <v>558</v>
      </c>
      <c r="C26" s="153"/>
      <c r="D26" s="149"/>
      <c r="E26" s="154"/>
      <c r="F26" s="155"/>
      <c r="G26" s="155"/>
      <c r="H26" s="155"/>
      <c r="I26" s="155"/>
      <c r="J26" s="155"/>
      <c r="K26" s="156"/>
    </row>
    <row r="27" spans="1:11" ht="30.75" customHeight="1">
      <c r="A27" s="149"/>
      <c r="B27" s="157"/>
      <c r="C27" s="149"/>
      <c r="D27" s="157"/>
      <c r="E27" s="155"/>
      <c r="F27" s="155"/>
      <c r="G27" s="155"/>
      <c r="H27" s="155"/>
      <c r="I27" s="155"/>
      <c r="J27" s="155"/>
      <c r="K27" s="156"/>
    </row>
    <row r="28" spans="2:11" ht="15.75">
      <c r="B28" s="42"/>
      <c r="C28" s="10"/>
      <c r="D28" s="43"/>
      <c r="E28" s="7"/>
      <c r="F28" s="7"/>
      <c r="G28" s="7"/>
      <c r="H28" s="7"/>
      <c r="I28" s="7"/>
      <c r="J28" s="1"/>
      <c r="K28" s="1"/>
    </row>
    <row r="29" spans="3:10" ht="15.75">
      <c r="C29" s="43"/>
      <c r="D29" s="7"/>
      <c r="E29" s="7"/>
      <c r="F29" s="7"/>
      <c r="G29" s="7"/>
      <c r="H29" s="7"/>
      <c r="I29" s="7"/>
      <c r="J29" s="7"/>
    </row>
    <row r="30" spans="3:10" ht="15.75">
      <c r="C30" s="44"/>
      <c r="D30" s="7"/>
      <c r="E30" s="7"/>
      <c r="F30" s="7"/>
      <c r="G30" s="7"/>
      <c r="H30" s="7"/>
      <c r="I30" s="7"/>
      <c r="J30" s="7"/>
    </row>
    <row r="32" ht="12.75">
      <c r="H32" s="5"/>
    </row>
  </sheetData>
  <sheetProtection/>
  <mergeCells count="18">
    <mergeCell ref="J1:K1"/>
    <mergeCell ref="B12:K12"/>
    <mergeCell ref="D13:H13"/>
    <mergeCell ref="A14:A16"/>
    <mergeCell ref="B14:B16"/>
    <mergeCell ref="C14:C16"/>
    <mergeCell ref="D14:D16"/>
    <mergeCell ref="E14:J14"/>
    <mergeCell ref="J8:O8"/>
    <mergeCell ref="J9:K9"/>
    <mergeCell ref="F24:J24"/>
    <mergeCell ref="K14:K16"/>
    <mergeCell ref="E15:E16"/>
    <mergeCell ref="F15:F16"/>
    <mergeCell ref="G15:G16"/>
    <mergeCell ref="H15:H16"/>
    <mergeCell ref="I15:I16"/>
    <mergeCell ref="J15:J16"/>
  </mergeCells>
  <printOptions horizontalCentered="1"/>
  <pageMargins left="0" right="0" top="1.1811023622047245" bottom="0" header="0" footer="0"/>
  <pageSetup fitToHeight="1" fitToWidth="1" horizontalDpi="600" verticalDpi="600" orientation="landscape" paperSize="9" scale="81" r:id="rId1"/>
</worksheet>
</file>

<file path=xl/worksheets/sheet38.xml><?xml version="1.0" encoding="utf-8"?>
<worksheet xmlns="http://schemas.openxmlformats.org/spreadsheetml/2006/main" xmlns:r="http://schemas.openxmlformats.org/officeDocument/2006/relationships">
  <sheetPr>
    <tabColor rgb="FFFFFF00"/>
    <pageSetUpPr fitToPage="1"/>
  </sheetPr>
  <dimension ref="A1:K31"/>
  <sheetViews>
    <sheetView view="pageBreakPreview" zoomScaleSheetLayoutView="100" zoomScalePageLayoutView="0" workbookViewId="0" topLeftCell="A1">
      <selection activeCell="E16" sqref="E1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841" t="s">
        <v>458</v>
      </c>
      <c r="K1" s="841"/>
    </row>
    <row r="2" spans="2:11" ht="18.75">
      <c r="B2" s="1"/>
      <c r="C2" s="1"/>
      <c r="D2" s="1"/>
      <c r="E2" s="1"/>
      <c r="F2" s="1"/>
      <c r="G2" s="1"/>
      <c r="H2" s="1"/>
      <c r="I2" s="3" t="s">
        <v>11</v>
      </c>
      <c r="J2" s="939" t="s">
        <v>11</v>
      </c>
      <c r="K2" s="939"/>
    </row>
    <row r="3" spans="2:11" ht="18.75">
      <c r="B3" s="1"/>
      <c r="C3" s="1"/>
      <c r="D3" s="1"/>
      <c r="E3" s="1"/>
      <c r="F3" s="1"/>
      <c r="G3" s="1"/>
      <c r="H3" s="1"/>
      <c r="I3" s="3"/>
      <c r="J3" s="55" t="s">
        <v>695</v>
      </c>
      <c r="K3" s="55"/>
    </row>
    <row r="4" spans="2:11" ht="18.75">
      <c r="B4" s="1"/>
      <c r="C4" s="1"/>
      <c r="D4" s="1"/>
      <c r="E4" s="1"/>
      <c r="F4" s="1"/>
      <c r="G4" s="1"/>
      <c r="H4" s="1"/>
      <c r="I4" s="3" t="s">
        <v>21</v>
      </c>
      <c r="J4" s="55" t="s">
        <v>575</v>
      </c>
      <c r="K4" s="55"/>
    </row>
    <row r="5" spans="2:11" ht="18.75">
      <c r="B5" s="1"/>
      <c r="C5" s="1"/>
      <c r="D5" s="1"/>
      <c r="E5" s="1"/>
      <c r="F5" s="1"/>
      <c r="G5" s="1"/>
      <c r="H5" s="1"/>
      <c r="I5" s="3" t="s">
        <v>23</v>
      </c>
      <c r="J5" s="55" t="s">
        <v>576</v>
      </c>
      <c r="K5" s="55"/>
    </row>
    <row r="6" spans="2:11" ht="18.75">
      <c r="B6" s="1"/>
      <c r="C6" s="1"/>
      <c r="D6" s="1"/>
      <c r="E6" s="1"/>
      <c r="F6" s="1"/>
      <c r="G6" s="1"/>
      <c r="H6" s="9"/>
      <c r="I6" s="3" t="s">
        <v>24</v>
      </c>
      <c r="J6" s="55" t="s">
        <v>654</v>
      </c>
      <c r="K6" s="55"/>
    </row>
    <row r="7" spans="2:11" ht="18.75">
      <c r="B7" s="1"/>
      <c r="C7" s="1"/>
      <c r="D7" s="1"/>
      <c r="E7" s="1"/>
      <c r="F7" s="1"/>
      <c r="G7" s="1"/>
      <c r="H7" s="9"/>
      <c r="I7" s="3"/>
      <c r="J7" s="496" t="s">
        <v>564</v>
      </c>
      <c r="K7" s="496"/>
    </row>
    <row r="8" spans="2:11" ht="18.75">
      <c r="B8" s="1"/>
      <c r="C8" s="1"/>
      <c r="D8" s="1"/>
      <c r="E8" s="1"/>
      <c r="F8" s="1"/>
      <c r="G8" s="1"/>
      <c r="H8" s="9"/>
      <c r="I8" s="3"/>
      <c r="J8" s="496" t="s">
        <v>565</v>
      </c>
      <c r="K8" s="496"/>
    </row>
    <row r="9" spans="2:11" ht="15.75" customHeight="1">
      <c r="B9" s="1"/>
      <c r="C9" s="1"/>
      <c r="D9" s="1"/>
      <c r="E9" s="1"/>
      <c r="F9" s="1"/>
      <c r="G9" s="1"/>
      <c r="H9" s="9"/>
      <c r="I9" s="3" t="s">
        <v>25</v>
      </c>
      <c r="J9" s="940" t="s">
        <v>653</v>
      </c>
      <c r="K9" s="941"/>
    </row>
    <row r="10" spans="2:11" ht="15.75">
      <c r="B10" s="1"/>
      <c r="C10" s="1"/>
      <c r="D10" s="1"/>
      <c r="E10" s="1"/>
      <c r="F10" s="1"/>
      <c r="G10" s="1"/>
      <c r="H10" s="1"/>
      <c r="I10" s="1"/>
      <c r="J10" s="1"/>
      <c r="K10" s="1"/>
    </row>
    <row r="11" spans="2:11" ht="18.75">
      <c r="B11" s="815" t="s">
        <v>445</v>
      </c>
      <c r="C11" s="815"/>
      <c r="D11" s="815"/>
      <c r="E11" s="815"/>
      <c r="F11" s="815"/>
      <c r="G11" s="815"/>
      <c r="H11" s="815"/>
      <c r="I11" s="815"/>
      <c r="J11" s="815"/>
      <c r="K11" s="815"/>
    </row>
    <row r="12" spans="2:11" ht="15.75">
      <c r="B12" s="1"/>
      <c r="C12" s="1"/>
      <c r="D12" s="857"/>
      <c r="E12" s="857"/>
      <c r="F12" s="857"/>
      <c r="G12" s="857"/>
      <c r="H12" s="857"/>
      <c r="I12" s="1"/>
      <c r="J12" s="1"/>
      <c r="K12" s="45" t="s">
        <v>426</v>
      </c>
    </row>
    <row r="13" spans="1:11" ht="18.75">
      <c r="A13" s="797" t="s">
        <v>6</v>
      </c>
      <c r="B13" s="805" t="s">
        <v>12</v>
      </c>
      <c r="C13" s="805" t="s">
        <v>13</v>
      </c>
      <c r="D13" s="805" t="s">
        <v>437</v>
      </c>
      <c r="E13" s="855" t="s">
        <v>9</v>
      </c>
      <c r="F13" s="855"/>
      <c r="G13" s="855"/>
      <c r="H13" s="855"/>
      <c r="I13" s="855"/>
      <c r="J13" s="856"/>
      <c r="K13" s="816" t="s">
        <v>15</v>
      </c>
    </row>
    <row r="14" spans="1:11" ht="17.25" customHeight="1">
      <c r="A14" s="804"/>
      <c r="B14" s="854"/>
      <c r="C14" s="854"/>
      <c r="D14" s="854"/>
      <c r="E14" s="805">
        <v>2018</v>
      </c>
      <c r="F14" s="805">
        <v>2019</v>
      </c>
      <c r="G14" s="805" t="s">
        <v>27</v>
      </c>
      <c r="H14" s="805" t="s">
        <v>28</v>
      </c>
      <c r="I14" s="805" t="s">
        <v>29</v>
      </c>
      <c r="J14" s="816">
        <v>2020</v>
      </c>
      <c r="K14" s="816"/>
    </row>
    <row r="15" spans="1:11" ht="12.75">
      <c r="A15" s="798"/>
      <c r="B15" s="806"/>
      <c r="C15" s="806"/>
      <c r="D15" s="806"/>
      <c r="E15" s="806"/>
      <c r="F15" s="806"/>
      <c r="G15" s="806"/>
      <c r="H15" s="806"/>
      <c r="I15" s="806"/>
      <c r="J15" s="816"/>
      <c r="K15" s="816"/>
    </row>
    <row r="16" spans="1:11" ht="28.5" customHeight="1">
      <c r="A16" s="797">
        <v>1</v>
      </c>
      <c r="B16" s="797" t="s">
        <v>241</v>
      </c>
      <c r="C16" s="46" t="s">
        <v>16</v>
      </c>
      <c r="D16" s="144">
        <f>E16+F16+J16</f>
        <v>74070.2</v>
      </c>
      <c r="E16" s="78">
        <v>74070.2</v>
      </c>
      <c r="F16" s="78">
        <v>0</v>
      </c>
      <c r="G16" s="78"/>
      <c r="H16" s="78"/>
      <c r="I16" s="78"/>
      <c r="J16" s="78">
        <v>0</v>
      </c>
      <c r="K16" s="937" t="s">
        <v>242</v>
      </c>
    </row>
    <row r="17" spans="1:11" ht="18.75">
      <c r="A17" s="798"/>
      <c r="B17" s="798"/>
      <c r="C17" s="442" t="s">
        <v>539</v>
      </c>
      <c r="D17" s="144">
        <f>E17+F17+J17</f>
        <v>0</v>
      </c>
      <c r="E17" s="78">
        <v>0</v>
      </c>
      <c r="F17" s="78">
        <v>0</v>
      </c>
      <c r="G17" s="78"/>
      <c r="H17" s="78"/>
      <c r="I17" s="78"/>
      <c r="J17" s="78">
        <v>0</v>
      </c>
      <c r="K17" s="938"/>
    </row>
    <row r="18" spans="1:11" ht="18.75">
      <c r="A18" s="145"/>
      <c r="B18" s="56" t="s">
        <v>5</v>
      </c>
      <c r="C18" s="57"/>
      <c r="D18" s="79">
        <f>D16</f>
        <v>74070.2</v>
      </c>
      <c r="E18" s="79">
        <f aca="true" t="shared" si="0" ref="E18:J18">SUM(E16)</f>
        <v>74070.2</v>
      </c>
      <c r="F18" s="79">
        <f t="shared" si="0"/>
        <v>0</v>
      </c>
      <c r="G18" s="79">
        <f t="shared" si="0"/>
        <v>0</v>
      </c>
      <c r="H18" s="79">
        <f t="shared" si="0"/>
        <v>0</v>
      </c>
      <c r="I18" s="79">
        <f t="shared" si="0"/>
        <v>0</v>
      </c>
      <c r="J18" s="79">
        <f t="shared" si="0"/>
        <v>0</v>
      </c>
      <c r="K18" s="80"/>
    </row>
    <row r="19" spans="2:11" ht="18.75">
      <c r="B19" s="146"/>
      <c r="C19" s="4"/>
      <c r="D19" s="6"/>
      <c r="E19" s="6"/>
      <c r="F19" s="6"/>
      <c r="G19" s="6"/>
      <c r="H19" s="6"/>
      <c r="I19" s="6"/>
      <c r="J19" s="6"/>
      <c r="K19" s="41"/>
    </row>
    <row r="20" spans="2:11" ht="15.75">
      <c r="B20" s="4"/>
      <c r="C20" s="4"/>
      <c r="D20" s="6"/>
      <c r="E20" s="6"/>
      <c r="F20" s="6"/>
      <c r="G20" s="6"/>
      <c r="H20" s="6"/>
      <c r="I20" s="6"/>
      <c r="J20" s="6"/>
      <c r="K20" s="41"/>
    </row>
    <row r="21" spans="2:11" ht="15.75">
      <c r="B21" s="4"/>
      <c r="C21" s="4"/>
      <c r="D21" s="6"/>
      <c r="E21" s="6"/>
      <c r="F21" s="6"/>
      <c r="G21" s="6"/>
      <c r="H21" s="6"/>
      <c r="I21" s="6"/>
      <c r="J21" s="6"/>
      <c r="K21" s="41"/>
    </row>
    <row r="22" spans="2:11" ht="18.75">
      <c r="B22" s="147"/>
      <c r="C22" s="148"/>
      <c r="E22" s="6"/>
      <c r="F22" s="6"/>
      <c r="G22" s="6"/>
      <c r="H22" s="6"/>
      <c r="I22" s="6"/>
      <c r="J22" s="6"/>
      <c r="K22" s="148"/>
    </row>
    <row r="23" spans="1:11" ht="18.75">
      <c r="A23" s="149"/>
      <c r="B23" s="383" t="s">
        <v>523</v>
      </c>
      <c r="C23" s="383"/>
      <c r="D23" s="149"/>
      <c r="E23" s="383"/>
      <c r="F23" s="936" t="s">
        <v>30</v>
      </c>
      <c r="G23" s="936"/>
      <c r="H23" s="936"/>
      <c r="I23" s="936"/>
      <c r="J23" s="936"/>
      <c r="K23" s="152"/>
    </row>
    <row r="24" spans="1:11" ht="30.75" customHeight="1">
      <c r="A24" s="149"/>
      <c r="B24" s="150"/>
      <c r="C24" s="150"/>
      <c r="D24" s="149"/>
      <c r="E24" s="150"/>
      <c r="F24" s="151"/>
      <c r="G24" s="151"/>
      <c r="H24" s="151"/>
      <c r="I24" s="151"/>
      <c r="J24" s="151"/>
      <c r="K24" s="152"/>
    </row>
    <row r="25" spans="1:11" ht="18.75">
      <c r="A25" s="149"/>
      <c r="B25" s="153" t="s">
        <v>560</v>
      </c>
      <c r="C25" s="153"/>
      <c r="D25" s="149"/>
      <c r="E25" s="154"/>
      <c r="F25" s="155"/>
      <c r="G25" s="155"/>
      <c r="H25" s="155"/>
      <c r="I25" s="155"/>
      <c r="J25" s="155"/>
      <c r="K25" s="156"/>
    </row>
    <row r="26" spans="1:11" ht="30.75" customHeight="1">
      <c r="A26" s="149"/>
      <c r="B26" s="157" t="s">
        <v>10</v>
      </c>
      <c r="C26" s="149"/>
      <c r="D26" s="157"/>
      <c r="E26" s="155"/>
      <c r="F26" s="155"/>
      <c r="G26" s="155"/>
      <c r="H26" s="155"/>
      <c r="I26" s="155"/>
      <c r="J26" s="155"/>
      <c r="K26" s="156"/>
    </row>
    <row r="27" spans="2:11" ht="15.75">
      <c r="B27" s="42"/>
      <c r="C27" s="10"/>
      <c r="D27" s="43"/>
      <c r="E27" s="7"/>
      <c r="F27" s="7"/>
      <c r="G27" s="7"/>
      <c r="H27" s="7"/>
      <c r="I27" s="7"/>
      <c r="J27" s="1"/>
      <c r="K27" s="1"/>
    </row>
    <row r="28" spans="3:10" ht="15.75">
      <c r="C28" s="43"/>
      <c r="D28" s="7"/>
      <c r="E28" s="7"/>
      <c r="F28" s="7"/>
      <c r="G28" s="7"/>
      <c r="H28" s="7"/>
      <c r="I28" s="7"/>
      <c r="J28" s="7"/>
    </row>
    <row r="29" spans="3:10" ht="15.75">
      <c r="C29" s="44"/>
      <c r="D29" s="7"/>
      <c r="E29" s="7"/>
      <c r="F29" s="7"/>
      <c r="G29" s="7"/>
      <c r="H29" s="7"/>
      <c r="I29" s="7"/>
      <c r="J29" s="7"/>
    </row>
    <row r="31" ht="12.75">
      <c r="H31" s="5"/>
    </row>
  </sheetData>
  <sheetProtection/>
  <mergeCells count="21">
    <mergeCell ref="J1:K1"/>
    <mergeCell ref="J2:K2"/>
    <mergeCell ref="J9:K9"/>
    <mergeCell ref="B11:K11"/>
    <mergeCell ref="D12:H12"/>
    <mergeCell ref="J14:J15"/>
    <mergeCell ref="F23:J23"/>
    <mergeCell ref="K13:K15"/>
    <mergeCell ref="E14:E15"/>
    <mergeCell ref="F14:F15"/>
    <mergeCell ref="G14:G15"/>
    <mergeCell ref="I14:I15"/>
    <mergeCell ref="A16:A17"/>
    <mergeCell ref="B16:B17"/>
    <mergeCell ref="K16:K17"/>
    <mergeCell ref="A13:A15"/>
    <mergeCell ref="B13:B15"/>
    <mergeCell ref="H14:H15"/>
    <mergeCell ref="C13:C15"/>
    <mergeCell ref="D13:D15"/>
    <mergeCell ref="E13:J13"/>
  </mergeCells>
  <printOptions horizontalCentered="1"/>
  <pageMargins left="0" right="0" top="1.1811023622047245" bottom="0" header="0" footer="0"/>
  <pageSetup fitToHeight="1" fitToWidth="1" horizontalDpi="600" verticalDpi="600" orientation="landscape" paperSize="9" scale="80" r:id="rId1"/>
</worksheet>
</file>

<file path=xl/worksheets/sheet39.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36"/>
      <c r="B1" s="336"/>
      <c r="C1" s="336"/>
      <c r="D1" s="336"/>
      <c r="E1" s="336"/>
      <c r="F1" s="336"/>
      <c r="G1" s="336"/>
      <c r="H1" s="336"/>
      <c r="I1" s="944" t="s">
        <v>318</v>
      </c>
      <c r="J1" s="944"/>
      <c r="K1" s="944"/>
    </row>
    <row r="2" spans="1:11" ht="18.75">
      <c r="A2" s="336"/>
      <c r="B2" s="336"/>
      <c r="C2" s="336"/>
      <c r="D2" s="336"/>
      <c r="E2" s="336"/>
      <c r="F2" s="336"/>
      <c r="G2" s="336"/>
      <c r="H2" s="336"/>
      <c r="I2" s="875" t="s">
        <v>11</v>
      </c>
      <c r="J2" s="875"/>
      <c r="K2" s="875"/>
    </row>
    <row r="3" spans="1:11" ht="18.75">
      <c r="A3" s="336"/>
      <c r="B3" s="336"/>
      <c r="C3" s="336"/>
      <c r="D3" s="336"/>
      <c r="E3" s="336"/>
      <c r="F3" s="336"/>
      <c r="G3" s="336"/>
      <c r="H3" s="336"/>
      <c r="I3" s="942" t="s">
        <v>291</v>
      </c>
      <c r="J3" s="942"/>
      <c r="K3" s="942"/>
    </row>
    <row r="4" spans="1:11" ht="18.75">
      <c r="A4" s="336"/>
      <c r="B4" s="336"/>
      <c r="C4" s="336"/>
      <c r="D4" s="336"/>
      <c r="E4" s="336"/>
      <c r="F4" s="336"/>
      <c r="G4" s="336"/>
      <c r="H4" s="336"/>
      <c r="I4" s="942" t="s">
        <v>33</v>
      </c>
      <c r="J4" s="942"/>
      <c r="K4" s="942"/>
    </row>
    <row r="5" spans="1:11" ht="18.75">
      <c r="A5" s="336"/>
      <c r="B5" s="336"/>
      <c r="C5" s="336"/>
      <c r="D5" s="336"/>
      <c r="E5" s="336"/>
      <c r="F5" s="336"/>
      <c r="G5" s="336"/>
      <c r="H5" s="336"/>
      <c r="I5" s="942" t="s">
        <v>8</v>
      </c>
      <c r="J5" s="942"/>
      <c r="K5" s="942"/>
    </row>
    <row r="6" spans="1:11" ht="18.75">
      <c r="A6" s="336"/>
      <c r="B6" s="336"/>
      <c r="C6" s="336"/>
      <c r="D6" s="336"/>
      <c r="E6" s="336"/>
      <c r="F6" s="336"/>
      <c r="G6" s="336"/>
      <c r="H6" s="336"/>
      <c r="I6" s="942" t="s">
        <v>292</v>
      </c>
      <c r="J6" s="942"/>
      <c r="K6" s="942"/>
    </row>
    <row r="7" spans="1:11" ht="18.75" customHeight="1">
      <c r="A7" s="336"/>
      <c r="B7" s="336"/>
      <c r="C7" s="336"/>
      <c r="D7" s="336"/>
      <c r="E7" s="336"/>
      <c r="F7" s="336"/>
      <c r="G7" s="336"/>
      <c r="H7" s="336"/>
      <c r="I7" s="943" t="s">
        <v>293</v>
      </c>
      <c r="J7" s="943"/>
      <c r="K7" s="943"/>
    </row>
    <row r="8" spans="1:11" ht="18.75">
      <c r="A8" s="336"/>
      <c r="B8" s="336"/>
      <c r="C8" s="336"/>
      <c r="D8" s="336"/>
      <c r="E8" s="336"/>
      <c r="F8" s="336"/>
      <c r="G8" s="336"/>
      <c r="H8" s="336"/>
      <c r="I8" s="72" t="s">
        <v>321</v>
      </c>
      <c r="J8" s="72"/>
      <c r="K8" s="72"/>
    </row>
    <row r="9" spans="1:11" ht="18.75">
      <c r="A9" s="336"/>
      <c r="B9" s="336"/>
      <c r="C9" s="336"/>
      <c r="D9" s="336"/>
      <c r="E9" s="336"/>
      <c r="F9" s="336"/>
      <c r="G9" s="336"/>
      <c r="H9" s="336"/>
      <c r="I9" s="336"/>
      <c r="J9" s="336"/>
      <c r="K9" s="336"/>
    </row>
    <row r="10" spans="1:11" ht="18.75">
      <c r="A10" s="336"/>
      <c r="B10" s="769" t="s">
        <v>295</v>
      </c>
      <c r="C10" s="769"/>
      <c r="D10" s="769"/>
      <c r="E10" s="769"/>
      <c r="F10" s="769"/>
      <c r="G10" s="769"/>
      <c r="H10" s="769"/>
      <c r="I10" s="769"/>
      <c r="J10" s="769"/>
      <c r="K10" s="769"/>
    </row>
    <row r="11" spans="1:11" ht="18.75">
      <c r="A11" s="336"/>
      <c r="B11" s="336"/>
      <c r="C11" s="336"/>
      <c r="D11" s="945"/>
      <c r="E11" s="945"/>
      <c r="F11" s="945"/>
      <c r="G11" s="945"/>
      <c r="H11" s="945"/>
      <c r="I11" s="336"/>
      <c r="J11" s="336"/>
      <c r="K11" s="336"/>
    </row>
    <row r="12" spans="1:11" ht="18.75">
      <c r="A12" s="770" t="s">
        <v>32</v>
      </c>
      <c r="B12" s="770" t="s">
        <v>12</v>
      </c>
      <c r="C12" s="770" t="s">
        <v>13</v>
      </c>
      <c r="D12" s="770" t="s">
        <v>14</v>
      </c>
      <c r="E12" s="786" t="s">
        <v>9</v>
      </c>
      <c r="F12" s="786"/>
      <c r="G12" s="786"/>
      <c r="H12" s="786"/>
      <c r="I12" s="786"/>
      <c r="J12" s="849"/>
      <c r="K12" s="776" t="s">
        <v>15</v>
      </c>
    </row>
    <row r="13" spans="1:11" ht="12.75">
      <c r="A13" s="771"/>
      <c r="B13" s="771"/>
      <c r="C13" s="771"/>
      <c r="D13" s="771"/>
      <c r="E13" s="770" t="s">
        <v>296</v>
      </c>
      <c r="F13" s="770" t="s">
        <v>297</v>
      </c>
      <c r="G13" s="770" t="s">
        <v>27</v>
      </c>
      <c r="H13" s="770" t="s">
        <v>28</v>
      </c>
      <c r="I13" s="770" t="s">
        <v>29</v>
      </c>
      <c r="J13" s="776" t="s">
        <v>298</v>
      </c>
      <c r="K13" s="776"/>
    </row>
    <row r="14" spans="1:11" ht="39" customHeight="1">
      <c r="A14" s="772"/>
      <c r="B14" s="772"/>
      <c r="C14" s="772"/>
      <c r="D14" s="772"/>
      <c r="E14" s="772"/>
      <c r="F14" s="772"/>
      <c r="G14" s="772"/>
      <c r="H14" s="772"/>
      <c r="I14" s="772"/>
      <c r="J14" s="776"/>
      <c r="K14" s="776"/>
    </row>
    <row r="15" spans="1:11" ht="70.5" customHeight="1">
      <c r="A15" s="35">
        <v>1</v>
      </c>
      <c r="B15" s="60" t="s">
        <v>299</v>
      </c>
      <c r="C15" s="35" t="s">
        <v>16</v>
      </c>
      <c r="D15" s="61">
        <f>SUM(E15:J15)</f>
        <v>0</v>
      </c>
      <c r="E15" s="62">
        <f>490.67-490.67</f>
        <v>0</v>
      </c>
      <c r="F15" s="103"/>
      <c r="G15" s="102"/>
      <c r="H15" s="102"/>
      <c r="I15" s="102"/>
      <c r="J15" s="102"/>
      <c r="K15" s="35" t="s">
        <v>300</v>
      </c>
    </row>
    <row r="16" spans="1:11" ht="69.75" customHeight="1" hidden="1">
      <c r="A16" s="35">
        <v>2</v>
      </c>
      <c r="B16" s="60" t="s">
        <v>49</v>
      </c>
      <c r="C16" s="35" t="s">
        <v>16</v>
      </c>
      <c r="D16" s="101">
        <f>SUM(E16:J16)</f>
        <v>0</v>
      </c>
      <c r="E16" s="103">
        <v>0</v>
      </c>
      <c r="F16" s="102"/>
      <c r="G16" s="102"/>
      <c r="H16" s="102"/>
      <c r="I16" s="102"/>
      <c r="J16" s="102"/>
      <c r="K16" s="35" t="s">
        <v>43</v>
      </c>
    </row>
    <row r="17" spans="1:11" ht="74.25" customHeight="1" hidden="1">
      <c r="A17" s="35">
        <v>3</v>
      </c>
      <c r="B17" s="104" t="s">
        <v>50</v>
      </c>
      <c r="C17" s="105" t="s">
        <v>16</v>
      </c>
      <c r="D17" s="101">
        <f>SUM(E17:J17)</f>
        <v>0</v>
      </c>
      <c r="E17" s="106">
        <v>0</v>
      </c>
      <c r="F17" s="102"/>
      <c r="G17" s="102"/>
      <c r="H17" s="102"/>
      <c r="I17" s="102"/>
      <c r="J17" s="102"/>
      <c r="K17" s="35" t="s">
        <v>301</v>
      </c>
    </row>
    <row r="18" spans="1:11" ht="18.75">
      <c r="A18" s="337"/>
      <c r="B18" s="59" t="s">
        <v>5</v>
      </c>
      <c r="C18" s="70"/>
      <c r="D18" s="101">
        <f>D15</f>
        <v>0</v>
      </c>
      <c r="E18" s="142">
        <f aca="true" t="shared" si="0" ref="E18:J18">E15</f>
        <v>0</v>
      </c>
      <c r="F18" s="101">
        <f t="shared" si="0"/>
        <v>0</v>
      </c>
      <c r="G18" s="101">
        <f t="shared" si="0"/>
        <v>0</v>
      </c>
      <c r="H18" s="101">
        <f t="shared" si="0"/>
        <v>0</v>
      </c>
      <c r="I18" s="101">
        <f t="shared" si="0"/>
        <v>0</v>
      </c>
      <c r="J18" s="101">
        <f t="shared" si="0"/>
        <v>0</v>
      </c>
      <c r="K18" s="71"/>
    </row>
    <row r="19" spans="1:11" ht="18.75">
      <c r="A19" s="336"/>
      <c r="B19" s="51"/>
      <c r="C19" s="51"/>
      <c r="D19" s="338"/>
      <c r="E19" s="338"/>
      <c r="F19" s="338"/>
      <c r="G19" s="338"/>
      <c r="H19" s="338"/>
      <c r="I19" s="338"/>
      <c r="J19" s="338"/>
      <c r="K19" s="339"/>
    </row>
    <row r="20" spans="2:11" ht="18.75">
      <c r="B20" s="809" t="s">
        <v>18</v>
      </c>
      <c r="C20" s="809"/>
      <c r="D20" s="362"/>
      <c r="E20" s="8"/>
      <c r="F20" s="8"/>
      <c r="G20" s="9"/>
      <c r="H20" s="9"/>
      <c r="I20" s="9"/>
      <c r="J20" s="47"/>
      <c r="K20" s="47" t="s">
        <v>30</v>
      </c>
    </row>
    <row r="21" spans="2:11" ht="12.75" customHeight="1">
      <c r="B21" s="362"/>
      <c r="C21" s="362"/>
      <c r="D21" s="362"/>
      <c r="E21" s="8"/>
      <c r="F21" s="8"/>
      <c r="G21" s="9"/>
      <c r="H21" s="9"/>
      <c r="I21" s="9"/>
      <c r="J21" s="47"/>
      <c r="K21" s="47"/>
    </row>
    <row r="22" spans="2:11" ht="18.75" customHeight="1" hidden="1">
      <c r="B22" s="362"/>
      <c r="C22" s="362"/>
      <c r="D22" s="362"/>
      <c r="E22" s="8"/>
      <c r="F22" s="8"/>
      <c r="G22" s="9"/>
      <c r="H22" s="9"/>
      <c r="I22" s="9"/>
      <c r="J22" s="47"/>
      <c r="K22" s="47"/>
    </row>
    <row r="23" spans="2:11" ht="18.75" customHeight="1" hidden="1">
      <c r="B23" s="362"/>
      <c r="C23" s="362"/>
      <c r="D23" s="362"/>
      <c r="E23" s="8"/>
      <c r="F23" s="8"/>
      <c r="G23" s="9"/>
      <c r="H23" s="9"/>
      <c r="I23" s="9"/>
      <c r="J23" s="47"/>
      <c r="K23" s="47"/>
    </row>
    <row r="24" spans="2:11" ht="23.25" customHeight="1" hidden="1">
      <c r="B24" s="362"/>
      <c r="C24" s="362"/>
      <c r="D24" s="362"/>
      <c r="E24" s="8"/>
      <c r="F24" s="8"/>
      <c r="G24" s="9"/>
      <c r="H24" s="9"/>
      <c r="I24" s="9"/>
      <c r="J24" s="47"/>
      <c r="K24" s="47"/>
    </row>
    <row r="25" spans="2:11" ht="18.75">
      <c r="B25" s="362"/>
      <c r="C25" s="362"/>
      <c r="D25" s="362"/>
      <c r="E25" s="8"/>
      <c r="F25" s="8"/>
      <c r="G25" s="9"/>
      <c r="H25" s="9"/>
      <c r="I25" s="9"/>
      <c r="J25" s="47"/>
      <c r="K25" s="47"/>
    </row>
    <row r="26" spans="2:11" ht="18.75">
      <c r="B26" s="853" t="s">
        <v>17</v>
      </c>
      <c r="C26" s="853"/>
      <c r="D26" s="48"/>
      <c r="E26" s="7"/>
      <c r="F26" s="7"/>
      <c r="G26" s="7"/>
      <c r="H26" s="7"/>
      <c r="I26" s="7"/>
      <c r="J26" s="1"/>
      <c r="K26" s="1"/>
    </row>
    <row r="27" spans="2:11" ht="15.75">
      <c r="B27" s="166" t="s">
        <v>10</v>
      </c>
      <c r="C27" s="166"/>
      <c r="D27" s="7"/>
      <c r="E27" s="7"/>
      <c r="F27" s="7"/>
      <c r="G27" s="7"/>
      <c r="H27" s="7"/>
      <c r="I27" s="7"/>
      <c r="J27" s="1"/>
      <c r="K27" s="1"/>
    </row>
    <row r="28" spans="2:11" ht="15.75">
      <c r="B28" s="42"/>
      <c r="C28" s="10"/>
      <c r="D28" s="43"/>
      <c r="E28" s="7"/>
      <c r="F28" s="7"/>
      <c r="G28" s="7"/>
      <c r="H28" s="7"/>
      <c r="I28" s="7"/>
      <c r="J28" s="1"/>
      <c r="K28" s="1"/>
    </row>
    <row r="29" spans="3:10" ht="15.75">
      <c r="C29" s="43"/>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24" customWidth="1"/>
    <col min="2" max="2" width="46.00390625" style="324" customWidth="1"/>
    <col min="3" max="3" width="13.421875" style="324" hidden="1" customWidth="1"/>
    <col min="4" max="4" width="16.421875" style="324" customWidth="1"/>
    <col min="5" max="6" width="15.7109375" style="324" customWidth="1"/>
    <col min="7" max="7" width="28.28125" style="324" customWidth="1"/>
    <col min="8" max="8" width="63.28125" style="324" customWidth="1"/>
    <col min="9" max="9" width="15.7109375" style="324" customWidth="1"/>
    <col min="10" max="10" width="16.00390625" style="324" customWidth="1"/>
    <col min="11" max="11" width="14.140625" style="324" customWidth="1"/>
    <col min="12" max="12" width="12.421875" style="324" hidden="1" customWidth="1"/>
    <col min="13" max="13" width="14.8515625" style="324" customWidth="1"/>
    <col min="14" max="14" width="14.28125" style="324" customWidth="1"/>
    <col min="15" max="15" width="27.7109375" style="324" customWidth="1"/>
    <col min="16" max="16" width="19.140625" style="324" customWidth="1"/>
    <col min="17" max="17" width="15.140625" style="324" customWidth="1"/>
    <col min="18" max="18" width="14.140625" style="324" customWidth="1"/>
    <col min="19" max="19" width="17.28125" style="324" customWidth="1"/>
    <col min="20" max="20" width="13.8515625" style="324" customWidth="1"/>
  </cols>
  <sheetData>
    <row r="1" spans="1:12" s="324" customFormat="1" ht="20.25" customHeight="1">
      <c r="A1" s="312"/>
      <c r="B1" s="312"/>
      <c r="C1" s="312"/>
      <c r="D1" s="347"/>
      <c r="E1" s="325"/>
      <c r="F1" s="325"/>
      <c r="G1" s="346"/>
      <c r="H1" s="346"/>
      <c r="I1" s="346"/>
      <c r="J1" s="346"/>
      <c r="K1" s="346"/>
      <c r="L1" s="346"/>
    </row>
    <row r="2" spans="1:12" s="324" customFormat="1" ht="38.25" customHeight="1">
      <c r="A2" s="747" t="s">
        <v>314</v>
      </c>
      <c r="B2" s="747"/>
      <c r="C2" s="747"/>
      <c r="D2" s="747"/>
      <c r="E2" s="747"/>
      <c r="F2" s="747"/>
      <c r="G2" s="747"/>
      <c r="H2" s="747"/>
      <c r="I2" s="346"/>
      <c r="J2" s="346"/>
      <c r="K2" s="346"/>
      <c r="L2" s="346"/>
    </row>
    <row r="3" spans="1:12" s="324" customFormat="1" ht="20.25" customHeight="1">
      <c r="A3" s="312"/>
      <c r="B3" s="312"/>
      <c r="C3" s="312"/>
      <c r="D3" s="347"/>
      <c r="E3" s="312"/>
      <c r="F3" s="312"/>
      <c r="G3" s="346"/>
      <c r="H3" s="346"/>
      <c r="I3" s="346"/>
      <c r="J3" s="346"/>
      <c r="K3" s="346"/>
      <c r="L3" s="346"/>
    </row>
    <row r="4" spans="1:12" s="324" customFormat="1" ht="20.25" customHeight="1">
      <c r="A4" s="312"/>
      <c r="B4" s="312"/>
      <c r="C4" s="312"/>
      <c r="D4" s="347"/>
      <c r="E4" s="312"/>
      <c r="F4" s="312"/>
      <c r="G4" s="346"/>
      <c r="H4" s="401" t="s">
        <v>392</v>
      </c>
      <c r="I4" s="346"/>
      <c r="J4" s="346"/>
      <c r="K4" s="346"/>
      <c r="L4" s="346"/>
    </row>
    <row r="5" spans="1:12" s="324" customFormat="1" ht="40.5" customHeight="1">
      <c r="A5" s="754" t="s">
        <v>6</v>
      </c>
      <c r="B5" s="736" t="s">
        <v>120</v>
      </c>
      <c r="C5" s="736" t="s">
        <v>13</v>
      </c>
      <c r="D5" s="342" t="s">
        <v>315</v>
      </c>
      <c r="E5" s="350" t="s">
        <v>316</v>
      </c>
      <c r="F5" s="736" t="s">
        <v>386</v>
      </c>
      <c r="G5" s="754" t="s">
        <v>389</v>
      </c>
      <c r="H5" s="736" t="s">
        <v>317</v>
      </c>
      <c r="I5" s="346"/>
      <c r="J5" s="346"/>
      <c r="K5" s="346"/>
      <c r="L5" s="346"/>
    </row>
    <row r="6" spans="1:12" s="324" customFormat="1" ht="20.25" customHeight="1">
      <c r="A6" s="754"/>
      <c r="B6" s="737"/>
      <c r="C6" s="737"/>
      <c r="D6" s="736">
        <v>2018</v>
      </c>
      <c r="E6" s="745">
        <v>2018</v>
      </c>
      <c r="F6" s="737"/>
      <c r="G6" s="754"/>
      <c r="H6" s="737"/>
      <c r="I6" s="346"/>
      <c r="J6" s="346"/>
      <c r="K6" s="346"/>
      <c r="L6" s="346"/>
    </row>
    <row r="7" spans="1:12" s="324" customFormat="1" ht="20.25" customHeight="1">
      <c r="A7" s="754"/>
      <c r="B7" s="738"/>
      <c r="C7" s="738"/>
      <c r="D7" s="738"/>
      <c r="E7" s="746"/>
      <c r="F7" s="738"/>
      <c r="G7" s="754"/>
      <c r="H7" s="738"/>
      <c r="I7" s="346"/>
      <c r="J7" s="346"/>
      <c r="K7" s="346"/>
      <c r="L7" s="346"/>
    </row>
    <row r="8" spans="1:12" s="324" customFormat="1" ht="51" customHeight="1">
      <c r="A8" s="220">
        <v>1</v>
      </c>
      <c r="B8" s="158" t="s">
        <v>387</v>
      </c>
      <c r="C8" s="160" t="s">
        <v>16</v>
      </c>
      <c r="D8" s="326">
        <v>368473.4</v>
      </c>
      <c r="E8" s="326">
        <v>368400</v>
      </c>
      <c r="F8" s="326">
        <f>E8-D8</f>
        <v>-73.40000000002328</v>
      </c>
      <c r="G8" s="755" t="s">
        <v>390</v>
      </c>
      <c r="H8" s="752" t="s">
        <v>371</v>
      </c>
      <c r="I8" s="346"/>
      <c r="J8" s="346"/>
      <c r="K8" s="346"/>
      <c r="L8" s="346"/>
    </row>
    <row r="9" spans="1:12" s="324" customFormat="1" ht="49.5" customHeight="1">
      <c r="A9" s="281" t="s">
        <v>248</v>
      </c>
      <c r="B9" s="158" t="s">
        <v>73</v>
      </c>
      <c r="C9" s="160"/>
      <c r="D9" s="326">
        <v>50073.4</v>
      </c>
      <c r="E9" s="326">
        <v>50000</v>
      </c>
      <c r="F9" s="326">
        <f>E9-D9</f>
        <v>-73.40000000000146</v>
      </c>
      <c r="G9" s="757"/>
      <c r="H9" s="753"/>
      <c r="I9" s="346"/>
      <c r="J9" s="346"/>
      <c r="K9" s="346"/>
      <c r="L9" s="346"/>
    </row>
    <row r="10" spans="1:12" s="324" customFormat="1" ht="18.75">
      <c r="A10" s="754" t="s">
        <v>5</v>
      </c>
      <c r="B10" s="754"/>
      <c r="C10" s="342"/>
      <c r="D10" s="129">
        <f>SUM(D8:D8)</f>
        <v>368473.4</v>
      </c>
      <c r="E10" s="129">
        <f>SUM(E8:E8)</f>
        <v>368400</v>
      </c>
      <c r="F10" s="129"/>
      <c r="G10" s="351"/>
      <c r="H10" s="351"/>
      <c r="I10" s="346"/>
      <c r="J10" s="346"/>
      <c r="K10" s="346"/>
      <c r="L10" s="346"/>
    </row>
    <row r="11" spans="1:12" s="324" customFormat="1" ht="15.75">
      <c r="A11" s="134"/>
      <c r="B11" s="134"/>
      <c r="C11" s="134"/>
      <c r="D11" s="134"/>
      <c r="E11" s="313"/>
      <c r="F11" s="313"/>
      <c r="G11" s="346"/>
      <c r="H11" s="346"/>
      <c r="I11" s="346"/>
      <c r="J11" s="346"/>
      <c r="K11" s="346"/>
      <c r="L11" s="346"/>
    </row>
    <row r="12" spans="1:12" s="324" customFormat="1" ht="15.75">
      <c r="A12" s="134"/>
      <c r="B12" s="134"/>
      <c r="C12" s="134"/>
      <c r="D12" s="134"/>
      <c r="E12" s="313"/>
      <c r="F12" s="313"/>
      <c r="G12" s="346"/>
      <c r="H12" s="346"/>
      <c r="I12" s="346"/>
      <c r="J12" s="346"/>
      <c r="K12" s="346"/>
      <c r="L12" s="346"/>
    </row>
    <row r="13" spans="1:12" s="324" customFormat="1" ht="15.75">
      <c r="A13" s="134"/>
      <c r="B13" s="134"/>
      <c r="C13" s="134"/>
      <c r="D13" s="134"/>
      <c r="E13" s="135"/>
      <c r="F13" s="135"/>
      <c r="G13" s="346"/>
      <c r="H13" s="346"/>
      <c r="I13" s="346"/>
      <c r="J13" s="346"/>
      <c r="K13" s="346"/>
      <c r="L13" s="346"/>
    </row>
    <row r="14" spans="1:12" s="324" customFormat="1" ht="18.75">
      <c r="A14" s="748" t="s">
        <v>420</v>
      </c>
      <c r="B14" s="748"/>
      <c r="C14" s="352"/>
      <c r="D14" s="22"/>
      <c r="E14" s="170"/>
      <c r="F14" s="170"/>
      <c r="G14" s="67"/>
      <c r="H14" s="223" t="s">
        <v>421</v>
      </c>
      <c r="I14" s="346"/>
      <c r="J14" s="346"/>
      <c r="K14" s="346"/>
      <c r="L14" s="346"/>
    </row>
    <row r="15" spans="1:12" s="324" customFormat="1" ht="18.75">
      <c r="A15" s="353"/>
      <c r="B15" s="353"/>
      <c r="C15" s="353"/>
      <c r="D15" s="354"/>
      <c r="E15" s="135"/>
      <c r="F15" s="135"/>
      <c r="G15" s="320"/>
      <c r="H15" s="346"/>
      <c r="I15" s="346"/>
      <c r="J15" s="346"/>
      <c r="K15" s="346"/>
      <c r="L15" s="346"/>
    </row>
    <row r="16" spans="1:12" s="324" customFormat="1" ht="18.75">
      <c r="A16" s="735"/>
      <c r="B16" s="735"/>
      <c r="C16" s="341"/>
      <c r="D16" s="161"/>
      <c r="E16" s="355"/>
      <c r="F16" s="355"/>
      <c r="G16" s="346"/>
      <c r="H16" s="346"/>
      <c r="I16" s="346"/>
      <c r="J16" s="346"/>
      <c r="K16" s="346"/>
      <c r="L16" s="346"/>
    </row>
    <row r="17" s="324" customFormat="1" ht="15">
      <c r="A17" s="333"/>
    </row>
    <row r="18" s="324" customFormat="1" ht="15">
      <c r="A18" s="333"/>
    </row>
    <row r="19" s="324" customFormat="1" ht="15">
      <c r="A19" s="333"/>
    </row>
    <row r="20" s="324" customFormat="1" ht="15">
      <c r="A20" s="333"/>
    </row>
    <row r="21" s="324" customFormat="1" ht="15">
      <c r="A21" s="333"/>
    </row>
    <row r="22" s="324" customFormat="1" ht="15">
      <c r="A22" s="333"/>
    </row>
    <row r="23" s="324" customFormat="1" ht="15">
      <c r="A23" s="333"/>
    </row>
    <row r="24" s="324" customFormat="1" ht="15">
      <c r="A24" s="333"/>
    </row>
    <row r="25" s="324" customFormat="1" ht="15">
      <c r="A25" s="333"/>
    </row>
    <row r="26" s="324" customFormat="1" ht="15"/>
  </sheetData>
  <sheetProtection/>
  <mergeCells count="14">
    <mergeCell ref="A16:B16"/>
    <mergeCell ref="B5:B7"/>
    <mergeCell ref="C5:C7"/>
    <mergeCell ref="D6:D7"/>
    <mergeCell ref="E6:E7"/>
    <mergeCell ref="A10:B10"/>
    <mergeCell ref="H5:H7"/>
    <mergeCell ref="G8:G9"/>
    <mergeCell ref="H8:H9"/>
    <mergeCell ref="A5:A7"/>
    <mergeCell ref="A2:H2"/>
    <mergeCell ref="A14:B14"/>
    <mergeCell ref="F5:F7"/>
    <mergeCell ref="G5:G7"/>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40.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36"/>
      <c r="B1" s="336"/>
      <c r="C1" s="336"/>
      <c r="D1" s="336"/>
      <c r="E1" s="336"/>
      <c r="F1" s="336"/>
      <c r="G1" s="336"/>
      <c r="H1" s="336"/>
      <c r="I1" s="223" t="s">
        <v>19</v>
      </c>
      <c r="J1" s="944" t="s">
        <v>302</v>
      </c>
      <c r="K1" s="944"/>
    </row>
    <row r="2" spans="1:11" ht="18.75">
      <c r="A2" s="336"/>
      <c r="B2" s="336"/>
      <c r="C2" s="336"/>
      <c r="D2" s="336"/>
      <c r="E2" s="336"/>
      <c r="F2" s="336"/>
      <c r="G2" s="336"/>
      <c r="H2" s="336"/>
      <c r="I2" s="223"/>
      <c r="J2" s="168" t="s">
        <v>11</v>
      </c>
      <c r="K2" s="311"/>
    </row>
    <row r="3" spans="1:11" ht="18.75">
      <c r="A3" s="336"/>
      <c r="B3" s="336"/>
      <c r="C3" s="336"/>
      <c r="D3" s="336"/>
      <c r="E3" s="336"/>
      <c r="F3" s="336"/>
      <c r="G3" s="336"/>
      <c r="H3" s="336"/>
      <c r="I3" s="58" t="s">
        <v>11</v>
      </c>
      <c r="J3" s="942" t="s">
        <v>291</v>
      </c>
      <c r="K3" s="942"/>
    </row>
    <row r="4" spans="1:11" ht="18.75">
      <c r="A4" s="336"/>
      <c r="B4" s="336"/>
      <c r="C4" s="336"/>
      <c r="D4" s="336"/>
      <c r="E4" s="336"/>
      <c r="F4" s="336"/>
      <c r="G4" s="336"/>
      <c r="H4" s="336"/>
      <c r="I4" s="58" t="s">
        <v>20</v>
      </c>
      <c r="J4" s="942" t="s">
        <v>33</v>
      </c>
      <c r="K4" s="942"/>
    </row>
    <row r="5" spans="1:11" ht="18.75">
      <c r="A5" s="336"/>
      <c r="B5" s="336"/>
      <c r="C5" s="336"/>
      <c r="D5" s="336"/>
      <c r="E5" s="336"/>
      <c r="F5" s="336"/>
      <c r="G5" s="336"/>
      <c r="H5" s="336"/>
      <c r="I5" s="58" t="s">
        <v>21</v>
      </c>
      <c r="J5" s="942" t="s">
        <v>8</v>
      </c>
      <c r="K5" s="942"/>
    </row>
    <row r="6" spans="1:11" ht="18.75">
      <c r="A6" s="336"/>
      <c r="B6" s="336"/>
      <c r="C6" s="336"/>
      <c r="D6" s="336"/>
      <c r="E6" s="336"/>
      <c r="F6" s="336"/>
      <c r="G6" s="336"/>
      <c r="H6" s="336"/>
      <c r="I6" s="58" t="s">
        <v>23</v>
      </c>
      <c r="J6" s="942" t="s">
        <v>292</v>
      </c>
      <c r="K6" s="942"/>
    </row>
    <row r="7" spans="1:11" ht="18.75">
      <c r="A7" s="336"/>
      <c r="B7" s="336"/>
      <c r="C7" s="336"/>
      <c r="D7" s="336"/>
      <c r="E7" s="336"/>
      <c r="F7" s="336"/>
      <c r="G7" s="336"/>
      <c r="H7" s="336"/>
      <c r="I7" s="58" t="s">
        <v>24</v>
      </c>
      <c r="J7" s="943" t="s">
        <v>293</v>
      </c>
      <c r="K7" s="942"/>
    </row>
    <row r="8" spans="1:11" ht="18.75">
      <c r="A8" s="336"/>
      <c r="B8" s="336"/>
      <c r="C8" s="336"/>
      <c r="D8" s="336"/>
      <c r="E8" s="336"/>
      <c r="F8" s="336"/>
      <c r="G8" s="336"/>
      <c r="H8" s="336"/>
      <c r="I8" s="58" t="s">
        <v>25</v>
      </c>
      <c r="J8" s="336" t="s">
        <v>294</v>
      </c>
      <c r="K8" s="58"/>
    </row>
    <row r="9" spans="1:11" ht="18.75">
      <c r="A9" s="336"/>
      <c r="B9" s="336"/>
      <c r="C9" s="336"/>
      <c r="D9" s="336"/>
      <c r="E9" s="336"/>
      <c r="F9" s="336"/>
      <c r="G9" s="336"/>
      <c r="H9" s="336"/>
      <c r="I9" s="336"/>
      <c r="J9" s="336"/>
      <c r="K9" s="336"/>
    </row>
    <row r="10" spans="1:11" ht="18.75">
      <c r="A10" s="336"/>
      <c r="B10" s="769" t="s">
        <v>303</v>
      </c>
      <c r="C10" s="769"/>
      <c r="D10" s="769"/>
      <c r="E10" s="769"/>
      <c r="F10" s="769"/>
      <c r="G10" s="769"/>
      <c r="H10" s="769"/>
      <c r="I10" s="769"/>
      <c r="J10" s="769"/>
      <c r="K10" s="769"/>
    </row>
    <row r="11" spans="1:11" ht="18.75">
      <c r="A11" s="336"/>
      <c r="B11" s="336"/>
      <c r="C11" s="336"/>
      <c r="D11" s="945"/>
      <c r="E11" s="945"/>
      <c r="F11" s="945"/>
      <c r="G11" s="945"/>
      <c r="H11" s="945"/>
      <c r="I11" s="336"/>
      <c r="J11" s="336"/>
      <c r="K11" s="336"/>
    </row>
    <row r="12" spans="1:11" ht="18.75">
      <c r="A12" s="770" t="s">
        <v>32</v>
      </c>
      <c r="B12" s="770" t="s">
        <v>12</v>
      </c>
      <c r="C12" s="770" t="s">
        <v>13</v>
      </c>
      <c r="D12" s="770" t="s">
        <v>14</v>
      </c>
      <c r="E12" s="786" t="s">
        <v>9</v>
      </c>
      <c r="F12" s="786"/>
      <c r="G12" s="786"/>
      <c r="H12" s="786"/>
      <c r="I12" s="786"/>
      <c r="J12" s="849"/>
      <c r="K12" s="776" t="s">
        <v>15</v>
      </c>
    </row>
    <row r="13" spans="1:11" ht="12.75">
      <c r="A13" s="771"/>
      <c r="B13" s="771"/>
      <c r="C13" s="771"/>
      <c r="D13" s="771"/>
      <c r="E13" s="770" t="s">
        <v>296</v>
      </c>
      <c r="F13" s="770" t="s">
        <v>297</v>
      </c>
      <c r="G13" s="770" t="s">
        <v>27</v>
      </c>
      <c r="H13" s="770" t="s">
        <v>28</v>
      </c>
      <c r="I13" s="770" t="s">
        <v>29</v>
      </c>
      <c r="J13" s="776" t="s">
        <v>298</v>
      </c>
      <c r="K13" s="776"/>
    </row>
    <row r="14" spans="1:11" ht="37.5" customHeight="1">
      <c r="A14" s="772"/>
      <c r="B14" s="772"/>
      <c r="C14" s="772"/>
      <c r="D14" s="772"/>
      <c r="E14" s="772"/>
      <c r="F14" s="772"/>
      <c r="G14" s="772"/>
      <c r="H14" s="772"/>
      <c r="I14" s="772"/>
      <c r="J14" s="776"/>
      <c r="K14" s="776"/>
    </row>
    <row r="15" spans="1:11" ht="66.75" customHeight="1">
      <c r="A15" s="35">
        <v>1</v>
      </c>
      <c r="B15" s="60" t="s">
        <v>304</v>
      </c>
      <c r="C15" s="35" t="s">
        <v>16</v>
      </c>
      <c r="D15" s="61">
        <f>SUM(E15:J15)</f>
        <v>2178</v>
      </c>
      <c r="E15" s="62">
        <v>2178</v>
      </c>
      <c r="F15" s="103"/>
      <c r="G15" s="102"/>
      <c r="H15" s="102"/>
      <c r="I15" s="102"/>
      <c r="J15" s="102"/>
      <c r="K15" s="35" t="s">
        <v>300</v>
      </c>
    </row>
    <row r="16" spans="1:11" ht="66.75" customHeight="1" hidden="1">
      <c r="A16" s="35">
        <v>2</v>
      </c>
      <c r="B16" s="60" t="s">
        <v>49</v>
      </c>
      <c r="C16" s="35" t="s">
        <v>16</v>
      </c>
      <c r="D16" s="101">
        <f>SUM(E16:J16)</f>
        <v>0</v>
      </c>
      <c r="E16" s="103">
        <v>0</v>
      </c>
      <c r="F16" s="102"/>
      <c r="G16" s="102"/>
      <c r="H16" s="102"/>
      <c r="I16" s="102"/>
      <c r="J16" s="102"/>
      <c r="K16" s="35" t="s">
        <v>43</v>
      </c>
    </row>
    <row r="17" spans="1:11" ht="66.75" customHeight="1" hidden="1">
      <c r="A17" s="35">
        <v>3</v>
      </c>
      <c r="B17" s="104" t="s">
        <v>50</v>
      </c>
      <c r="C17" s="105" t="s">
        <v>16</v>
      </c>
      <c r="D17" s="101">
        <f>SUM(E17:J17)</f>
        <v>0</v>
      </c>
      <c r="E17" s="106">
        <v>0</v>
      </c>
      <c r="F17" s="102"/>
      <c r="G17" s="102"/>
      <c r="H17" s="102"/>
      <c r="I17" s="102"/>
      <c r="J17" s="102"/>
      <c r="K17" s="35" t="s">
        <v>301</v>
      </c>
    </row>
    <row r="18" spans="1:11" ht="66.75" customHeight="1">
      <c r="A18" s="337"/>
      <c r="B18" s="59" t="s">
        <v>5</v>
      </c>
      <c r="C18" s="70"/>
      <c r="D18" s="101">
        <f>D15</f>
        <v>2178</v>
      </c>
      <c r="E18" s="142">
        <f aca="true" t="shared" si="0" ref="E18:J18">E15</f>
        <v>2178</v>
      </c>
      <c r="F18" s="101">
        <f t="shared" si="0"/>
        <v>0</v>
      </c>
      <c r="G18" s="101">
        <f t="shared" si="0"/>
        <v>0</v>
      </c>
      <c r="H18" s="101">
        <f t="shared" si="0"/>
        <v>0</v>
      </c>
      <c r="I18" s="101">
        <f t="shared" si="0"/>
        <v>0</v>
      </c>
      <c r="J18" s="101">
        <f t="shared" si="0"/>
        <v>0</v>
      </c>
      <c r="K18" s="71"/>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1"/>
      <c r="C23" s="52"/>
      <c r="D23" s="14"/>
      <c r="E23" s="19"/>
      <c r="F23" s="19"/>
      <c r="G23" s="19"/>
      <c r="H23" s="19"/>
      <c r="I23" s="19"/>
      <c r="J23" s="19"/>
      <c r="K23" s="52"/>
    </row>
    <row r="24" spans="1:11" ht="23.25">
      <c r="A24" s="14"/>
      <c r="B24" s="946" t="s">
        <v>18</v>
      </c>
      <c r="C24" s="946"/>
      <c r="D24" s="317"/>
      <c r="E24" s="318"/>
      <c r="F24" s="318"/>
      <c r="G24" s="319"/>
      <c r="H24" s="319"/>
      <c r="I24" s="319"/>
      <c r="J24" s="340"/>
      <c r="K24" s="340"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tabColor theme="9" tint="0.7999799847602844"/>
    <pageSetUpPr fitToPage="1"/>
  </sheetPr>
  <dimension ref="A1:K28"/>
  <sheetViews>
    <sheetView zoomScalePageLayoutView="0" workbookViewId="0" topLeftCell="A1">
      <selection activeCell="J10" sqref="J10"/>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1.421875" style="0" customWidth="1"/>
    <col min="11" max="11" width="52.7109375" style="0" customWidth="1"/>
  </cols>
  <sheetData>
    <row r="1" spans="1:11" ht="15" customHeight="1">
      <c r="A1" s="336"/>
      <c r="B1" s="336"/>
      <c r="C1" s="336"/>
      <c r="D1" s="336"/>
      <c r="E1" s="336"/>
      <c r="F1" s="336"/>
      <c r="G1" s="336"/>
      <c r="H1" s="336"/>
      <c r="I1" s="223" t="s">
        <v>19</v>
      </c>
      <c r="J1" s="944" t="s">
        <v>459</v>
      </c>
      <c r="K1" s="944"/>
    </row>
    <row r="2" spans="1:11" ht="17.25" customHeight="1">
      <c r="A2" s="336"/>
      <c r="B2" s="336"/>
      <c r="C2" s="336"/>
      <c r="D2" s="336"/>
      <c r="E2" s="336"/>
      <c r="F2" s="336"/>
      <c r="G2" s="336"/>
      <c r="H2" s="336"/>
      <c r="I2" s="223"/>
      <c r="J2" s="168" t="s">
        <v>11</v>
      </c>
      <c r="K2" s="311"/>
    </row>
    <row r="3" spans="1:11" ht="15.75" customHeight="1">
      <c r="A3" s="336"/>
      <c r="B3" s="336"/>
      <c r="C3" s="336"/>
      <c r="D3" s="336"/>
      <c r="E3" s="336"/>
      <c r="F3" s="336"/>
      <c r="G3" s="336"/>
      <c r="H3" s="336"/>
      <c r="I3" s="223"/>
      <c r="J3" s="947" t="s">
        <v>581</v>
      </c>
      <c r="K3" s="947"/>
    </row>
    <row r="4" spans="1:11" ht="18.75">
      <c r="A4" s="336"/>
      <c r="B4" s="336"/>
      <c r="C4" s="336"/>
      <c r="D4" s="336"/>
      <c r="E4" s="336"/>
      <c r="F4" s="336"/>
      <c r="G4" s="336"/>
      <c r="H4" s="336"/>
      <c r="I4" s="58" t="s">
        <v>20</v>
      </c>
      <c r="J4" s="942" t="s">
        <v>561</v>
      </c>
      <c r="K4" s="942"/>
    </row>
    <row r="5" spans="1:11" ht="18.75">
      <c r="A5" s="336"/>
      <c r="B5" s="336"/>
      <c r="C5" s="336"/>
      <c r="D5" s="336"/>
      <c r="E5" s="336"/>
      <c r="F5" s="336"/>
      <c r="G5" s="336"/>
      <c r="H5" s="336"/>
      <c r="I5" s="58" t="s">
        <v>21</v>
      </c>
      <c r="J5" s="942" t="s">
        <v>569</v>
      </c>
      <c r="K5" s="942"/>
    </row>
    <row r="6" spans="1:11" ht="18.75">
      <c r="A6" s="336"/>
      <c r="B6" s="336"/>
      <c r="C6" s="336"/>
      <c r="D6" s="336"/>
      <c r="E6" s="336"/>
      <c r="F6" s="336"/>
      <c r="G6" s="336"/>
      <c r="H6" s="336"/>
      <c r="I6" s="58" t="s">
        <v>23</v>
      </c>
      <c r="J6" s="942" t="s">
        <v>563</v>
      </c>
      <c r="K6" s="942"/>
    </row>
    <row r="7" spans="1:11" ht="18.75">
      <c r="A7" s="336"/>
      <c r="B7" s="336"/>
      <c r="C7" s="336"/>
      <c r="D7" s="336"/>
      <c r="E7" s="336"/>
      <c r="F7" s="336"/>
      <c r="G7" s="336"/>
      <c r="H7" s="336"/>
      <c r="I7" s="58"/>
      <c r="J7" s="461" t="s">
        <v>564</v>
      </c>
      <c r="K7" s="461"/>
    </row>
    <row r="8" spans="1:11" ht="18.75">
      <c r="A8" s="336"/>
      <c r="B8" s="336"/>
      <c r="C8" s="336"/>
      <c r="D8" s="336"/>
      <c r="E8" s="336"/>
      <c r="F8" s="336"/>
      <c r="G8" s="336"/>
      <c r="H8" s="336"/>
      <c r="I8" s="58"/>
      <c r="J8" s="461" t="s">
        <v>565</v>
      </c>
      <c r="K8" s="461"/>
    </row>
    <row r="9" spans="1:11" ht="18.75">
      <c r="A9" s="336"/>
      <c r="B9" s="336"/>
      <c r="C9" s="336"/>
      <c r="D9" s="336"/>
      <c r="E9" s="336"/>
      <c r="F9" s="336"/>
      <c r="G9" s="336"/>
      <c r="H9" s="336"/>
      <c r="I9" s="58" t="s">
        <v>25</v>
      </c>
      <c r="J9" s="336" t="s">
        <v>652</v>
      </c>
      <c r="K9" s="58"/>
    </row>
    <row r="10" spans="1:11" ht="18.75">
      <c r="A10" s="336"/>
      <c r="B10" s="336"/>
      <c r="C10" s="336"/>
      <c r="D10" s="336"/>
      <c r="E10" s="336"/>
      <c r="F10" s="336"/>
      <c r="G10" s="336"/>
      <c r="H10" s="336"/>
      <c r="I10" s="336"/>
      <c r="J10" s="336"/>
      <c r="K10" s="336"/>
    </row>
    <row r="11" spans="1:11" ht="18.75">
      <c r="A11" s="336"/>
      <c r="B11" s="769" t="s">
        <v>443</v>
      </c>
      <c r="C11" s="769"/>
      <c r="D11" s="769"/>
      <c r="E11" s="769"/>
      <c r="F11" s="769"/>
      <c r="G11" s="769"/>
      <c r="H11" s="769"/>
      <c r="I11" s="769"/>
      <c r="J11" s="769"/>
      <c r="K11" s="769"/>
    </row>
    <row r="12" spans="1:11" ht="18.75">
      <c r="A12" s="336"/>
      <c r="B12" s="336"/>
      <c r="C12" s="336"/>
      <c r="D12" s="945"/>
      <c r="E12" s="945"/>
      <c r="F12" s="945"/>
      <c r="G12" s="945"/>
      <c r="H12" s="945"/>
      <c r="I12" s="336"/>
      <c r="J12" s="336"/>
      <c r="K12" s="336"/>
    </row>
    <row r="13" spans="1:11" ht="18.75">
      <c r="A13" s="770" t="s">
        <v>32</v>
      </c>
      <c r="B13" s="770" t="s">
        <v>12</v>
      </c>
      <c r="C13" s="770" t="s">
        <v>13</v>
      </c>
      <c r="D13" s="770" t="s">
        <v>406</v>
      </c>
      <c r="E13" s="786" t="s">
        <v>9</v>
      </c>
      <c r="F13" s="786"/>
      <c r="G13" s="786"/>
      <c r="H13" s="786"/>
      <c r="I13" s="786"/>
      <c r="J13" s="849"/>
      <c r="K13" s="776" t="s">
        <v>15</v>
      </c>
    </row>
    <row r="14" spans="1:11" ht="12.75">
      <c r="A14" s="771"/>
      <c r="B14" s="771"/>
      <c r="C14" s="771"/>
      <c r="D14" s="771"/>
      <c r="E14" s="783" t="s">
        <v>427</v>
      </c>
      <c r="F14" s="783" t="s">
        <v>431</v>
      </c>
      <c r="G14" s="783" t="s">
        <v>27</v>
      </c>
      <c r="H14" s="783" t="s">
        <v>28</v>
      </c>
      <c r="I14" s="783" t="s">
        <v>29</v>
      </c>
      <c r="J14" s="891" t="s">
        <v>409</v>
      </c>
      <c r="K14" s="776"/>
    </row>
    <row r="15" spans="1:11" ht="18.75" customHeight="1">
      <c r="A15" s="772"/>
      <c r="B15" s="772"/>
      <c r="C15" s="772"/>
      <c r="D15" s="772"/>
      <c r="E15" s="784"/>
      <c r="F15" s="784"/>
      <c r="G15" s="784"/>
      <c r="H15" s="784"/>
      <c r="I15" s="784"/>
      <c r="J15" s="891"/>
      <c r="K15" s="776"/>
    </row>
    <row r="16" spans="1:11" ht="39" customHeight="1">
      <c r="A16" s="773">
        <v>1</v>
      </c>
      <c r="B16" s="773" t="s">
        <v>304</v>
      </c>
      <c r="C16" s="35" t="s">
        <v>16</v>
      </c>
      <c r="D16" s="384">
        <f>SUM(E16:J16)</f>
        <v>3384.58</v>
      </c>
      <c r="E16" s="385">
        <f>2178+70+27.98</f>
        <v>2275.98</v>
      </c>
      <c r="F16" s="103">
        <v>1108.6</v>
      </c>
      <c r="G16" s="102"/>
      <c r="H16" s="102"/>
      <c r="I16" s="102"/>
      <c r="J16" s="102"/>
      <c r="K16" s="773" t="s">
        <v>300</v>
      </c>
    </row>
    <row r="17" spans="1:11" ht="36.75" customHeight="1">
      <c r="A17" s="775"/>
      <c r="B17" s="775"/>
      <c r="C17" s="226" t="s">
        <v>539</v>
      </c>
      <c r="D17" s="384">
        <f>SUM(E17:J17)</f>
        <v>0</v>
      </c>
      <c r="E17" s="385"/>
      <c r="F17" s="103"/>
      <c r="G17" s="102"/>
      <c r="H17" s="102"/>
      <c r="I17" s="102"/>
      <c r="J17" s="102">
        <v>0</v>
      </c>
      <c r="K17" s="775"/>
    </row>
    <row r="18" spans="1:11" ht="55.5" customHeight="1">
      <c r="A18" s="268">
        <v>2</v>
      </c>
      <c r="B18" s="268" t="s">
        <v>605</v>
      </c>
      <c r="C18" s="226" t="s">
        <v>237</v>
      </c>
      <c r="D18" s="384">
        <f>SUM(E18:J18)</f>
        <v>54066.5</v>
      </c>
      <c r="E18" s="385"/>
      <c r="F18" s="103"/>
      <c r="G18" s="102"/>
      <c r="H18" s="102"/>
      <c r="I18" s="102"/>
      <c r="J18" s="102">
        <v>54066.5</v>
      </c>
      <c r="K18" s="268" t="s">
        <v>300</v>
      </c>
    </row>
    <row r="19" spans="1:11" ht="18.75">
      <c r="A19" s="337"/>
      <c r="B19" s="59" t="s">
        <v>5</v>
      </c>
      <c r="C19" s="70"/>
      <c r="D19" s="384">
        <f>D16+D17+D18</f>
        <v>57451.08</v>
      </c>
      <c r="E19" s="384">
        <f>E16+E17</f>
        <v>2275.98</v>
      </c>
      <c r="F19" s="384">
        <f>F16+F17</f>
        <v>1108.6</v>
      </c>
      <c r="G19" s="384">
        <f>G16+G17</f>
        <v>0</v>
      </c>
      <c r="H19" s="384">
        <f>H16+H17</f>
        <v>0</v>
      </c>
      <c r="I19" s="384">
        <f>I16+I17</f>
        <v>0</v>
      </c>
      <c r="J19" s="384">
        <f>J16+J17+J18</f>
        <v>54066.5</v>
      </c>
      <c r="K19" s="71"/>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5.75">
      <c r="A23" s="14"/>
      <c r="B23" s="18"/>
      <c r="C23" s="18"/>
      <c r="D23" s="19"/>
      <c r="E23" s="19"/>
      <c r="F23" s="19"/>
      <c r="G23" s="19"/>
      <c r="H23" s="19"/>
      <c r="I23" s="19"/>
      <c r="J23" s="19"/>
      <c r="K23" s="20"/>
    </row>
    <row r="24" spans="1:11" ht="18.75">
      <c r="A24" s="14"/>
      <c r="B24" s="51"/>
      <c r="C24" s="52"/>
      <c r="D24" s="14"/>
      <c r="E24" s="19"/>
      <c r="F24" s="19"/>
      <c r="G24" s="19"/>
      <c r="H24" s="19"/>
      <c r="I24" s="19"/>
      <c r="J24" s="19"/>
      <c r="K24" s="52"/>
    </row>
    <row r="25" spans="1:11" ht="18.75">
      <c r="A25" s="14"/>
      <c r="B25" s="748" t="s">
        <v>523</v>
      </c>
      <c r="C25" s="748"/>
      <c r="D25" s="352"/>
      <c r="E25" s="22"/>
      <c r="F25" s="22"/>
      <c r="G25" s="67"/>
      <c r="H25" s="67"/>
      <c r="I25" s="67"/>
      <c r="J25" s="23"/>
      <c r="K25" s="23" t="s">
        <v>30</v>
      </c>
    </row>
    <row r="26" spans="1:11" ht="18.75">
      <c r="A26" s="14"/>
      <c r="B26" s="352"/>
      <c r="C26" s="352"/>
      <c r="D26" s="352"/>
      <c r="E26" s="22"/>
      <c r="F26" s="22"/>
      <c r="G26" s="16"/>
      <c r="H26" s="16"/>
      <c r="I26" s="16"/>
      <c r="J26" s="23"/>
      <c r="K26" s="23"/>
    </row>
    <row r="27" spans="1:11" ht="18.75">
      <c r="A27" s="14"/>
      <c r="B27" s="777" t="s">
        <v>558</v>
      </c>
      <c r="C27" s="777"/>
      <c r="D27" s="25"/>
      <c r="E27" s="26"/>
      <c r="F27" s="26"/>
      <c r="G27" s="26"/>
      <c r="H27" s="26"/>
      <c r="I27" s="26"/>
      <c r="J27" s="15"/>
      <c r="K27" s="15"/>
    </row>
    <row r="28" spans="1:11" ht="15.75">
      <c r="A28" s="14"/>
      <c r="B28" s="27" t="s">
        <v>10</v>
      </c>
      <c r="C28" s="27"/>
      <c r="D28" s="26"/>
      <c r="E28" s="26"/>
      <c r="F28" s="26"/>
      <c r="G28" s="26"/>
      <c r="H28" s="26"/>
      <c r="I28" s="26"/>
      <c r="J28" s="15"/>
      <c r="K28" s="15"/>
    </row>
  </sheetData>
  <sheetProtection/>
  <mergeCells count="24">
    <mergeCell ref="B27:C27"/>
    <mergeCell ref="K13:K15"/>
    <mergeCell ref="E14:E15"/>
    <mergeCell ref="F14:F15"/>
    <mergeCell ref="G14:G15"/>
    <mergeCell ref="H14:H15"/>
    <mergeCell ref="I14:I15"/>
    <mergeCell ref="J14:J15"/>
    <mergeCell ref="K16:K17"/>
    <mergeCell ref="A13:A15"/>
    <mergeCell ref="B13:B15"/>
    <mergeCell ref="C13:C15"/>
    <mergeCell ref="D13:D15"/>
    <mergeCell ref="E13:J13"/>
    <mergeCell ref="B25:C25"/>
    <mergeCell ref="A16:A17"/>
    <mergeCell ref="B16:B17"/>
    <mergeCell ref="D12:H12"/>
    <mergeCell ref="J1:K1"/>
    <mergeCell ref="J4:K4"/>
    <mergeCell ref="J5:K5"/>
    <mergeCell ref="J6:K6"/>
    <mergeCell ref="J3:K3"/>
    <mergeCell ref="B11:K11"/>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A1:U84"/>
  <sheetViews>
    <sheetView zoomScale="75" zoomScaleNormal="75" zoomScalePageLayoutView="0" workbookViewId="0" topLeftCell="A1">
      <pane ySplit="15" topLeftCell="A36" activePane="bottomLeft" state="frozen"/>
      <selection pane="topLeft" activeCell="A1" sqref="A1"/>
      <selection pane="bottomLeft" activeCell="A2" sqref="A2:U43"/>
    </sheetView>
  </sheetViews>
  <sheetFormatPr defaultColWidth="9.140625" defaultRowHeight="12.75"/>
  <cols>
    <col min="1" max="1" width="5.00390625" style="324" customWidth="1"/>
    <col min="2" max="2" width="64.140625" style="324" customWidth="1"/>
    <col min="3" max="3" width="21.57421875" style="324" customWidth="1"/>
    <col min="4" max="4" width="13.421875" style="324" hidden="1" customWidth="1"/>
    <col min="5" max="5" width="14.7109375" style="324" customWidth="1"/>
    <col min="6" max="6" width="12.8515625" style="324" customWidth="1"/>
    <col min="7" max="7" width="18.421875" style="324" customWidth="1"/>
    <col min="8" max="8" width="17.57421875" style="324" customWidth="1"/>
    <col min="9" max="9" width="15.28125" style="324" customWidth="1"/>
    <col min="10" max="10" width="12.8515625" style="324" customWidth="1"/>
    <col min="11" max="11" width="16.00390625" style="324" customWidth="1"/>
    <col min="12" max="12" width="14.140625" style="324" customWidth="1"/>
    <col min="13" max="13" width="12.421875" style="324" hidden="1" customWidth="1"/>
    <col min="14" max="14" width="14.8515625" style="324" customWidth="1"/>
    <col min="15" max="15" width="13.140625" style="324" customWidth="1"/>
    <col min="16" max="16" width="21.00390625" style="324" customWidth="1"/>
    <col min="17" max="17" width="14.57421875" style="324" customWidth="1"/>
    <col min="18" max="18" width="14.8515625" style="324" customWidth="1"/>
    <col min="19" max="19" width="13.57421875" style="324" customWidth="1"/>
    <col min="20" max="20" width="17.28125" style="324" customWidth="1"/>
    <col min="21" max="21" width="12.28125" style="324" customWidth="1"/>
  </cols>
  <sheetData>
    <row r="1" spans="1:21" ht="3.75" customHeight="1">
      <c r="A1" s="312"/>
      <c r="B1" s="312"/>
      <c r="C1" s="312"/>
      <c r="D1" s="312"/>
      <c r="E1" s="312"/>
      <c r="F1" s="312"/>
      <c r="G1" s="312"/>
      <c r="H1" s="312"/>
      <c r="I1" s="398"/>
      <c r="J1" s="398"/>
      <c r="K1" s="398"/>
      <c r="L1" s="398"/>
      <c r="M1" s="398"/>
      <c r="N1" s="398"/>
      <c r="O1" s="312"/>
      <c r="P1" s="323"/>
      <c r="Q1" s="398"/>
      <c r="R1" s="398"/>
      <c r="S1" s="398"/>
      <c r="T1" s="398"/>
      <c r="U1" s="398"/>
    </row>
    <row r="2" spans="1:21" ht="20.25" customHeight="1">
      <c r="A2" s="312"/>
      <c r="B2" s="312"/>
      <c r="C2" s="312"/>
      <c r="D2" s="312"/>
      <c r="E2" s="312"/>
      <c r="F2" s="323"/>
      <c r="G2" s="398"/>
      <c r="H2" s="398"/>
      <c r="I2" s="398"/>
      <c r="J2" s="398"/>
      <c r="K2" s="398"/>
      <c r="L2" s="398"/>
      <c r="M2" s="398"/>
      <c r="N2" s="398"/>
      <c r="O2" s="715"/>
      <c r="P2" s="715"/>
      <c r="Q2" s="312" t="s">
        <v>71</v>
      </c>
      <c r="R2" s="323"/>
      <c r="S2" s="398"/>
      <c r="T2" s="398"/>
      <c r="U2" s="700"/>
    </row>
    <row r="3" spans="1:21" ht="0.75" customHeight="1">
      <c r="A3" s="312"/>
      <c r="B3" s="312"/>
      <c r="C3" s="312"/>
      <c r="D3" s="312"/>
      <c r="E3" s="759"/>
      <c r="F3" s="759"/>
      <c r="G3" s="759"/>
      <c r="H3" s="759"/>
      <c r="I3" s="398"/>
      <c r="J3" s="398"/>
      <c r="K3" s="398"/>
      <c r="L3" s="398"/>
      <c r="M3" s="398"/>
      <c r="N3" s="398"/>
      <c r="O3" s="715"/>
      <c r="P3" s="715"/>
      <c r="Q3" s="759" t="s">
        <v>943</v>
      </c>
      <c r="R3" s="759"/>
      <c r="S3" s="759"/>
      <c r="T3" s="759"/>
      <c r="U3" s="700"/>
    </row>
    <row r="4" spans="1:20" ht="6.75" customHeight="1" hidden="1">
      <c r="A4" s="312"/>
      <c r="B4" s="312"/>
      <c r="C4" s="312"/>
      <c r="D4" s="312"/>
      <c r="E4" s="759"/>
      <c r="F4" s="759"/>
      <c r="G4" s="759"/>
      <c r="H4" s="759"/>
      <c r="I4" s="398"/>
      <c r="J4" s="398"/>
      <c r="K4" s="398"/>
      <c r="L4" s="398"/>
      <c r="M4" s="398"/>
      <c r="N4" s="398"/>
      <c r="O4" s="715"/>
      <c r="P4" s="715"/>
      <c r="Q4" s="759"/>
      <c r="R4" s="759"/>
      <c r="S4" s="759"/>
      <c r="T4" s="759"/>
    </row>
    <row r="5" spans="1:20" ht="10.5" customHeight="1">
      <c r="A5" s="312"/>
      <c r="B5" s="312"/>
      <c r="C5" s="312"/>
      <c r="D5" s="312"/>
      <c r="E5" s="759"/>
      <c r="F5" s="759"/>
      <c r="G5" s="759"/>
      <c r="H5" s="759"/>
      <c r="I5" s="398"/>
      <c r="J5" s="398"/>
      <c r="K5" s="398"/>
      <c r="L5" s="398"/>
      <c r="M5" s="398"/>
      <c r="N5" s="398"/>
      <c r="O5" s="715"/>
      <c r="P5" s="715"/>
      <c r="Q5" s="759"/>
      <c r="R5" s="759"/>
      <c r="S5" s="759"/>
      <c r="T5" s="759"/>
    </row>
    <row r="6" spans="1:20" ht="15.75">
      <c r="A6" s="312"/>
      <c r="B6" s="312"/>
      <c r="C6" s="312"/>
      <c r="D6" s="312"/>
      <c r="E6" s="759"/>
      <c r="F6" s="759"/>
      <c r="G6" s="759"/>
      <c r="H6" s="759"/>
      <c r="I6" s="398"/>
      <c r="J6" s="398"/>
      <c r="K6" s="398"/>
      <c r="L6" s="398"/>
      <c r="M6" s="398"/>
      <c r="N6" s="398"/>
      <c r="O6" s="715"/>
      <c r="P6" s="715"/>
      <c r="Q6" s="759"/>
      <c r="R6" s="759"/>
      <c r="S6" s="759"/>
      <c r="T6" s="759"/>
    </row>
    <row r="7" spans="1:20" ht="15.75">
      <c r="A7" s="312"/>
      <c r="B7" s="312"/>
      <c r="C7" s="312"/>
      <c r="D7" s="312"/>
      <c r="E7" s="759"/>
      <c r="F7" s="759"/>
      <c r="G7" s="759"/>
      <c r="H7" s="759"/>
      <c r="I7" s="398"/>
      <c r="J7" s="398"/>
      <c r="K7" s="398"/>
      <c r="L7" s="398"/>
      <c r="M7" s="398"/>
      <c r="N7" s="398"/>
      <c r="O7" s="715"/>
      <c r="P7" s="715"/>
      <c r="Q7" s="759"/>
      <c r="R7" s="759"/>
      <c r="S7" s="759"/>
      <c r="T7" s="759"/>
    </row>
    <row r="8" spans="1:20" ht="30" customHeight="1">
      <c r="A8" s="312"/>
      <c r="B8" s="312"/>
      <c r="C8" s="312"/>
      <c r="D8" s="312"/>
      <c r="E8" s="759"/>
      <c r="F8" s="759"/>
      <c r="G8" s="759"/>
      <c r="H8" s="759"/>
      <c r="I8" s="398"/>
      <c r="J8" s="398"/>
      <c r="K8" s="398"/>
      <c r="L8" s="398"/>
      <c r="M8" s="398"/>
      <c r="N8" s="398"/>
      <c r="O8" s="715"/>
      <c r="P8" s="715"/>
      <c r="Q8" s="759"/>
      <c r="R8" s="759"/>
      <c r="S8" s="759"/>
      <c r="T8" s="759"/>
    </row>
    <row r="9" spans="1:20" ht="22.5" customHeight="1">
      <c r="A9" s="312"/>
      <c r="B9" s="312"/>
      <c r="C9" s="312"/>
      <c r="D9" s="312"/>
      <c r="E9" s="759"/>
      <c r="F9" s="759"/>
      <c r="G9" s="759"/>
      <c r="H9" s="759"/>
      <c r="I9" s="398"/>
      <c r="J9" s="398"/>
      <c r="K9" s="398"/>
      <c r="L9" s="398"/>
      <c r="M9" s="398"/>
      <c r="N9" s="398"/>
      <c r="O9" s="948"/>
      <c r="P9" s="399"/>
      <c r="Q9" s="759"/>
      <c r="R9" s="759"/>
      <c r="S9" s="759"/>
      <c r="T9" s="759"/>
    </row>
    <row r="10" spans="1:20" ht="18.75" customHeight="1">
      <c r="A10" s="312"/>
      <c r="B10" s="312"/>
      <c r="C10" s="312"/>
      <c r="D10" s="312"/>
      <c r="E10" s="729"/>
      <c r="F10" s="729"/>
      <c r="G10" s="729"/>
      <c r="H10" s="729"/>
      <c r="I10" s="398"/>
      <c r="J10" s="398"/>
      <c r="K10" s="398"/>
      <c r="L10" s="398"/>
      <c r="M10" s="398"/>
      <c r="N10" s="398"/>
      <c r="O10" s="948"/>
      <c r="P10" s="729"/>
      <c r="Q10" s="759" t="s">
        <v>941</v>
      </c>
      <c r="R10" s="759"/>
      <c r="S10" s="759"/>
      <c r="T10" s="759"/>
    </row>
    <row r="11" spans="1:20" ht="15.75" customHeight="1">
      <c r="A11" s="763" t="s">
        <v>805</v>
      </c>
      <c r="B11" s="763"/>
      <c r="C11" s="763"/>
      <c r="D11" s="763"/>
      <c r="E11" s="763"/>
      <c r="F11" s="763"/>
      <c r="G11" s="763"/>
      <c r="H11" s="763"/>
      <c r="I11" s="763"/>
      <c r="J11" s="763"/>
      <c r="K11" s="763"/>
      <c r="L11" s="763"/>
      <c r="M11" s="763"/>
      <c r="N11" s="763"/>
      <c r="O11" s="763"/>
      <c r="P11" s="763"/>
      <c r="Q11" s="763"/>
      <c r="R11" s="763"/>
      <c r="S11" s="763"/>
      <c r="T11" s="763"/>
    </row>
    <row r="12" spans="1:21" ht="15.75">
      <c r="A12" s="312"/>
      <c r="B12" s="312"/>
      <c r="C12" s="312"/>
      <c r="D12" s="312"/>
      <c r="E12" s="312"/>
      <c r="F12" s="312"/>
      <c r="G12" s="312"/>
      <c r="H12" s="312"/>
      <c r="I12" s="312"/>
      <c r="J12" s="312"/>
      <c r="K12" s="312"/>
      <c r="L12" s="312"/>
      <c r="M12" s="764"/>
      <c r="N12" s="764"/>
      <c r="O12" s="764"/>
      <c r="P12" s="764"/>
      <c r="Q12" s="764"/>
      <c r="R12" s="764"/>
      <c r="S12" s="764"/>
      <c r="T12" s="764"/>
      <c r="U12" s="324" t="s">
        <v>391</v>
      </c>
    </row>
    <row r="13" spans="1:21" ht="15.75" customHeight="1">
      <c r="A13" s="736" t="s">
        <v>6</v>
      </c>
      <c r="B13" s="736" t="s">
        <v>120</v>
      </c>
      <c r="C13" s="736" t="s">
        <v>393</v>
      </c>
      <c r="D13" s="402"/>
      <c r="E13" s="749" t="s">
        <v>121</v>
      </c>
      <c r="F13" s="760"/>
      <c r="G13" s="760"/>
      <c r="H13" s="750"/>
      <c r="I13" s="749" t="s">
        <v>9</v>
      </c>
      <c r="J13" s="760"/>
      <c r="K13" s="760"/>
      <c r="L13" s="760"/>
      <c r="M13" s="760"/>
      <c r="N13" s="760"/>
      <c r="O13" s="760"/>
      <c r="P13" s="760"/>
      <c r="Q13" s="760"/>
      <c r="R13" s="760"/>
      <c r="S13" s="760"/>
      <c r="T13" s="760"/>
      <c r="U13" s="750"/>
    </row>
    <row r="14" spans="1:21" ht="27.75" customHeight="1">
      <c r="A14" s="737"/>
      <c r="B14" s="737"/>
      <c r="C14" s="737"/>
      <c r="D14" s="396"/>
      <c r="E14" s="736" t="s">
        <v>122</v>
      </c>
      <c r="F14" s="736" t="s">
        <v>123</v>
      </c>
      <c r="G14" s="451"/>
      <c r="H14" s="736" t="s">
        <v>239</v>
      </c>
      <c r="I14" s="749">
        <v>2021</v>
      </c>
      <c r="J14" s="760"/>
      <c r="K14" s="760"/>
      <c r="L14" s="750"/>
      <c r="M14" s="736" t="s">
        <v>125</v>
      </c>
      <c r="N14" s="749">
        <v>2022</v>
      </c>
      <c r="O14" s="760"/>
      <c r="P14" s="760"/>
      <c r="Q14" s="750"/>
      <c r="R14" s="749">
        <v>2023</v>
      </c>
      <c r="S14" s="760"/>
      <c r="T14" s="760"/>
      <c r="U14" s="750"/>
    </row>
    <row r="15" spans="1:21" ht="56.25">
      <c r="A15" s="738"/>
      <c r="B15" s="738"/>
      <c r="C15" s="738"/>
      <c r="D15" s="397"/>
      <c r="E15" s="738"/>
      <c r="F15" s="738"/>
      <c r="G15" s="452" t="s">
        <v>746</v>
      </c>
      <c r="H15" s="738"/>
      <c r="I15" s="395" t="s">
        <v>122</v>
      </c>
      <c r="J15" s="395" t="s">
        <v>123</v>
      </c>
      <c r="K15" s="543" t="s">
        <v>746</v>
      </c>
      <c r="L15" s="395" t="s">
        <v>239</v>
      </c>
      <c r="M15" s="738"/>
      <c r="N15" s="395" t="s">
        <v>122</v>
      </c>
      <c r="O15" s="395" t="s">
        <v>123</v>
      </c>
      <c r="P15" s="543" t="s">
        <v>746</v>
      </c>
      <c r="Q15" s="395" t="s">
        <v>239</v>
      </c>
      <c r="R15" s="395" t="s">
        <v>122</v>
      </c>
      <c r="S15" s="395" t="s">
        <v>123</v>
      </c>
      <c r="T15" s="543" t="s">
        <v>746</v>
      </c>
      <c r="U15" s="395" t="s">
        <v>239</v>
      </c>
    </row>
    <row r="16" spans="1:21" ht="43.5" customHeight="1">
      <c r="A16" s="220">
        <v>1</v>
      </c>
      <c r="B16" s="164" t="s">
        <v>289</v>
      </c>
      <c r="C16" s="125">
        <f>E16+F16+G16+H16</f>
        <v>1275178.2</v>
      </c>
      <c r="D16" s="125" t="e">
        <f>E16+F16+#REF!</f>
        <v>#REF!</v>
      </c>
      <c r="E16" s="125"/>
      <c r="F16" s="125"/>
      <c r="G16" s="125">
        <f>K16+P16+T16</f>
        <v>1275178.2</v>
      </c>
      <c r="H16" s="129"/>
      <c r="I16" s="125"/>
      <c r="J16" s="125"/>
      <c r="K16" s="125">
        <f>'дод 3  Трансп.інфрастр.   (2)'!E45</f>
        <v>413159.7</v>
      </c>
      <c r="L16" s="403"/>
      <c r="M16" s="125" t="e">
        <f>#REF!</f>
        <v>#REF!</v>
      </c>
      <c r="N16" s="125"/>
      <c r="O16" s="125"/>
      <c r="P16" s="125">
        <f>'дод 3  Трансп.інфрастр.   (2)'!F45</f>
        <v>413461.69999999995</v>
      </c>
      <c r="Q16" s="125"/>
      <c r="R16" s="125"/>
      <c r="S16" s="125"/>
      <c r="T16" s="125">
        <f>'дод 3  Трансп.інфрастр.   (2)'!G45</f>
        <v>448556.8</v>
      </c>
      <c r="U16" s="404"/>
    </row>
    <row r="17" spans="1:21" ht="41.25" customHeight="1">
      <c r="A17" s="220">
        <f>A16+1</f>
        <v>2</v>
      </c>
      <c r="B17" s="164" t="s">
        <v>126</v>
      </c>
      <c r="C17" s="125">
        <f aca="true" t="shared" si="0" ref="C17:C35">E17+F17+G17+H17</f>
        <v>269084.6</v>
      </c>
      <c r="D17" s="125" t="e">
        <f>E17+F17+#REF!</f>
        <v>#REF!</v>
      </c>
      <c r="E17" s="125"/>
      <c r="F17" s="125"/>
      <c r="G17" s="125">
        <f aca="true" t="shared" si="1" ref="G17:G35">K17+P17+T17</f>
        <v>269084.6</v>
      </c>
      <c r="H17" s="129"/>
      <c r="I17" s="125"/>
      <c r="J17" s="125"/>
      <c r="K17" s="125">
        <f>'дод 4 Свет '!E30</f>
        <v>88334.3</v>
      </c>
      <c r="L17" s="404"/>
      <c r="M17" s="125"/>
      <c r="N17" s="125"/>
      <c r="O17" s="125"/>
      <c r="P17" s="125">
        <f>'дод 4 Свет '!F30</f>
        <v>87743</v>
      </c>
      <c r="Q17" s="125"/>
      <c r="R17" s="125"/>
      <c r="S17" s="125"/>
      <c r="T17" s="125">
        <f>'дод 4 Свет '!J30</f>
        <v>93007.3</v>
      </c>
      <c r="U17" s="404"/>
    </row>
    <row r="18" spans="1:21" ht="61.5" customHeight="1">
      <c r="A18" s="220">
        <f aca="true" t="shared" si="2" ref="A18:A24">A17+1</f>
        <v>3</v>
      </c>
      <c r="B18" s="164" t="s">
        <v>810</v>
      </c>
      <c r="C18" s="125">
        <f>E18+F18+G18+H18</f>
        <v>146764.2</v>
      </c>
      <c r="D18" s="125" t="e">
        <f>E18+F18+#REF!</f>
        <v>#REF!</v>
      </c>
      <c r="E18" s="125"/>
      <c r="F18" s="125"/>
      <c r="G18" s="125">
        <f>K18+P18+T18</f>
        <v>144421.30000000002</v>
      </c>
      <c r="H18" s="125">
        <f>L18+Q18+U18</f>
        <v>2342.9</v>
      </c>
      <c r="I18" s="125"/>
      <c r="J18" s="125"/>
      <c r="K18" s="36">
        <f>'дод 5 озеленення  (2)'!E85-'дод 5 озеленення  (2)'!E60</f>
        <v>60349.700000000004</v>
      </c>
      <c r="L18" s="405">
        <f>'дод 5 озеленення  (2)'!E60</f>
        <v>732.6</v>
      </c>
      <c r="M18" s="125"/>
      <c r="N18" s="125"/>
      <c r="O18" s="125"/>
      <c r="P18" s="125">
        <f>'дод 5 озеленення  (2)'!F85-'дод 5 озеленення  (2)'!F60</f>
        <v>40617</v>
      </c>
      <c r="Q18" s="125">
        <f>'дод 5 озеленення  (2)'!F60</f>
        <v>781.7</v>
      </c>
      <c r="R18" s="125"/>
      <c r="S18" s="125"/>
      <c r="T18" s="125">
        <f>'дод 5 озеленення  (2)'!G85-'дод 5 озеленення  (2)'!G60</f>
        <v>43454.6</v>
      </c>
      <c r="U18" s="405">
        <f>'дод 5 озеленення  (2)'!G60</f>
        <v>828.6</v>
      </c>
    </row>
    <row r="19" spans="1:21" ht="31.5" customHeight="1">
      <c r="A19" s="669">
        <f t="shared" si="2"/>
        <v>4</v>
      </c>
      <c r="B19" s="164" t="s">
        <v>915</v>
      </c>
      <c r="C19" s="125">
        <f>E19+F19+G19+H19</f>
        <v>5700</v>
      </c>
      <c r="D19" s="125"/>
      <c r="E19" s="125"/>
      <c r="F19" s="125"/>
      <c r="G19" s="125"/>
      <c r="H19" s="125">
        <f>L19+Q19+U19</f>
        <v>5700</v>
      </c>
      <c r="I19" s="125"/>
      <c r="J19" s="125"/>
      <c r="K19" s="36"/>
      <c r="L19" s="405">
        <f>'дод 16  цільовий фонд '!E21</f>
        <v>1750</v>
      </c>
      <c r="M19" s="125"/>
      <c r="N19" s="125"/>
      <c r="O19" s="125"/>
      <c r="P19" s="125"/>
      <c r="Q19" s="125">
        <f>'дод 16  цільовий фонд '!F21</f>
        <v>1900</v>
      </c>
      <c r="R19" s="125"/>
      <c r="S19" s="125"/>
      <c r="T19" s="125"/>
      <c r="U19" s="405">
        <f>'дод 16  цільовий фонд '!G21</f>
        <v>2050</v>
      </c>
    </row>
    <row r="20" spans="1:21" ht="61.5" customHeight="1">
      <c r="A20" s="669">
        <f t="shared" si="2"/>
        <v>5</v>
      </c>
      <c r="B20" s="164" t="s">
        <v>127</v>
      </c>
      <c r="C20" s="125">
        <f>E20+F20+G20+H20</f>
        <v>84035.29999999999</v>
      </c>
      <c r="D20" s="125" t="e">
        <f>E20+F20+#REF!</f>
        <v>#REF!</v>
      </c>
      <c r="E20" s="125"/>
      <c r="F20" s="125"/>
      <c r="G20" s="125">
        <f t="shared" si="1"/>
        <v>83935.29999999999</v>
      </c>
      <c r="H20" s="125">
        <f>L20+Q20+U20</f>
        <v>100</v>
      </c>
      <c r="I20" s="125"/>
      <c r="J20" s="125"/>
      <c r="K20" s="36">
        <f>'дод 6  Кладовища '!E32-'дод 6  Кладовища '!E28</f>
        <v>26241.1</v>
      </c>
      <c r="L20" s="405">
        <f>'дод 6  Кладовища '!E28</f>
        <v>50</v>
      </c>
      <c r="M20" s="125"/>
      <c r="N20" s="125"/>
      <c r="O20" s="125"/>
      <c r="P20" s="125">
        <f>'дод 6  Кладовища '!F32-'дод 6  Кладовища '!F28</f>
        <v>27723.399999999998</v>
      </c>
      <c r="Q20" s="125">
        <f>'дод 6  Кладовища '!F28</f>
        <v>50</v>
      </c>
      <c r="R20" s="125"/>
      <c r="S20" s="125"/>
      <c r="T20" s="125">
        <f>'дод 6  Кладовища '!G32-'дод 6  Кладовища '!G28</f>
        <v>29970.799999999996</v>
      </c>
      <c r="U20" s="405">
        <f>'дод 6  Кладовища '!G28</f>
        <v>0</v>
      </c>
    </row>
    <row r="21" spans="1:21" ht="31.5" customHeight="1">
      <c r="A21" s="669">
        <f t="shared" si="2"/>
        <v>6</v>
      </c>
      <c r="B21" s="164" t="s">
        <v>128</v>
      </c>
      <c r="C21" s="125">
        <f t="shared" si="0"/>
        <v>32390.399999999998</v>
      </c>
      <c r="D21" s="125" t="e">
        <f>E21+F21+#REF!</f>
        <v>#REF!</v>
      </c>
      <c r="E21" s="125"/>
      <c r="F21" s="125"/>
      <c r="G21" s="125">
        <f t="shared" si="1"/>
        <v>32390.399999999998</v>
      </c>
      <c r="H21" s="129"/>
      <c r="I21" s="125"/>
      <c r="J21" s="125"/>
      <c r="K21" s="36">
        <f>'дод 7  сан очистка'!E26</f>
        <v>9808</v>
      </c>
      <c r="L21" s="404"/>
      <c r="M21" s="125"/>
      <c r="N21" s="125"/>
      <c r="O21" s="125"/>
      <c r="P21" s="125">
        <f>'дод 7  сан очистка'!F26</f>
        <v>10971.099999999999</v>
      </c>
      <c r="Q21" s="125"/>
      <c r="R21" s="125"/>
      <c r="S21" s="125"/>
      <c r="T21" s="125">
        <f>'дод 7  сан очистка'!J26</f>
        <v>11611.3</v>
      </c>
      <c r="U21" s="404"/>
    </row>
    <row r="22" spans="1:21" ht="45.75" customHeight="1">
      <c r="A22" s="669">
        <f t="shared" si="2"/>
        <v>7</v>
      </c>
      <c r="B22" s="164" t="s">
        <v>129</v>
      </c>
      <c r="C22" s="125">
        <f t="shared" si="0"/>
        <v>32753.4</v>
      </c>
      <c r="D22" s="125" t="e">
        <f>E22+F22+#REF!</f>
        <v>#REF!</v>
      </c>
      <c r="E22" s="125"/>
      <c r="F22" s="125"/>
      <c r="G22" s="125">
        <f t="shared" si="1"/>
        <v>32753.4</v>
      </c>
      <c r="H22" s="129"/>
      <c r="I22" s="125"/>
      <c r="J22" s="125"/>
      <c r="K22" s="36">
        <f>'дод 8 Пот Благуострій'!E29</f>
        <v>10361.900000000001</v>
      </c>
      <c r="L22" s="404"/>
      <c r="M22" s="125"/>
      <c r="N22" s="125"/>
      <c r="O22" s="125"/>
      <c r="P22" s="125">
        <f>'дод 8 Пот Благуострій'!G29</f>
        <v>10854.400000000001</v>
      </c>
      <c r="Q22" s="125"/>
      <c r="R22" s="125"/>
      <c r="S22" s="125"/>
      <c r="T22" s="125">
        <f>'дод 8 Пот Благуострій'!H29</f>
        <v>11537.099999999999</v>
      </c>
      <c r="U22" s="404"/>
    </row>
    <row r="23" spans="1:21" ht="49.5" customHeight="1">
      <c r="A23" s="669">
        <f t="shared" si="2"/>
        <v>8</v>
      </c>
      <c r="B23" s="164" t="s">
        <v>130</v>
      </c>
      <c r="C23" s="125">
        <f t="shared" si="0"/>
        <v>5677.5</v>
      </c>
      <c r="D23" s="125" t="e">
        <f>E23+F23+#REF!</f>
        <v>#REF!</v>
      </c>
      <c r="E23" s="125"/>
      <c r="F23" s="125"/>
      <c r="G23" s="125">
        <f t="shared" si="1"/>
        <v>5677.5</v>
      </c>
      <c r="H23" s="129"/>
      <c r="I23" s="125"/>
      <c r="J23" s="125"/>
      <c r="K23" s="36">
        <f>'дод 9  Тварини'!E16</f>
        <v>1775.3</v>
      </c>
      <c r="L23" s="404"/>
      <c r="M23" s="125"/>
      <c r="N23" s="125"/>
      <c r="O23" s="125"/>
      <c r="P23" s="125">
        <f>'дод 9  Тварини'!F16</f>
        <v>1894.3</v>
      </c>
      <c r="Q23" s="125"/>
      <c r="R23" s="125"/>
      <c r="S23" s="125"/>
      <c r="T23" s="125">
        <f>'дод 9  Тварини'!J16</f>
        <v>2007.9</v>
      </c>
      <c r="U23" s="404"/>
    </row>
    <row r="24" spans="1:21" ht="37.5">
      <c r="A24" s="669">
        <f t="shared" si="2"/>
        <v>9</v>
      </c>
      <c r="B24" s="164" t="s">
        <v>811</v>
      </c>
      <c r="C24" s="125">
        <f t="shared" si="0"/>
        <v>63278.200000000004</v>
      </c>
      <c r="D24" s="125" t="e">
        <f>E24+F24+#REF!</f>
        <v>#REF!</v>
      </c>
      <c r="E24" s="125"/>
      <c r="F24" s="125"/>
      <c r="G24" s="125">
        <f t="shared" si="1"/>
        <v>63278.200000000004</v>
      </c>
      <c r="H24" s="129"/>
      <c r="I24" s="125"/>
      <c r="J24" s="125"/>
      <c r="K24" s="36">
        <f>'дод 10  Кап Благоустрою інші'!E16</f>
        <v>19786.7</v>
      </c>
      <c r="L24" s="404"/>
      <c r="M24" s="125"/>
      <c r="N24" s="125"/>
      <c r="O24" s="125"/>
      <c r="P24" s="125">
        <f>'дод 10  Кап Благоустрою інші'!F16</f>
        <v>21112.4</v>
      </c>
      <c r="Q24" s="125"/>
      <c r="R24" s="125"/>
      <c r="S24" s="125"/>
      <c r="T24" s="125">
        <f>'дод 10  Кап Благоустрою інші'!J16</f>
        <v>22379.1</v>
      </c>
      <c r="U24" s="404"/>
    </row>
    <row r="25" spans="1:21" ht="47.25" customHeight="1">
      <c r="A25" s="669">
        <v>11</v>
      </c>
      <c r="B25" s="164" t="s">
        <v>812</v>
      </c>
      <c r="C25" s="125">
        <f t="shared" si="0"/>
        <v>58956.299999999996</v>
      </c>
      <c r="D25" s="125" t="e">
        <f>E25+F25+#REF!</f>
        <v>#REF!</v>
      </c>
      <c r="E25" s="125"/>
      <c r="F25" s="125"/>
      <c r="G25" s="125">
        <f t="shared" si="1"/>
        <v>58956.299999999996</v>
      </c>
      <c r="H25" s="129"/>
      <c r="I25" s="125"/>
      <c r="J25" s="125"/>
      <c r="K25" s="36">
        <f>'дод 11   кап ремонт житло. '!E32</f>
        <v>18435.3</v>
      </c>
      <c r="L25" s="404"/>
      <c r="M25" s="125"/>
      <c r="N25" s="125"/>
      <c r="O25" s="125"/>
      <c r="P25" s="125">
        <f>'дод 11   кап ремонт житло. '!F32</f>
        <v>19670.4</v>
      </c>
      <c r="Q25" s="125"/>
      <c r="R25" s="125"/>
      <c r="S25" s="125"/>
      <c r="T25" s="125">
        <f>'дод 11   кап ремонт житло. '!J32</f>
        <v>20850.6</v>
      </c>
      <c r="U25" s="404"/>
    </row>
    <row r="26" spans="1:21" ht="60" customHeight="1">
      <c r="A26" s="669">
        <v>12</v>
      </c>
      <c r="B26" s="164" t="s">
        <v>131</v>
      </c>
      <c r="C26" s="125">
        <f t="shared" si="0"/>
        <v>11118</v>
      </c>
      <c r="D26" s="359" t="e">
        <f>E26+F26+#REF!</f>
        <v>#REF!</v>
      </c>
      <c r="E26" s="359"/>
      <c r="F26" s="359"/>
      <c r="G26" s="125">
        <f t="shared" si="1"/>
        <v>11118</v>
      </c>
      <c r="H26" s="132"/>
      <c r="I26" s="359"/>
      <c r="J26" s="359"/>
      <c r="K26" s="36">
        <f>'дод 12 Святкові   '!E54</f>
        <v>4874</v>
      </c>
      <c r="L26" s="406"/>
      <c r="M26" s="359"/>
      <c r="N26" s="359"/>
      <c r="O26" s="359"/>
      <c r="P26" s="125">
        <f>'дод 12 Святкові   '!F54</f>
        <v>2995.3</v>
      </c>
      <c r="Q26" s="359"/>
      <c r="R26" s="359"/>
      <c r="S26" s="359"/>
      <c r="T26" s="125">
        <f>'дод 12 Святкові   '!J54</f>
        <v>3248.7</v>
      </c>
      <c r="U26" s="404"/>
    </row>
    <row r="27" spans="1:21" ht="54" customHeight="1">
      <c r="A27" s="669">
        <v>13</v>
      </c>
      <c r="B27" s="164" t="s">
        <v>872</v>
      </c>
      <c r="C27" s="125">
        <f>E27+F27+G27+H27</f>
        <v>15975.242999999999</v>
      </c>
      <c r="D27" s="359"/>
      <c r="E27" s="359"/>
      <c r="F27" s="359"/>
      <c r="G27" s="125">
        <f>K27+P27+T27</f>
        <v>10615.632</v>
      </c>
      <c r="H27" s="359">
        <f>L27+Q27+U27</f>
        <v>5359.611</v>
      </c>
      <c r="I27" s="359"/>
      <c r="J27" s="359"/>
      <c r="K27" s="36">
        <f>'дод 13 інша діяльність 6090'!E72-'дод 13 інша діяльність 6090'!E30</f>
        <v>6093.88</v>
      </c>
      <c r="L27" s="678">
        <f>'дод 13 інша діяльність 6090'!E30</f>
        <v>1785</v>
      </c>
      <c r="M27" s="359"/>
      <c r="N27" s="359"/>
      <c r="O27" s="359"/>
      <c r="P27" s="125">
        <f>'дод 13 інша діяльність 6090'!F72-'дод 13 інша діяльність 6090'!F30</f>
        <v>2244.6</v>
      </c>
      <c r="Q27" s="125">
        <f>'дод 13 інша діяльність 6090'!F30</f>
        <v>1785</v>
      </c>
      <c r="R27" s="359"/>
      <c r="S27" s="359"/>
      <c r="T27" s="125">
        <f>'дод 13 інша діяльність 6090'!J72-'дод 13 інша діяльність 6090'!J30</f>
        <v>2277.152</v>
      </c>
      <c r="U27" s="678">
        <f>'дод 13 інша діяльність 6090'!J30</f>
        <v>1789.611</v>
      </c>
    </row>
    <row r="28" spans="1:21" ht="46.5" customHeight="1">
      <c r="A28" s="669">
        <v>14</v>
      </c>
      <c r="B28" s="164" t="s">
        <v>132</v>
      </c>
      <c r="C28" s="125">
        <f t="shared" si="0"/>
        <v>38657.3</v>
      </c>
      <c r="D28" s="125" t="e">
        <f>E28+F28+#REF!</f>
        <v>#REF!</v>
      </c>
      <c r="E28" s="125"/>
      <c r="F28" s="125"/>
      <c r="G28" s="125">
        <f t="shared" si="1"/>
        <v>38657.3</v>
      </c>
      <c r="H28" s="129"/>
      <c r="I28" s="125"/>
      <c r="J28" s="125"/>
      <c r="K28" s="36">
        <f>'дод 14   Вода  '!E47</f>
        <v>31077</v>
      </c>
      <c r="L28" s="404"/>
      <c r="M28" s="125"/>
      <c r="N28" s="125"/>
      <c r="O28" s="125"/>
      <c r="P28" s="125">
        <f>'дод 14   Вода  '!F47</f>
        <v>3680</v>
      </c>
      <c r="Q28" s="125"/>
      <c r="R28" s="125"/>
      <c r="S28" s="125"/>
      <c r="T28" s="125">
        <f>'дод 14   Вода  '!J47</f>
        <v>3900.3</v>
      </c>
      <c r="U28" s="404"/>
    </row>
    <row r="29" spans="1:21" ht="52.5" customHeight="1">
      <c r="A29" s="669">
        <v>15</v>
      </c>
      <c r="B29" s="164" t="s">
        <v>813</v>
      </c>
      <c r="C29" s="125">
        <f t="shared" si="0"/>
        <v>7043.200000000001</v>
      </c>
      <c r="D29" s="125" t="e">
        <f>E29+F29+#REF!</f>
        <v>#REF!</v>
      </c>
      <c r="E29" s="125"/>
      <c r="F29" s="125"/>
      <c r="G29" s="125">
        <f t="shared" si="1"/>
        <v>7043.200000000001</v>
      </c>
      <c r="H29" s="129"/>
      <c r="I29" s="125"/>
      <c r="J29" s="125"/>
      <c r="K29" s="36">
        <f>'дод 15  финпидтримка  '!E40</f>
        <v>6383.8</v>
      </c>
      <c r="L29" s="404"/>
      <c r="M29" s="125"/>
      <c r="N29" s="125"/>
      <c r="O29" s="125"/>
      <c r="P29" s="125">
        <f>'дод 15  финпидтримка  '!F40</f>
        <v>320.1</v>
      </c>
      <c r="Q29" s="125"/>
      <c r="R29" s="125"/>
      <c r="S29" s="125"/>
      <c r="T29" s="125">
        <f>'дод 15  финпидтримка  '!J40</f>
        <v>339.3</v>
      </c>
      <c r="U29" s="404"/>
    </row>
    <row r="30" spans="1:21" ht="27.75" customHeight="1">
      <c r="A30" s="669">
        <v>16</v>
      </c>
      <c r="B30" s="164" t="s">
        <v>133</v>
      </c>
      <c r="C30" s="125">
        <f t="shared" si="0"/>
        <v>11992.6</v>
      </c>
      <c r="D30" s="125"/>
      <c r="E30" s="125"/>
      <c r="F30" s="125"/>
      <c r="G30" s="125">
        <f t="shared" si="1"/>
        <v>11992.6</v>
      </c>
      <c r="H30" s="129"/>
      <c r="I30" s="125"/>
      <c r="J30" s="125"/>
      <c r="K30" s="36">
        <f>'дод 17  Енргозбер. заходи'!E20</f>
        <v>3750</v>
      </c>
      <c r="L30" s="404"/>
      <c r="M30" s="125"/>
      <c r="N30" s="125"/>
      <c r="O30" s="125"/>
      <c r="P30" s="125">
        <f>'дод 17  Енргозбер. заходи'!F20</f>
        <v>4001.3</v>
      </c>
      <c r="Q30" s="125"/>
      <c r="R30" s="125"/>
      <c r="S30" s="125"/>
      <c r="T30" s="125">
        <f>'дод 17  Енргозбер. заходи'!J20</f>
        <v>4241.3</v>
      </c>
      <c r="U30" s="404"/>
    </row>
    <row r="31" spans="1:21" ht="44.25" customHeight="1">
      <c r="A31" s="669">
        <v>17</v>
      </c>
      <c r="B31" s="164" t="s">
        <v>814</v>
      </c>
      <c r="C31" s="125">
        <f t="shared" si="0"/>
        <v>20042.05</v>
      </c>
      <c r="D31" s="125"/>
      <c r="E31" s="125"/>
      <c r="F31" s="125"/>
      <c r="G31" s="125">
        <f t="shared" si="1"/>
        <v>20042.05</v>
      </c>
      <c r="H31" s="129"/>
      <c r="I31" s="125"/>
      <c r="J31" s="125"/>
      <c r="K31" s="36">
        <f>'дод 18 статут зміцн.мат.тех.'!E133</f>
        <v>20042.05</v>
      </c>
      <c r="L31" s="404"/>
      <c r="M31" s="125"/>
      <c r="N31" s="125"/>
      <c r="O31" s="125"/>
      <c r="P31" s="125">
        <f>'дод 18 статут зміцн.мат.тех.'!F133</f>
        <v>0</v>
      </c>
      <c r="Q31" s="125"/>
      <c r="R31" s="125"/>
      <c r="S31" s="125"/>
      <c r="T31" s="125">
        <f>'дод 18 статут зміцн.мат.тех.'!I133</f>
        <v>0</v>
      </c>
      <c r="U31" s="404"/>
    </row>
    <row r="32" spans="1:21" ht="56.25">
      <c r="A32" s="669">
        <v>18</v>
      </c>
      <c r="B32" s="164" t="s">
        <v>72</v>
      </c>
      <c r="C32" s="125">
        <f t="shared" si="0"/>
        <v>7000</v>
      </c>
      <c r="D32" s="125"/>
      <c r="E32" s="125"/>
      <c r="F32" s="125"/>
      <c r="G32" s="125">
        <f t="shared" si="1"/>
        <v>7000</v>
      </c>
      <c r="H32" s="129"/>
      <c r="I32" s="125"/>
      <c r="J32" s="125"/>
      <c r="K32" s="36">
        <f>'дод 19  Субв. Сироватк (Крас '!E18</f>
        <v>7000</v>
      </c>
      <c r="L32" s="404"/>
      <c r="M32" s="125"/>
      <c r="N32" s="125"/>
      <c r="O32" s="125"/>
      <c r="P32" s="125">
        <f>'дод 19  Субв. Сироватк (Крас '!F18</f>
        <v>0</v>
      </c>
      <c r="Q32" s="125"/>
      <c r="R32" s="125"/>
      <c r="S32" s="125"/>
      <c r="T32" s="125">
        <f>'дод 19  Субв. Сироватк (Крас '!J18</f>
        <v>0</v>
      </c>
      <c r="U32" s="404"/>
    </row>
    <row r="33" spans="1:21" ht="62.25" customHeight="1">
      <c r="A33" s="669">
        <v>19</v>
      </c>
      <c r="B33" s="164" t="s">
        <v>815</v>
      </c>
      <c r="C33" s="125">
        <f t="shared" si="0"/>
        <v>960</v>
      </c>
      <c r="D33" s="125"/>
      <c r="E33" s="125"/>
      <c r="F33" s="125"/>
      <c r="G33" s="125">
        <f t="shared" si="1"/>
        <v>960</v>
      </c>
      <c r="H33" s="129"/>
      <c r="I33" s="125"/>
      <c r="J33" s="125"/>
      <c r="K33" s="36">
        <f>'дод 20  паспорт дом  '!E21</f>
        <v>300</v>
      </c>
      <c r="L33" s="404"/>
      <c r="M33" s="125"/>
      <c r="N33" s="125"/>
      <c r="O33" s="125"/>
      <c r="P33" s="125">
        <f>'дод 20  паспорт дом  '!F21</f>
        <v>320</v>
      </c>
      <c r="Q33" s="125"/>
      <c r="R33" s="125"/>
      <c r="S33" s="125"/>
      <c r="T33" s="125">
        <f>'дод 20  паспорт дом  '!J21</f>
        <v>340</v>
      </c>
      <c r="U33" s="478"/>
    </row>
    <row r="34" spans="1:21" ht="30.75" customHeight="1">
      <c r="A34" s="669">
        <v>20</v>
      </c>
      <c r="B34" s="164" t="s">
        <v>290</v>
      </c>
      <c r="C34" s="125">
        <f t="shared" si="0"/>
        <v>245197.59999999998</v>
      </c>
      <c r="D34" s="125"/>
      <c r="E34" s="125"/>
      <c r="F34" s="125"/>
      <c r="G34" s="125">
        <f t="shared" si="1"/>
        <v>245197.59999999998</v>
      </c>
      <c r="H34" s="129"/>
      <c r="I34" s="125"/>
      <c r="J34" s="125"/>
      <c r="K34" s="125">
        <f>'дод.21 Буд.реставр. та реконстр'!E62</f>
        <v>92350</v>
      </c>
      <c r="L34" s="404"/>
      <c r="M34" s="125"/>
      <c r="N34" s="125"/>
      <c r="O34" s="125"/>
      <c r="P34" s="125">
        <f>'дод.21 Буд.реставр. та реконстр'!F62</f>
        <v>76733.8</v>
      </c>
      <c r="Q34" s="125"/>
      <c r="R34" s="125"/>
      <c r="S34" s="125"/>
      <c r="T34" s="125">
        <f>'дод.21 Буд.реставр. та реконстр'!G62</f>
        <v>76113.8</v>
      </c>
      <c r="U34" s="404"/>
    </row>
    <row r="35" spans="1:21" ht="37.5">
      <c r="A35" s="220">
        <v>21</v>
      </c>
      <c r="B35" s="164" t="s">
        <v>134</v>
      </c>
      <c r="C35" s="125">
        <f t="shared" si="0"/>
        <v>-2794.09</v>
      </c>
      <c r="D35" s="125"/>
      <c r="E35" s="125"/>
      <c r="F35" s="125"/>
      <c r="G35" s="125">
        <f t="shared" si="1"/>
        <v>-2794.09</v>
      </c>
      <c r="H35" s="129"/>
      <c r="I35" s="125"/>
      <c r="J35" s="125"/>
      <c r="K35" s="125">
        <f>'дод 22 Поверн  бюдж позичок'!E19</f>
        <v>-2794.09</v>
      </c>
      <c r="L35" s="404"/>
      <c r="M35" s="125"/>
      <c r="N35" s="125"/>
      <c r="O35" s="125"/>
      <c r="P35" s="125">
        <f>'дод 22 Поверн  бюдж позичок'!F19</f>
        <v>0</v>
      </c>
      <c r="Q35" s="125"/>
      <c r="R35" s="125"/>
      <c r="S35" s="125"/>
      <c r="T35" s="125">
        <f>'дод 22 Поверн  бюдж позичок'!J19</f>
        <v>0</v>
      </c>
      <c r="U35" s="404"/>
    </row>
    <row r="36" spans="1:21" ht="35.25" customHeight="1">
      <c r="A36" s="765" t="s">
        <v>5</v>
      </c>
      <c r="B36" s="766"/>
      <c r="C36" s="586">
        <f>E36+F36+G36+H36</f>
        <v>2329010.0030000005</v>
      </c>
      <c r="D36" s="586" t="e">
        <f>D16+D17+D18+D20+D21+D22+D23+D24+D25+D26+D28+D29+D30+D31+D32+D33+D34+D35</f>
        <v>#REF!</v>
      </c>
      <c r="E36" s="586">
        <f>I36+N36+R36</f>
        <v>0</v>
      </c>
      <c r="F36" s="586">
        <f>J36+O36+S36</f>
        <v>0</v>
      </c>
      <c r="G36" s="586">
        <f>K36+P36+T36</f>
        <v>2315507.4920000006</v>
      </c>
      <c r="H36" s="586">
        <f>L36+Q36+U36</f>
        <v>13502.510999999999</v>
      </c>
      <c r="I36" s="586">
        <f aca="true" t="shared" si="3" ref="I36:U36">SUM(I16:I35)</f>
        <v>0</v>
      </c>
      <c r="J36" s="586">
        <f t="shared" si="3"/>
        <v>0</v>
      </c>
      <c r="K36" s="586">
        <f>SUM(K16:K35)</f>
        <v>817328.6400000001</v>
      </c>
      <c r="L36" s="586">
        <f t="shared" si="3"/>
        <v>4317.6</v>
      </c>
      <c r="M36" s="586" t="e">
        <f t="shared" si="3"/>
        <v>#REF!</v>
      </c>
      <c r="N36" s="586">
        <f t="shared" si="3"/>
        <v>0</v>
      </c>
      <c r="O36" s="586">
        <f t="shared" si="3"/>
        <v>0</v>
      </c>
      <c r="P36" s="586">
        <f t="shared" si="3"/>
        <v>724342.8000000002</v>
      </c>
      <c r="Q36" s="586">
        <f t="shared" si="3"/>
        <v>4516.7</v>
      </c>
      <c r="R36" s="586">
        <f t="shared" si="3"/>
        <v>0</v>
      </c>
      <c r="S36" s="586">
        <f t="shared" si="3"/>
        <v>0</v>
      </c>
      <c r="T36" s="586">
        <f>SUM(T16:T35)</f>
        <v>773836.0520000001</v>
      </c>
      <c r="U36" s="586">
        <f t="shared" si="3"/>
        <v>4668.211</v>
      </c>
    </row>
    <row r="37" spans="1:20" ht="15" customHeight="1">
      <c r="A37" s="134"/>
      <c r="B37" s="134"/>
      <c r="C37" s="313"/>
      <c r="D37" s="313"/>
      <c r="E37" s="313"/>
      <c r="F37" s="313"/>
      <c r="G37" s="313"/>
      <c r="H37" s="313"/>
      <c r="I37" s="313"/>
      <c r="J37" s="313"/>
      <c r="K37" s="313"/>
      <c r="L37" s="313"/>
      <c r="M37" s="313"/>
      <c r="N37" s="313"/>
      <c r="O37" s="313"/>
      <c r="P37" s="313"/>
      <c r="Q37" s="313"/>
      <c r="R37" s="313"/>
      <c r="S37" s="313"/>
      <c r="T37" s="313"/>
    </row>
    <row r="38" spans="1:20" ht="10.5" customHeight="1" hidden="1">
      <c r="A38" s="134"/>
      <c r="B38" s="134"/>
      <c r="C38" s="313"/>
      <c r="D38" s="313"/>
      <c r="E38" s="313"/>
      <c r="F38" s="313"/>
      <c r="G38" s="313"/>
      <c r="H38" s="313"/>
      <c r="I38" s="313"/>
      <c r="J38" s="313"/>
      <c r="K38" s="313"/>
      <c r="L38" s="313"/>
      <c r="M38" s="313"/>
      <c r="N38" s="313"/>
      <c r="O38" s="313"/>
      <c r="P38" s="313"/>
      <c r="Q38" s="313"/>
      <c r="R38" s="313"/>
      <c r="S38" s="313"/>
      <c r="T38" s="313"/>
    </row>
    <row r="39" spans="1:20" ht="15.75" hidden="1">
      <c r="A39" s="134"/>
      <c r="B39" s="134"/>
      <c r="C39" s="313"/>
      <c r="D39" s="313"/>
      <c r="E39" s="313"/>
      <c r="F39" s="313"/>
      <c r="G39" s="313"/>
      <c r="H39" s="313"/>
      <c r="I39" s="313"/>
      <c r="J39" s="313"/>
      <c r="K39" s="313"/>
      <c r="L39" s="313"/>
      <c r="M39" s="313"/>
      <c r="N39" s="313"/>
      <c r="O39" s="313"/>
      <c r="P39" s="313"/>
      <c r="Q39" s="313"/>
      <c r="R39" s="313"/>
      <c r="S39" s="313"/>
      <c r="T39" s="313"/>
    </row>
    <row r="40" spans="1:20" ht="15.75">
      <c r="A40" s="134"/>
      <c r="B40" s="134"/>
      <c r="C40" s="135"/>
      <c r="D40" s="135"/>
      <c r="E40" s="135"/>
      <c r="F40" s="135"/>
      <c r="G40" s="135"/>
      <c r="H40" s="135"/>
      <c r="I40" s="135"/>
      <c r="J40" s="135"/>
      <c r="K40" s="135"/>
      <c r="L40" s="135"/>
      <c r="M40" s="135"/>
      <c r="N40" s="135"/>
      <c r="O40" s="135"/>
      <c r="P40" s="313"/>
      <c r="Q40" s="314"/>
      <c r="R40" s="315"/>
      <c r="T40" s="316"/>
    </row>
    <row r="41" spans="1:21" s="599" customFormat="1" ht="15.75" customHeight="1">
      <c r="A41" s="762" t="s">
        <v>18</v>
      </c>
      <c r="B41" s="762"/>
      <c r="C41" s="588"/>
      <c r="D41" s="589"/>
      <c r="E41" s="590"/>
      <c r="F41" s="591"/>
      <c r="G41" s="592"/>
      <c r="H41" s="593"/>
      <c r="I41" s="594"/>
      <c r="J41" s="594"/>
      <c r="K41" s="594"/>
      <c r="L41" s="594"/>
      <c r="M41" s="595"/>
      <c r="N41" s="595"/>
      <c r="O41" s="595"/>
      <c r="P41" s="596"/>
      <c r="Q41" s="596"/>
      <c r="R41" s="761" t="s">
        <v>30</v>
      </c>
      <c r="S41" s="761"/>
      <c r="T41" s="597"/>
      <c r="U41" s="598"/>
    </row>
    <row r="42" spans="1:21" ht="15.75">
      <c r="A42" s="329"/>
      <c r="B42" s="329"/>
      <c r="C42" s="330"/>
      <c r="D42" s="322"/>
      <c r="F42" s="322"/>
      <c r="G42" s="322"/>
      <c r="H42" s="322"/>
      <c r="I42" s="135"/>
      <c r="J42" s="135"/>
      <c r="K42" s="135"/>
      <c r="L42" s="135"/>
      <c r="P42" s="328"/>
      <c r="R42" s="331"/>
      <c r="S42" s="331"/>
      <c r="T42" s="208"/>
      <c r="U42" s="320"/>
    </row>
    <row r="43" spans="1:21" ht="15.75" customHeight="1">
      <c r="A43" s="735" t="s">
        <v>558</v>
      </c>
      <c r="B43" s="735"/>
      <c r="C43" s="321"/>
      <c r="D43" s="322"/>
      <c r="E43" s="322"/>
      <c r="F43" s="312"/>
      <c r="G43" s="312"/>
      <c r="H43" s="312"/>
      <c r="I43" s="759"/>
      <c r="J43" s="759"/>
      <c r="K43" s="759"/>
      <c r="L43" s="759"/>
      <c r="M43" s="759"/>
      <c r="N43" s="759"/>
      <c r="O43" s="759"/>
      <c r="P43" s="759"/>
      <c r="Q43" s="399"/>
      <c r="R43" s="399"/>
      <c r="U43" s="399"/>
    </row>
    <row r="44" spans="1:20" ht="15.75">
      <c r="A44" s="323"/>
      <c r="B44" s="323"/>
      <c r="C44" s="328"/>
      <c r="D44" s="328"/>
      <c r="E44" s="328"/>
      <c r="F44" s="328"/>
      <c r="G44" s="328"/>
      <c r="H44" s="328"/>
      <c r="T44" s="332"/>
    </row>
    <row r="45" spans="1:18" ht="15.75">
      <c r="A45" s="333"/>
      <c r="B45" s="334"/>
      <c r="Q45" s="328"/>
      <c r="R45" s="328"/>
    </row>
    <row r="46" spans="1:2" ht="15">
      <c r="A46" s="333"/>
      <c r="B46" s="333"/>
    </row>
    <row r="47" spans="1:20" ht="15">
      <c r="A47" s="333"/>
      <c r="B47" s="333"/>
      <c r="E47" s="335"/>
      <c r="F47" s="335"/>
      <c r="G47" s="335"/>
      <c r="H47" s="335"/>
      <c r="I47" s="335"/>
      <c r="J47" s="335"/>
      <c r="K47" s="335"/>
      <c r="L47" s="335"/>
      <c r="M47" s="335"/>
      <c r="N47" s="335"/>
      <c r="O47" s="335"/>
      <c r="P47" s="335"/>
      <c r="Q47" s="335"/>
      <c r="R47" s="335"/>
      <c r="S47" s="335"/>
      <c r="T47" s="335"/>
    </row>
    <row r="48" spans="1:2" ht="15">
      <c r="A48" s="333"/>
      <c r="B48" s="333"/>
    </row>
    <row r="49" spans="1:2" ht="15">
      <c r="A49" s="333"/>
      <c r="B49" s="333"/>
    </row>
    <row r="50" spans="1:18" ht="15">
      <c r="A50" s="333"/>
      <c r="B50" s="333"/>
      <c r="Q50" s="328"/>
      <c r="R50" s="328"/>
    </row>
    <row r="51" spans="1:18" ht="15">
      <c r="A51" s="333"/>
      <c r="B51" s="333"/>
      <c r="C51" s="328"/>
      <c r="D51" s="328"/>
      <c r="E51" s="328"/>
      <c r="F51" s="328"/>
      <c r="G51" s="328"/>
      <c r="H51" s="328"/>
      <c r="I51" s="328"/>
      <c r="J51" s="328"/>
      <c r="K51" s="328"/>
      <c r="L51" s="328"/>
      <c r="M51" s="328"/>
      <c r="N51" s="328"/>
      <c r="O51" s="328"/>
      <c r="P51" s="328"/>
      <c r="Q51" s="328"/>
      <c r="R51" s="328"/>
    </row>
    <row r="52" spans="1:18" ht="15">
      <c r="A52" s="333"/>
      <c r="B52" s="333"/>
      <c r="C52" s="328"/>
      <c r="D52" s="328"/>
      <c r="E52" s="328"/>
      <c r="F52" s="328"/>
      <c r="G52" s="328"/>
      <c r="H52" s="328"/>
      <c r="Q52" s="328"/>
      <c r="R52" s="328"/>
    </row>
    <row r="53" spans="1:2" ht="15">
      <c r="A53" s="333"/>
      <c r="B53" s="333"/>
    </row>
    <row r="54" spans="1:2" ht="15">
      <c r="A54" s="333"/>
      <c r="B54" s="333"/>
    </row>
    <row r="55" spans="1:18" ht="15">
      <c r="A55" s="333"/>
      <c r="B55" s="333"/>
      <c r="Q55" s="328"/>
      <c r="R55" s="328"/>
    </row>
    <row r="56" spans="1:2" ht="15">
      <c r="A56" s="333"/>
      <c r="B56" s="333"/>
    </row>
    <row r="57" spans="1:18" ht="15">
      <c r="A57" s="333"/>
      <c r="B57" s="333"/>
      <c r="Q57" s="328"/>
      <c r="R57" s="328"/>
    </row>
    <row r="58" spans="1:2" ht="15">
      <c r="A58" s="333"/>
      <c r="B58" s="333"/>
    </row>
    <row r="59" spans="1:2" ht="15">
      <c r="A59" s="333"/>
      <c r="B59" s="333"/>
    </row>
    <row r="60" spans="1:2" ht="15">
      <c r="A60" s="333"/>
      <c r="B60" s="333"/>
    </row>
    <row r="61" spans="1:2" ht="15">
      <c r="A61" s="333"/>
      <c r="B61" s="333"/>
    </row>
    <row r="62" spans="1:2" ht="15">
      <c r="A62" s="333"/>
      <c r="B62" s="333"/>
    </row>
    <row r="63" spans="1:2" ht="15">
      <c r="A63" s="333"/>
      <c r="B63" s="333"/>
    </row>
    <row r="64" spans="1:2" ht="15">
      <c r="A64" s="333"/>
      <c r="B64" s="333"/>
    </row>
    <row r="65" spans="1:2" ht="15">
      <c r="A65" s="333"/>
      <c r="B65" s="333"/>
    </row>
    <row r="66" spans="1:2" ht="15">
      <c r="A66" s="333"/>
      <c r="B66" s="333"/>
    </row>
    <row r="67" spans="1:2" ht="15">
      <c r="A67" s="333"/>
      <c r="B67" s="333"/>
    </row>
    <row r="68" spans="1:2" ht="15">
      <c r="A68" s="333"/>
      <c r="B68" s="333"/>
    </row>
    <row r="69" spans="1:2" ht="15">
      <c r="A69" s="333"/>
      <c r="B69" s="333"/>
    </row>
    <row r="70" spans="1:2" ht="15">
      <c r="A70" s="333"/>
      <c r="B70" s="333"/>
    </row>
    <row r="71" spans="1:2" ht="15">
      <c r="A71" s="333"/>
      <c r="B71" s="333"/>
    </row>
    <row r="72" spans="1:2" ht="15">
      <c r="A72" s="333"/>
      <c r="B72" s="333"/>
    </row>
    <row r="73" spans="1:2" ht="15">
      <c r="A73" s="333"/>
      <c r="B73" s="333"/>
    </row>
    <row r="74" spans="1:2" ht="15">
      <c r="A74" s="333"/>
      <c r="B74" s="333"/>
    </row>
    <row r="75" spans="1:2" ht="15">
      <c r="A75" s="333"/>
      <c r="B75" s="333"/>
    </row>
    <row r="76" spans="1:2" ht="15">
      <c r="A76" s="333"/>
      <c r="B76" s="333"/>
    </row>
    <row r="77" spans="1:2" ht="15">
      <c r="A77" s="333"/>
      <c r="B77" s="333"/>
    </row>
    <row r="78" spans="1:2" ht="15">
      <c r="A78" s="333"/>
      <c r="B78" s="333"/>
    </row>
    <row r="79" spans="1:2" ht="15">
      <c r="A79" s="333"/>
      <c r="B79" s="333"/>
    </row>
    <row r="80" spans="1:2" ht="15">
      <c r="A80" s="333"/>
      <c r="B80" s="333"/>
    </row>
    <row r="81" spans="1:2" ht="15">
      <c r="A81" s="333"/>
      <c r="B81" s="333"/>
    </row>
    <row r="82" spans="1:2" ht="15">
      <c r="A82" s="333"/>
      <c r="B82" s="333"/>
    </row>
    <row r="83" spans="1:2" ht="15">
      <c r="A83" s="333"/>
      <c r="B83" s="333"/>
    </row>
    <row r="84" ht="15">
      <c r="A84" s="333"/>
    </row>
  </sheetData>
  <sheetProtection/>
  <mergeCells count="22">
    <mergeCell ref="E3:H9"/>
    <mergeCell ref="Q3:T9"/>
    <mergeCell ref="R14:U14"/>
    <mergeCell ref="A36:B36"/>
    <mergeCell ref="I13:U13"/>
    <mergeCell ref="N14:Q14"/>
    <mergeCell ref="F14:F15"/>
    <mergeCell ref="E14:E15"/>
    <mergeCell ref="Q10:T10"/>
    <mergeCell ref="R41:S41"/>
    <mergeCell ref="C13:C15"/>
    <mergeCell ref="A41:B41"/>
    <mergeCell ref="M14:M15"/>
    <mergeCell ref="E13:H13"/>
    <mergeCell ref="A11:T11"/>
    <mergeCell ref="M12:T12"/>
    <mergeCell ref="A43:B43"/>
    <mergeCell ref="I43:P43"/>
    <mergeCell ref="H14:H15"/>
    <mergeCell ref="I14:L14"/>
    <mergeCell ref="B13:B15"/>
    <mergeCell ref="A13:A15"/>
  </mergeCells>
  <printOptions/>
  <pageMargins left="0.1968503937007874" right="0.1968503937007874" top="1.1811023622047245" bottom="0" header="0.11811023622047245" footer="0.11811023622047245"/>
  <pageSetup fitToHeight="0" horizontalDpi="600" verticalDpi="600" orientation="landscape" paperSize="9" scale="39" r:id="rId1"/>
</worksheet>
</file>

<file path=xl/worksheets/sheet6.xml><?xml version="1.0" encoding="utf-8"?>
<worksheet xmlns="http://schemas.openxmlformats.org/spreadsheetml/2006/main" xmlns:r="http://schemas.openxmlformats.org/officeDocument/2006/relationships">
  <sheetPr>
    <tabColor theme="2" tint="-0.24997000396251678"/>
  </sheetPr>
  <dimension ref="A1:N149"/>
  <sheetViews>
    <sheetView view="pageBreakPreview" zoomScale="80" zoomScaleSheetLayoutView="80" zoomScalePageLayoutView="0" workbookViewId="0" topLeftCell="A1">
      <selection activeCell="A1" sqref="A1:M54"/>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767" t="s">
        <v>446</v>
      </c>
      <c r="I1" s="767"/>
      <c r="J1" s="767"/>
      <c r="K1" s="767"/>
      <c r="L1" s="767"/>
      <c r="M1" s="17"/>
    </row>
    <row r="2" spans="8:13" ht="12.75" customHeight="1">
      <c r="H2" s="12" t="s">
        <v>11</v>
      </c>
      <c r="I2" s="12"/>
      <c r="J2" s="15"/>
      <c r="K2" s="12"/>
      <c r="L2" s="12"/>
      <c r="M2" s="12"/>
    </row>
    <row r="3" spans="8:13" ht="15" customHeight="1">
      <c r="H3" s="12" t="s">
        <v>566</v>
      </c>
      <c r="I3" s="12"/>
      <c r="J3" s="15"/>
      <c r="K3" s="12"/>
      <c r="L3" s="12"/>
      <c r="M3" s="12"/>
    </row>
    <row r="4" spans="8:13" ht="15" customHeight="1">
      <c r="H4" s="17" t="s">
        <v>567</v>
      </c>
      <c r="I4" s="17"/>
      <c r="J4" s="15"/>
      <c r="K4" s="12"/>
      <c r="L4" s="12"/>
      <c r="M4" s="12"/>
    </row>
    <row r="5" spans="8:13" ht="15" customHeight="1">
      <c r="H5" s="17" t="s">
        <v>907</v>
      </c>
      <c r="I5" s="17"/>
      <c r="J5" s="15"/>
      <c r="K5" s="12"/>
      <c r="L5" s="12"/>
      <c r="M5" s="12"/>
    </row>
    <row r="6" spans="8:13" ht="15" customHeight="1">
      <c r="H6" s="17" t="s">
        <v>924</v>
      </c>
      <c r="I6" s="17"/>
      <c r="J6" s="327"/>
      <c r="K6" s="12"/>
      <c r="L6" s="12"/>
      <c r="M6" s="12"/>
    </row>
    <row r="7" spans="2:13" ht="15" customHeight="1">
      <c r="B7" s="15"/>
      <c r="C7" s="15"/>
      <c r="D7" s="15"/>
      <c r="H7" s="768" t="s">
        <v>920</v>
      </c>
      <c r="I7" s="768"/>
      <c r="J7" s="768"/>
      <c r="K7" s="768"/>
      <c r="L7" s="768"/>
      <c r="M7" s="768"/>
    </row>
    <row r="8" spans="2:11" ht="18.75">
      <c r="B8" s="15"/>
      <c r="C8" s="15"/>
      <c r="D8" s="15"/>
      <c r="H8" s="12" t="s">
        <v>942</v>
      </c>
      <c r="I8" s="58"/>
      <c r="J8" s="12"/>
      <c r="K8" s="12"/>
    </row>
    <row r="9" spans="2:13" ht="15.75" customHeight="1">
      <c r="B9" s="15"/>
      <c r="C9" s="15"/>
      <c r="D9" s="15"/>
      <c r="H9" s="344"/>
      <c r="I9" s="55"/>
      <c r="J9" s="17"/>
      <c r="K9" s="17"/>
      <c r="L9" s="17"/>
      <c r="M9" s="17"/>
    </row>
    <row r="10" spans="2:9" ht="12" customHeight="1">
      <c r="B10" s="15"/>
      <c r="C10" s="15"/>
      <c r="D10" s="15"/>
      <c r="E10" s="15"/>
      <c r="F10" s="15"/>
      <c r="G10" s="15"/>
      <c r="H10" s="12" t="s">
        <v>481</v>
      </c>
      <c r="I10" s="12"/>
    </row>
    <row r="11" spans="1:9" ht="17.25" customHeight="1">
      <c r="A11" s="769" t="s">
        <v>818</v>
      </c>
      <c r="B11" s="769"/>
      <c r="C11" s="769"/>
      <c r="D11" s="769"/>
      <c r="E11" s="769"/>
      <c r="F11" s="769"/>
      <c r="G11" s="769"/>
      <c r="H11" s="769"/>
      <c r="I11" s="15"/>
    </row>
    <row r="12" spans="1:9" ht="13.5" customHeight="1">
      <c r="A12" s="336"/>
      <c r="B12" s="33"/>
      <c r="C12" s="33"/>
      <c r="D12" s="33"/>
      <c r="E12" s="33"/>
      <c r="F12" s="33"/>
      <c r="G12" s="33"/>
      <c r="H12" s="407" t="s">
        <v>391</v>
      </c>
      <c r="I12" s="15"/>
    </row>
    <row r="13" spans="1:9" ht="19.5" customHeight="1">
      <c r="A13" s="770" t="s">
        <v>32</v>
      </c>
      <c r="B13" s="770" t="s">
        <v>12</v>
      </c>
      <c r="C13" s="770" t="s">
        <v>13</v>
      </c>
      <c r="D13" s="770" t="s">
        <v>397</v>
      </c>
      <c r="E13" s="776" t="s">
        <v>9</v>
      </c>
      <c r="F13" s="776"/>
      <c r="G13" s="776"/>
      <c r="H13" s="776" t="s">
        <v>15</v>
      </c>
      <c r="I13" s="15"/>
    </row>
    <row r="14" spans="1:9" ht="15.75" customHeight="1">
      <c r="A14" s="771"/>
      <c r="B14" s="771"/>
      <c r="C14" s="771"/>
      <c r="D14" s="771"/>
      <c r="E14" s="770">
        <v>2021</v>
      </c>
      <c r="F14" s="770">
        <v>2022</v>
      </c>
      <c r="G14" s="770">
        <v>2023</v>
      </c>
      <c r="H14" s="776"/>
      <c r="I14" s="15"/>
    </row>
    <row r="15" spans="1:9" ht="21" customHeight="1">
      <c r="A15" s="772"/>
      <c r="B15" s="772"/>
      <c r="C15" s="772"/>
      <c r="D15" s="772"/>
      <c r="E15" s="772"/>
      <c r="F15" s="772"/>
      <c r="G15" s="772"/>
      <c r="H15" s="776"/>
      <c r="I15" s="15"/>
    </row>
    <row r="16" spans="1:9" ht="33.75" customHeight="1" hidden="1">
      <c r="A16" s="65">
        <v>1</v>
      </c>
      <c r="B16" s="60" t="s">
        <v>34</v>
      </c>
      <c r="C16" s="35" t="s">
        <v>16</v>
      </c>
      <c r="D16" s="73" t="e">
        <f>#REF!+E16+F16+G16</f>
        <v>#REF!</v>
      </c>
      <c r="E16" s="73"/>
      <c r="F16" s="73"/>
      <c r="G16" s="73"/>
      <c r="H16" s="35" t="s">
        <v>35</v>
      </c>
      <c r="I16" s="15"/>
    </row>
    <row r="17" spans="1:14" ht="72" customHeight="1">
      <c r="A17" s="544">
        <v>1</v>
      </c>
      <c r="B17" s="492" t="s">
        <v>822</v>
      </c>
      <c r="C17" s="35" t="s">
        <v>657</v>
      </c>
      <c r="D17" s="74">
        <f aca="true" t="shared" si="0" ref="D17:D45">E17+F17+G17</f>
        <v>287821.8</v>
      </c>
      <c r="E17" s="125">
        <v>90000</v>
      </c>
      <c r="F17" s="125">
        <v>96030</v>
      </c>
      <c r="G17" s="125">
        <v>101791.8</v>
      </c>
      <c r="H17" s="219" t="s">
        <v>777</v>
      </c>
      <c r="I17" s="15"/>
      <c r="N17" s="14" t="s">
        <v>823</v>
      </c>
    </row>
    <row r="18" spans="1:14" ht="52.5" customHeight="1">
      <c r="A18" s="544">
        <v>2</v>
      </c>
      <c r="B18" s="492" t="s">
        <v>75</v>
      </c>
      <c r="C18" s="35" t="s">
        <v>657</v>
      </c>
      <c r="D18" s="74">
        <f t="shared" si="0"/>
        <v>502500</v>
      </c>
      <c r="E18" s="125">
        <f>150000+6000</f>
        <v>156000</v>
      </c>
      <c r="F18" s="125">
        <v>165000</v>
      </c>
      <c r="G18" s="125">
        <v>181500</v>
      </c>
      <c r="H18" s="773" t="s">
        <v>774</v>
      </c>
      <c r="I18" s="15"/>
      <c r="N18" s="659" t="s">
        <v>854</v>
      </c>
    </row>
    <row r="19" spans="1:14" s="346" customFormat="1" ht="36" customHeight="1" hidden="1">
      <c r="A19" s="679" t="s">
        <v>356</v>
      </c>
      <c r="B19" s="552" t="s">
        <v>875</v>
      </c>
      <c r="C19" s="680" t="s">
        <v>657</v>
      </c>
      <c r="D19" s="326">
        <f t="shared" si="0"/>
        <v>71955.5</v>
      </c>
      <c r="E19" s="326">
        <v>22500</v>
      </c>
      <c r="F19" s="326">
        <v>24007.5</v>
      </c>
      <c r="G19" s="326">
        <v>25448</v>
      </c>
      <c r="H19" s="774"/>
      <c r="I19" s="312"/>
      <c r="N19" s="688"/>
    </row>
    <row r="20" spans="1:14" s="346" customFormat="1" ht="33.75" customHeight="1" hidden="1">
      <c r="A20" s="679" t="s">
        <v>388</v>
      </c>
      <c r="B20" s="552" t="s">
        <v>876</v>
      </c>
      <c r="C20" s="680" t="s">
        <v>657</v>
      </c>
      <c r="D20" s="326">
        <f t="shared" si="0"/>
        <v>7675.200000000001</v>
      </c>
      <c r="E20" s="326">
        <v>2400</v>
      </c>
      <c r="F20" s="326">
        <v>2560.8</v>
      </c>
      <c r="G20" s="326">
        <v>2714.4</v>
      </c>
      <c r="H20" s="774"/>
      <c r="I20" s="312"/>
      <c r="N20" s="688"/>
    </row>
    <row r="21" spans="1:14" s="346" customFormat="1" ht="35.25" customHeight="1" hidden="1">
      <c r="A21" s="679" t="s">
        <v>413</v>
      </c>
      <c r="B21" s="552" t="s">
        <v>877</v>
      </c>
      <c r="C21" s="680" t="s">
        <v>657</v>
      </c>
      <c r="D21" s="326">
        <f t="shared" si="0"/>
        <v>1599</v>
      </c>
      <c r="E21" s="326">
        <v>500</v>
      </c>
      <c r="F21" s="326">
        <v>533.5</v>
      </c>
      <c r="G21" s="326">
        <v>565.5</v>
      </c>
      <c r="H21" s="774"/>
      <c r="I21" s="312"/>
      <c r="N21" s="688"/>
    </row>
    <row r="22" spans="1:14" s="346" customFormat="1" ht="33" customHeight="1" hidden="1">
      <c r="A22" s="679" t="s">
        <v>414</v>
      </c>
      <c r="B22" s="552" t="s">
        <v>878</v>
      </c>
      <c r="C22" s="680" t="s">
        <v>657</v>
      </c>
      <c r="D22" s="326">
        <f>E22+F22+G22</f>
        <v>3198</v>
      </c>
      <c r="E22" s="326">
        <v>1000</v>
      </c>
      <c r="F22" s="326">
        <v>1067</v>
      </c>
      <c r="G22" s="326">
        <v>1131</v>
      </c>
      <c r="H22" s="775"/>
      <c r="I22" s="312"/>
      <c r="N22" s="688"/>
    </row>
    <row r="23" spans="1:14" ht="75" customHeight="1">
      <c r="A23" s="220">
        <v>3</v>
      </c>
      <c r="B23" s="492" t="s">
        <v>828</v>
      </c>
      <c r="C23" s="35" t="s">
        <v>657</v>
      </c>
      <c r="D23" s="74">
        <f t="shared" si="0"/>
        <v>273678.5</v>
      </c>
      <c r="E23" s="125">
        <f>78624+4058.2</f>
        <v>82682.2</v>
      </c>
      <c r="F23" s="125">
        <f>86486.6+4464</f>
        <v>90950.6</v>
      </c>
      <c r="G23" s="125">
        <f>95135.3+4910.4</f>
        <v>100045.7</v>
      </c>
      <c r="H23" s="773" t="s">
        <v>774</v>
      </c>
      <c r="I23" s="15"/>
      <c r="N23" s="659" t="s">
        <v>866</v>
      </c>
    </row>
    <row r="24" spans="1:14" s="346" customFormat="1" ht="36" customHeight="1" hidden="1">
      <c r="A24" s="689" t="s">
        <v>460</v>
      </c>
      <c r="B24" s="552" t="s">
        <v>875</v>
      </c>
      <c r="C24" s="680" t="s">
        <v>657</v>
      </c>
      <c r="D24" s="326">
        <f t="shared" si="0"/>
        <v>1280</v>
      </c>
      <c r="E24" s="326">
        <v>400</v>
      </c>
      <c r="F24" s="326">
        <v>427</v>
      </c>
      <c r="G24" s="326">
        <v>453</v>
      </c>
      <c r="H24" s="774"/>
      <c r="I24" s="312"/>
      <c r="N24" s="688"/>
    </row>
    <row r="25" spans="1:14" s="346" customFormat="1" ht="42" customHeight="1" hidden="1">
      <c r="A25" s="689" t="s">
        <v>514</v>
      </c>
      <c r="B25" s="552" t="s">
        <v>876</v>
      </c>
      <c r="C25" s="680" t="s">
        <v>657</v>
      </c>
      <c r="D25" s="326">
        <f t="shared" si="0"/>
        <v>959.4000000000001</v>
      </c>
      <c r="E25" s="326">
        <v>300</v>
      </c>
      <c r="F25" s="326">
        <v>320.1</v>
      </c>
      <c r="G25" s="326">
        <v>339.3</v>
      </c>
      <c r="H25" s="774"/>
      <c r="I25" s="312"/>
      <c r="N25" s="688"/>
    </row>
    <row r="26" spans="1:14" s="346" customFormat="1" ht="41.25" customHeight="1" hidden="1">
      <c r="A26" s="689" t="s">
        <v>623</v>
      </c>
      <c r="B26" s="552" t="s">
        <v>877</v>
      </c>
      <c r="C26" s="680" t="s">
        <v>657</v>
      </c>
      <c r="D26" s="326">
        <f t="shared" si="0"/>
        <v>1599</v>
      </c>
      <c r="E26" s="326">
        <v>500</v>
      </c>
      <c r="F26" s="326">
        <v>533.5</v>
      </c>
      <c r="G26" s="326">
        <v>565.5</v>
      </c>
      <c r="H26" s="774"/>
      <c r="I26" s="312"/>
      <c r="N26" s="688"/>
    </row>
    <row r="27" spans="1:14" s="346" customFormat="1" ht="38.25" customHeight="1" hidden="1">
      <c r="A27" s="689" t="s">
        <v>624</v>
      </c>
      <c r="B27" s="552" t="s">
        <v>878</v>
      </c>
      <c r="C27" s="680" t="s">
        <v>657</v>
      </c>
      <c r="D27" s="326">
        <f t="shared" si="0"/>
        <v>1599</v>
      </c>
      <c r="E27" s="326">
        <v>500</v>
      </c>
      <c r="F27" s="326">
        <v>533.5</v>
      </c>
      <c r="G27" s="326">
        <v>565.5</v>
      </c>
      <c r="H27" s="775"/>
      <c r="I27" s="312"/>
      <c r="N27" s="688"/>
    </row>
    <row r="28" spans="1:14" ht="45.75" customHeight="1">
      <c r="A28" s="220">
        <v>4</v>
      </c>
      <c r="B28" s="164" t="s">
        <v>891</v>
      </c>
      <c r="C28" s="35" t="s">
        <v>657</v>
      </c>
      <c r="D28" s="74">
        <f t="shared" si="0"/>
        <v>3500</v>
      </c>
      <c r="E28" s="125">
        <v>1000</v>
      </c>
      <c r="F28" s="125">
        <v>1200</v>
      </c>
      <c r="G28" s="125">
        <v>1300</v>
      </c>
      <c r="H28" s="35" t="s">
        <v>774</v>
      </c>
      <c r="I28" s="15"/>
      <c r="N28" s="14" t="s">
        <v>824</v>
      </c>
    </row>
    <row r="29" spans="1:9" ht="51" customHeight="1">
      <c r="A29" s="545">
        <v>5</v>
      </c>
      <c r="B29" s="553" t="s">
        <v>773</v>
      </c>
      <c r="C29" s="35" t="s">
        <v>657</v>
      </c>
      <c r="D29" s="74">
        <f t="shared" si="0"/>
        <v>4781.1</v>
      </c>
      <c r="E29" s="125">
        <v>1495</v>
      </c>
      <c r="F29" s="125">
        <v>1595.2</v>
      </c>
      <c r="G29" s="125">
        <v>1690.9</v>
      </c>
      <c r="H29" s="35" t="s">
        <v>774</v>
      </c>
      <c r="I29" s="15"/>
    </row>
    <row r="30" spans="1:9" ht="50.25" customHeight="1">
      <c r="A30" s="219">
        <v>6</v>
      </c>
      <c r="B30" s="547" t="s">
        <v>917</v>
      </c>
      <c r="C30" s="35" t="s">
        <v>657</v>
      </c>
      <c r="D30" s="125">
        <f t="shared" si="0"/>
        <v>30386</v>
      </c>
      <c r="E30" s="125">
        <f>9000+6000</f>
        <v>15000</v>
      </c>
      <c r="F30" s="125">
        <v>7469</v>
      </c>
      <c r="G30" s="125">
        <v>7917</v>
      </c>
      <c r="H30" s="35" t="s">
        <v>774</v>
      </c>
      <c r="I30" s="15"/>
    </row>
    <row r="31" spans="1:14" ht="63.75" customHeight="1">
      <c r="A31" s="219">
        <v>7</v>
      </c>
      <c r="B31" s="492" t="s">
        <v>80</v>
      </c>
      <c r="C31" s="35" t="s">
        <v>657</v>
      </c>
      <c r="D31" s="74">
        <f t="shared" si="0"/>
        <v>2681.8999999999996</v>
      </c>
      <c r="E31" s="125">
        <f>351+300+200</f>
        <v>851</v>
      </c>
      <c r="F31" s="125">
        <f>374.5+320.1+200</f>
        <v>894.6</v>
      </c>
      <c r="G31" s="125">
        <f>397+339.3+200</f>
        <v>936.3</v>
      </c>
      <c r="H31" s="35" t="s">
        <v>774</v>
      </c>
      <c r="I31" s="15"/>
      <c r="N31" s="14" t="s">
        <v>892</v>
      </c>
    </row>
    <row r="32" spans="1:9" ht="58.5" customHeight="1">
      <c r="A32" s="35">
        <v>8</v>
      </c>
      <c r="B32" s="547" t="s">
        <v>825</v>
      </c>
      <c r="C32" s="35" t="s">
        <v>657</v>
      </c>
      <c r="D32" s="125">
        <f t="shared" si="0"/>
        <v>7268.9</v>
      </c>
      <c r="E32" s="125">
        <f>2000+54.1+700</f>
        <v>2754.1</v>
      </c>
      <c r="F32" s="125">
        <f>2134+57.7</f>
        <v>2191.7</v>
      </c>
      <c r="G32" s="125">
        <f>2262+61.1</f>
        <v>2323.1</v>
      </c>
      <c r="H32" s="35" t="s">
        <v>774</v>
      </c>
      <c r="I32" s="15"/>
    </row>
    <row r="33" spans="1:14" ht="58.5" customHeight="1">
      <c r="A33" s="610">
        <v>9</v>
      </c>
      <c r="B33" s="611" t="s">
        <v>893</v>
      </c>
      <c r="C33" s="35" t="s">
        <v>657</v>
      </c>
      <c r="D33" s="125">
        <f t="shared" si="0"/>
        <v>3300</v>
      </c>
      <c r="E33" s="125">
        <v>1000</v>
      </c>
      <c r="F33" s="125">
        <v>1100</v>
      </c>
      <c r="G33" s="125">
        <v>1200</v>
      </c>
      <c r="H33" s="35" t="s">
        <v>774</v>
      </c>
      <c r="I33" s="15"/>
      <c r="N33" s="14" t="s">
        <v>894</v>
      </c>
    </row>
    <row r="34" spans="1:14" ht="50.25" customHeight="1">
      <c r="A34" s="219">
        <v>10</v>
      </c>
      <c r="B34" s="547" t="s">
        <v>895</v>
      </c>
      <c r="C34" s="35" t="s">
        <v>657</v>
      </c>
      <c r="D34" s="125">
        <f t="shared" si="0"/>
        <v>7995.1</v>
      </c>
      <c r="E34" s="125">
        <v>2500</v>
      </c>
      <c r="F34" s="125">
        <v>2667.5</v>
      </c>
      <c r="G34" s="125">
        <v>2827.6</v>
      </c>
      <c r="H34" s="219" t="s">
        <v>245</v>
      </c>
      <c r="I34" s="15"/>
      <c r="N34" s="14" t="s">
        <v>910</v>
      </c>
    </row>
    <row r="35" spans="1:9" ht="59.25" customHeight="1">
      <c r="A35" s="219">
        <v>11</v>
      </c>
      <c r="B35" s="164" t="s">
        <v>826</v>
      </c>
      <c r="C35" s="35" t="s">
        <v>657</v>
      </c>
      <c r="D35" s="125">
        <f t="shared" si="0"/>
        <v>63960</v>
      </c>
      <c r="E35" s="125">
        <f>7000+11000+2000</f>
        <v>20000</v>
      </c>
      <c r="F35" s="125">
        <v>21340</v>
      </c>
      <c r="G35" s="125">
        <v>22620</v>
      </c>
      <c r="H35" s="219" t="s">
        <v>245</v>
      </c>
      <c r="I35" s="15"/>
    </row>
    <row r="36" spans="1:9" ht="59.25" customHeight="1">
      <c r="A36" s="35">
        <v>12</v>
      </c>
      <c r="B36" s="553" t="s">
        <v>775</v>
      </c>
      <c r="C36" s="35" t="s">
        <v>657</v>
      </c>
      <c r="D36" s="125">
        <f t="shared" si="0"/>
        <v>23433.1</v>
      </c>
      <c r="E36" s="125">
        <v>7327.4</v>
      </c>
      <c r="F36" s="125">
        <v>7818.3</v>
      </c>
      <c r="G36" s="125">
        <v>8287.4</v>
      </c>
      <c r="H36" s="219" t="s">
        <v>245</v>
      </c>
      <c r="I36" s="15"/>
    </row>
    <row r="37" spans="1:9" ht="64.5" customHeight="1">
      <c r="A37" s="610">
        <v>13</v>
      </c>
      <c r="B37" s="164" t="s">
        <v>776</v>
      </c>
      <c r="C37" s="35" t="s">
        <v>657</v>
      </c>
      <c r="D37" s="125">
        <f t="shared" si="0"/>
        <v>45571.8</v>
      </c>
      <c r="E37" s="125">
        <v>14250</v>
      </c>
      <c r="F37" s="125">
        <v>15204.8</v>
      </c>
      <c r="G37" s="125">
        <v>16117</v>
      </c>
      <c r="H37" s="219" t="s">
        <v>245</v>
      </c>
      <c r="I37" s="15"/>
    </row>
    <row r="38" spans="1:9" ht="64.5" customHeight="1">
      <c r="A38" s="219">
        <v>14</v>
      </c>
      <c r="B38" s="164" t="s">
        <v>827</v>
      </c>
      <c r="C38" s="35" t="s">
        <v>657</v>
      </c>
      <c r="D38" s="125">
        <f t="shared" si="0"/>
        <v>2000</v>
      </c>
      <c r="E38" s="125">
        <v>2000</v>
      </c>
      <c r="F38" s="125"/>
      <c r="G38" s="125"/>
      <c r="H38" s="219" t="s">
        <v>245</v>
      </c>
      <c r="I38" s="15"/>
    </row>
    <row r="39" spans="1:14" ht="64.5" customHeight="1">
      <c r="A39" s="219">
        <v>15</v>
      </c>
      <c r="B39" s="164" t="s">
        <v>856</v>
      </c>
      <c r="C39" s="35" t="s">
        <v>657</v>
      </c>
      <c r="D39" s="125">
        <f t="shared" si="0"/>
        <v>5000</v>
      </c>
      <c r="E39" s="125">
        <v>5000</v>
      </c>
      <c r="F39" s="125"/>
      <c r="G39" s="125"/>
      <c r="H39" s="219" t="s">
        <v>245</v>
      </c>
      <c r="I39" s="15"/>
      <c r="N39" s="14" t="s">
        <v>829</v>
      </c>
    </row>
    <row r="40" spans="1:9" ht="64.5" customHeight="1">
      <c r="A40" s="219">
        <v>16</v>
      </c>
      <c r="B40" s="164" t="s">
        <v>857</v>
      </c>
      <c r="C40" s="35" t="s">
        <v>657</v>
      </c>
      <c r="D40" s="125">
        <f t="shared" si="0"/>
        <v>5000</v>
      </c>
      <c r="E40" s="125">
        <v>5000</v>
      </c>
      <c r="F40" s="125"/>
      <c r="G40" s="125"/>
      <c r="H40" s="219" t="s">
        <v>245</v>
      </c>
      <c r="I40" s="15"/>
    </row>
    <row r="41" spans="1:9" ht="64.5" customHeight="1">
      <c r="A41" s="219">
        <v>17</v>
      </c>
      <c r="B41" s="164" t="s">
        <v>855</v>
      </c>
      <c r="C41" s="35" t="s">
        <v>657</v>
      </c>
      <c r="D41" s="125">
        <f t="shared" si="0"/>
        <v>1000</v>
      </c>
      <c r="E41" s="125">
        <v>1000</v>
      </c>
      <c r="F41" s="125"/>
      <c r="G41" s="125"/>
      <c r="H41" s="219" t="s">
        <v>245</v>
      </c>
      <c r="I41" s="15"/>
    </row>
    <row r="42" spans="1:9" ht="64.5" customHeight="1">
      <c r="A42" s="219">
        <v>18</v>
      </c>
      <c r="B42" s="164" t="s">
        <v>896</v>
      </c>
      <c r="C42" s="35" t="s">
        <v>657</v>
      </c>
      <c r="D42" s="125">
        <f t="shared" si="0"/>
        <v>600</v>
      </c>
      <c r="E42" s="125">
        <v>600</v>
      </c>
      <c r="F42" s="125"/>
      <c r="G42" s="125"/>
      <c r="H42" s="219" t="s">
        <v>245</v>
      </c>
      <c r="I42" s="15"/>
    </row>
    <row r="43" spans="1:9" ht="64.5" customHeight="1">
      <c r="A43" s="219">
        <v>19</v>
      </c>
      <c r="B43" s="164" t="s">
        <v>897</v>
      </c>
      <c r="C43" s="35" t="s">
        <v>657</v>
      </c>
      <c r="D43" s="125">
        <f t="shared" si="0"/>
        <v>1200</v>
      </c>
      <c r="E43" s="125">
        <v>1200</v>
      </c>
      <c r="F43" s="125"/>
      <c r="G43" s="125"/>
      <c r="H43" s="219" t="s">
        <v>245</v>
      </c>
      <c r="I43" s="15"/>
    </row>
    <row r="44" spans="1:9" ht="64.5" customHeight="1">
      <c r="A44" s="219">
        <v>20</v>
      </c>
      <c r="B44" s="164" t="s">
        <v>918</v>
      </c>
      <c r="C44" s="35" t="s">
        <v>657</v>
      </c>
      <c r="D44" s="125">
        <f t="shared" si="0"/>
        <v>3500</v>
      </c>
      <c r="E44" s="125">
        <v>3500</v>
      </c>
      <c r="F44" s="125"/>
      <c r="G44" s="125"/>
      <c r="H44" s="219" t="s">
        <v>245</v>
      </c>
      <c r="I44" s="15"/>
    </row>
    <row r="45" spans="1:9" ht="28.5" customHeight="1">
      <c r="A45" s="554"/>
      <c r="B45" s="77" t="s">
        <v>5</v>
      </c>
      <c r="C45" s="77"/>
      <c r="D45" s="61">
        <f t="shared" si="0"/>
        <v>1275178.2</v>
      </c>
      <c r="E45" s="61">
        <f>E17+E18+E23+E28+E29+E30+E31+E32+E33+E34+E35+E36+E37+E38+E39+E40+E41+E42+E43+E44</f>
        <v>413159.7</v>
      </c>
      <c r="F45" s="61">
        <f>F17+F18+F23+F28+F29+F30+F31+F32+F33+F34+F35+F36+F37+F38+F39+F40+F41+F42+F43</f>
        <v>413461.69999999995</v>
      </c>
      <c r="G45" s="61">
        <f>G17+G18+G23+G28+G29+G30+G31+G32+G33+G34+G35+G36+G37+G38+G39+G40+G41+G42+G43</f>
        <v>448556.8</v>
      </c>
      <c r="H45" s="71"/>
      <c r="I45" s="15"/>
    </row>
    <row r="46" spans="1:9" ht="15.75">
      <c r="A46" s="40"/>
      <c r="B46" s="169"/>
      <c r="C46" s="169"/>
      <c r="D46" s="19"/>
      <c r="E46" s="19"/>
      <c r="F46" s="19"/>
      <c r="G46" s="19"/>
      <c r="H46" s="20"/>
      <c r="I46" s="15"/>
    </row>
    <row r="47" spans="1:9" ht="6" customHeight="1">
      <c r="A47" s="40"/>
      <c r="B47" s="261"/>
      <c r="C47" s="169"/>
      <c r="D47" s="19"/>
      <c r="E47" s="19"/>
      <c r="F47" s="19"/>
      <c r="G47" s="19"/>
      <c r="H47" s="20"/>
      <c r="I47" s="15"/>
    </row>
    <row r="48" spans="1:9" ht="15.75" hidden="1">
      <c r="A48" s="40"/>
      <c r="B48" s="169"/>
      <c r="C48" s="169"/>
      <c r="D48" s="19"/>
      <c r="E48" s="19"/>
      <c r="F48" s="19"/>
      <c r="G48" s="19"/>
      <c r="H48" s="20"/>
      <c r="I48" s="15"/>
    </row>
    <row r="49" spans="2:9" ht="15.75">
      <c r="B49" s="15"/>
      <c r="C49" s="15"/>
      <c r="D49" s="15"/>
      <c r="E49" s="15"/>
      <c r="F49" s="15"/>
      <c r="G49" s="15"/>
      <c r="H49" s="15"/>
      <c r="I49" s="15"/>
    </row>
    <row r="50" spans="2:11" s="600" customFormat="1" ht="20.25" customHeight="1">
      <c r="B50" s="762" t="s">
        <v>523</v>
      </c>
      <c r="C50" s="762"/>
      <c r="D50" s="587"/>
      <c r="E50" s="589"/>
      <c r="F50" s="590"/>
      <c r="H50" s="601" t="s">
        <v>30</v>
      </c>
      <c r="J50" s="602"/>
      <c r="K50" s="603"/>
    </row>
    <row r="51" spans="2:11" s="336" customFormat="1" ht="18.75">
      <c r="B51" s="352"/>
      <c r="C51" s="352"/>
      <c r="D51" s="352"/>
      <c r="E51" s="22"/>
      <c r="F51" s="170"/>
      <c r="H51" s="223"/>
      <c r="J51" s="23"/>
      <c r="K51" s="24"/>
    </row>
    <row r="52" spans="2:9" s="336" customFormat="1" ht="18.75">
      <c r="B52" s="748" t="s">
        <v>558</v>
      </c>
      <c r="C52" s="748"/>
      <c r="D52" s="25"/>
      <c r="E52" s="22"/>
      <c r="F52" s="22"/>
      <c r="G52" s="22"/>
      <c r="H52" s="22"/>
      <c r="I52" s="22"/>
    </row>
    <row r="53" spans="2:11" ht="15.75" customHeight="1">
      <c r="B53" s="27"/>
      <c r="C53" s="27"/>
      <c r="D53" s="26"/>
      <c r="E53" s="26"/>
      <c r="F53" s="26"/>
      <c r="G53" s="26"/>
      <c r="H53" s="26"/>
      <c r="I53" s="26"/>
      <c r="J53" s="15"/>
      <c r="K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sheetData>
  <sheetProtection/>
  <mergeCells count="16">
    <mergeCell ref="E13:G13"/>
    <mergeCell ref="H13:H15"/>
    <mergeCell ref="E14:E15"/>
    <mergeCell ref="F14:F15"/>
    <mergeCell ref="G14:G15"/>
    <mergeCell ref="H23:H27"/>
    <mergeCell ref="B50:C50"/>
    <mergeCell ref="B52:C52"/>
    <mergeCell ref="H1:L1"/>
    <mergeCell ref="H7:M7"/>
    <mergeCell ref="A11:H11"/>
    <mergeCell ref="A13:A15"/>
    <mergeCell ref="B13:B15"/>
    <mergeCell ref="C13:C15"/>
    <mergeCell ref="H18:H22"/>
    <mergeCell ref="D13:D15"/>
  </mergeCells>
  <printOptions horizontalCentered="1"/>
  <pageMargins left="0.5905511811023623" right="0.5905511811023623" top="1.1811023622047245" bottom="0.5905511811023623" header="0" footer="0"/>
  <pageSetup fitToWidth="0"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tabColor rgb="FFFF0000"/>
  </sheetPr>
  <dimension ref="A1:M141"/>
  <sheetViews>
    <sheetView view="pageBreakPreview" zoomScale="78" zoomScaleSheetLayoutView="78" zoomScalePageLayoutView="0" workbookViewId="0" topLeftCell="A1">
      <selection activeCell="B27" sqref="B27:B28"/>
    </sheetView>
  </sheetViews>
  <sheetFormatPr defaultColWidth="9.140625" defaultRowHeight="12.75"/>
  <cols>
    <col min="1" max="1" width="7.851562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168" t="s">
        <v>446</v>
      </c>
      <c r="I1" s="58"/>
      <c r="J1" s="12"/>
      <c r="K1" s="12"/>
    </row>
    <row r="2" spans="8:11" ht="18.75">
      <c r="H2" s="58" t="s">
        <v>11</v>
      </c>
      <c r="I2" s="58"/>
      <c r="J2" s="12"/>
      <c r="K2" s="12"/>
    </row>
    <row r="3" spans="8:11" ht="18.75">
      <c r="H3" s="58" t="s">
        <v>291</v>
      </c>
      <c r="I3" s="58"/>
      <c r="J3" s="12"/>
      <c r="K3" s="12"/>
    </row>
    <row r="4" spans="8:11" ht="18.75">
      <c r="H4" s="778" t="s">
        <v>561</v>
      </c>
      <c r="I4" s="778"/>
      <c r="J4" s="12"/>
      <c r="K4" s="12"/>
    </row>
    <row r="5" spans="8:13" ht="18.75">
      <c r="H5" s="72" t="s">
        <v>562</v>
      </c>
      <c r="I5" s="72"/>
      <c r="J5" s="17"/>
      <c r="K5" s="17"/>
      <c r="L5" s="17"/>
      <c r="M5" s="17"/>
    </row>
    <row r="6" spans="8:13" ht="18.75">
      <c r="H6" s="72" t="s">
        <v>563</v>
      </c>
      <c r="I6" s="72"/>
      <c r="J6" s="17"/>
      <c r="K6" s="17"/>
      <c r="L6" s="17"/>
      <c r="M6" s="17"/>
    </row>
    <row r="7" spans="2:11" ht="18.75">
      <c r="B7" s="15"/>
      <c r="C7" s="15"/>
      <c r="D7" s="15"/>
      <c r="H7" s="778" t="s">
        <v>564</v>
      </c>
      <c r="I7" s="778"/>
      <c r="J7" s="12"/>
      <c r="K7" s="12"/>
    </row>
    <row r="8" spans="2:11" ht="18.75">
      <c r="B8" s="15"/>
      <c r="C8" s="15"/>
      <c r="D8" s="15"/>
      <c r="H8" s="58" t="s">
        <v>565</v>
      </c>
      <c r="I8" s="58"/>
      <c r="J8" s="12"/>
      <c r="K8" s="12"/>
    </row>
    <row r="9" spans="2:13" ht="15.75" customHeight="1">
      <c r="B9" s="15"/>
      <c r="C9" s="15"/>
      <c r="D9" s="15"/>
      <c r="H9" s="344" t="s">
        <v>651</v>
      </c>
      <c r="I9" s="55"/>
      <c r="J9" s="17"/>
      <c r="K9" s="17"/>
      <c r="L9" s="17"/>
      <c r="M9" s="17"/>
    </row>
    <row r="10" spans="2:9" ht="12" customHeight="1">
      <c r="B10" s="15"/>
      <c r="C10" s="15"/>
      <c r="D10" s="15"/>
      <c r="E10" s="15"/>
      <c r="F10" s="15"/>
      <c r="G10" s="15"/>
      <c r="H10" s="12" t="s">
        <v>481</v>
      </c>
      <c r="I10" s="12"/>
    </row>
    <row r="11" spans="1:9" ht="17.25" customHeight="1">
      <c r="A11" s="769" t="s">
        <v>524</v>
      </c>
      <c r="B11" s="769"/>
      <c r="C11" s="769"/>
      <c r="D11" s="769"/>
      <c r="E11" s="769"/>
      <c r="F11" s="769"/>
      <c r="G11" s="769"/>
      <c r="H11" s="769"/>
      <c r="I11" s="15"/>
    </row>
    <row r="12" spans="2:9" ht="13.5" customHeight="1">
      <c r="B12" s="33"/>
      <c r="C12" s="33"/>
      <c r="D12" s="33"/>
      <c r="E12" s="33"/>
      <c r="F12" s="33"/>
      <c r="G12" s="33"/>
      <c r="H12" s="407" t="s">
        <v>391</v>
      </c>
      <c r="I12" s="15"/>
    </row>
    <row r="13" spans="1:9" ht="19.5" customHeight="1">
      <c r="A13" s="770" t="s">
        <v>32</v>
      </c>
      <c r="B13" s="770" t="s">
        <v>12</v>
      </c>
      <c r="C13" s="770" t="s">
        <v>13</v>
      </c>
      <c r="D13" s="770" t="s">
        <v>397</v>
      </c>
      <c r="E13" s="776" t="s">
        <v>9</v>
      </c>
      <c r="F13" s="776"/>
      <c r="G13" s="776"/>
      <c r="H13" s="776" t="s">
        <v>15</v>
      </c>
      <c r="I13" s="15"/>
    </row>
    <row r="14" spans="1:9" ht="15.75" customHeight="1">
      <c r="A14" s="771"/>
      <c r="B14" s="771"/>
      <c r="C14" s="771"/>
      <c r="D14" s="771"/>
      <c r="E14" s="770" t="s">
        <v>394</v>
      </c>
      <c r="F14" s="770" t="s">
        <v>395</v>
      </c>
      <c r="G14" s="770" t="s">
        <v>396</v>
      </c>
      <c r="H14" s="776"/>
      <c r="I14" s="15"/>
    </row>
    <row r="15" spans="1:9" ht="21" customHeight="1">
      <c r="A15" s="772"/>
      <c r="B15" s="772"/>
      <c r="C15" s="772"/>
      <c r="D15" s="772"/>
      <c r="E15" s="772"/>
      <c r="F15" s="772"/>
      <c r="G15" s="772"/>
      <c r="H15" s="776"/>
      <c r="I15" s="15"/>
    </row>
    <row r="16" spans="1:9" ht="33.75" customHeight="1" hidden="1">
      <c r="A16" s="65">
        <v>1</v>
      </c>
      <c r="B16" s="60" t="s">
        <v>34</v>
      </c>
      <c r="C16" s="35" t="s">
        <v>16</v>
      </c>
      <c r="D16" s="73" t="e">
        <f>#REF!+E16+F16+G16</f>
        <v>#REF!</v>
      </c>
      <c r="E16" s="73"/>
      <c r="F16" s="73"/>
      <c r="G16" s="73"/>
      <c r="H16" s="35" t="s">
        <v>35</v>
      </c>
      <c r="I16" s="15"/>
    </row>
    <row r="17" spans="1:9" ht="33" customHeight="1">
      <c r="A17" s="779">
        <v>1</v>
      </c>
      <c r="B17" s="773" t="s">
        <v>73</v>
      </c>
      <c r="C17" s="35" t="s">
        <v>16</v>
      </c>
      <c r="D17" s="74">
        <f aca="true" t="shared" si="0" ref="D17:D22">E17+F17+G17</f>
        <v>105814.48000000001</v>
      </c>
      <c r="E17" s="74">
        <f>50073.4-73.4</f>
        <v>50000</v>
      </c>
      <c r="F17" s="74">
        <f>55744+70.48</f>
        <v>55814.48</v>
      </c>
      <c r="G17" s="74"/>
      <c r="H17" s="773" t="s">
        <v>474</v>
      </c>
      <c r="I17" s="15"/>
    </row>
    <row r="18" spans="1:9" ht="25.5" customHeight="1">
      <c r="A18" s="780"/>
      <c r="B18" s="775"/>
      <c r="C18" s="35" t="s">
        <v>539</v>
      </c>
      <c r="D18" s="74">
        <f t="shared" si="0"/>
        <v>58621</v>
      </c>
      <c r="E18" s="74"/>
      <c r="F18" s="74"/>
      <c r="G18" s="74">
        <v>58621</v>
      </c>
      <c r="H18" s="775"/>
      <c r="I18" s="15"/>
    </row>
    <row r="19" spans="1:9" ht="33" customHeight="1">
      <c r="A19" s="779">
        <v>2</v>
      </c>
      <c r="B19" s="773" t="s">
        <v>75</v>
      </c>
      <c r="C19" s="35" t="s">
        <v>16</v>
      </c>
      <c r="D19" s="74">
        <f t="shared" si="0"/>
        <v>164728</v>
      </c>
      <c r="E19" s="74">
        <f>77890</f>
        <v>77890</v>
      </c>
      <c r="F19" s="74">
        <f>86838</f>
        <v>86838</v>
      </c>
      <c r="G19" s="37"/>
      <c r="H19" s="773" t="s">
        <v>370</v>
      </c>
      <c r="I19" s="15"/>
    </row>
    <row r="20" spans="1:9" ht="26.25" customHeight="1">
      <c r="A20" s="780"/>
      <c r="B20" s="775"/>
      <c r="C20" s="35" t="s">
        <v>539</v>
      </c>
      <c r="D20" s="74">
        <f t="shared" si="0"/>
        <v>138420</v>
      </c>
      <c r="E20" s="74"/>
      <c r="F20" s="74"/>
      <c r="G20" s="37">
        <f>91319.8-2190+49290.2</f>
        <v>138420</v>
      </c>
      <c r="H20" s="775"/>
      <c r="I20" s="15"/>
    </row>
    <row r="21" spans="1:9" ht="77.25" customHeight="1">
      <c r="A21" s="281" t="s">
        <v>356</v>
      </c>
      <c r="B21" s="60" t="s">
        <v>591</v>
      </c>
      <c r="C21" s="35" t="s">
        <v>62</v>
      </c>
      <c r="D21" s="74">
        <f t="shared" si="0"/>
        <v>202900</v>
      </c>
      <c r="E21" s="74">
        <v>41900</v>
      </c>
      <c r="F21" s="74">
        <v>41000</v>
      </c>
      <c r="G21" s="37">
        <v>120000</v>
      </c>
      <c r="H21" s="773" t="s">
        <v>74</v>
      </c>
      <c r="I21" s="15"/>
    </row>
    <row r="22" spans="1:9" ht="39.75" customHeight="1">
      <c r="A22" s="462" t="s">
        <v>590</v>
      </c>
      <c r="B22" s="463" t="s">
        <v>592</v>
      </c>
      <c r="C22" s="414" t="s">
        <v>62</v>
      </c>
      <c r="D22" s="74">
        <f t="shared" si="0"/>
        <v>120000</v>
      </c>
      <c r="E22" s="464"/>
      <c r="F22" s="464"/>
      <c r="G22" s="465">
        <v>120000</v>
      </c>
      <c r="H22" s="775"/>
      <c r="I22" s="15"/>
    </row>
    <row r="23" spans="1:9" ht="33.75" customHeight="1">
      <c r="A23" s="779">
        <v>3</v>
      </c>
      <c r="B23" s="773" t="s">
        <v>593</v>
      </c>
      <c r="C23" s="35" t="s">
        <v>16</v>
      </c>
      <c r="D23" s="74">
        <f aca="true" t="shared" si="1" ref="D23:D36">E23+F23+G23</f>
        <v>86680.3</v>
      </c>
      <c r="E23" s="74">
        <f>41000</f>
        <v>41000</v>
      </c>
      <c r="F23" s="36">
        <f>43480.3+2200</f>
        <v>45680.3</v>
      </c>
      <c r="G23" s="37"/>
      <c r="H23" s="773" t="s">
        <v>370</v>
      </c>
      <c r="I23" s="15"/>
    </row>
    <row r="24" spans="1:9" ht="21" customHeight="1">
      <c r="A24" s="780"/>
      <c r="B24" s="775"/>
      <c r="C24" s="35" t="s">
        <v>539</v>
      </c>
      <c r="D24" s="74">
        <f t="shared" si="1"/>
        <v>45724.4</v>
      </c>
      <c r="E24" s="74"/>
      <c r="F24" s="36"/>
      <c r="G24" s="37">
        <f>45724.4</f>
        <v>45724.4</v>
      </c>
      <c r="H24" s="775"/>
      <c r="I24" s="15"/>
    </row>
    <row r="25" spans="1:9" ht="36" customHeight="1">
      <c r="A25" s="779">
        <v>4</v>
      </c>
      <c r="B25" s="779" t="s">
        <v>185</v>
      </c>
      <c r="C25" s="220" t="s">
        <v>16</v>
      </c>
      <c r="D25" s="125">
        <f>E25+F25+G25</f>
        <v>1350</v>
      </c>
      <c r="E25" s="125">
        <v>400</v>
      </c>
      <c r="F25" s="125">
        <f>400+550</f>
        <v>950</v>
      </c>
      <c r="G25" s="125"/>
      <c r="H25" s="773" t="s">
        <v>76</v>
      </c>
      <c r="I25" s="15"/>
    </row>
    <row r="26" spans="1:9" ht="18.75">
      <c r="A26" s="780"/>
      <c r="B26" s="780"/>
      <c r="C26" s="220" t="s">
        <v>539</v>
      </c>
      <c r="D26" s="125">
        <f>E26+F26+G26</f>
        <v>500</v>
      </c>
      <c r="E26" s="125"/>
      <c r="F26" s="125"/>
      <c r="G26" s="125">
        <v>500</v>
      </c>
      <c r="H26" s="775"/>
      <c r="I26" s="15"/>
    </row>
    <row r="27" spans="1:9" ht="34.5" customHeight="1">
      <c r="A27" s="773">
        <v>5</v>
      </c>
      <c r="B27" s="779" t="s">
        <v>225</v>
      </c>
      <c r="C27" s="220" t="s">
        <v>16</v>
      </c>
      <c r="D27" s="125">
        <f t="shared" si="1"/>
        <v>11800</v>
      </c>
      <c r="E27" s="125">
        <v>6000</v>
      </c>
      <c r="F27" s="125">
        <f>8000-2200</f>
        <v>5800</v>
      </c>
      <c r="G27" s="125"/>
      <c r="H27" s="773" t="s">
        <v>77</v>
      </c>
      <c r="I27" s="15"/>
    </row>
    <row r="28" spans="1:9" ht="36" customHeight="1">
      <c r="A28" s="775"/>
      <c r="B28" s="780"/>
      <c r="C28" s="220" t="s">
        <v>539</v>
      </c>
      <c r="D28" s="125">
        <f t="shared" si="1"/>
        <v>10000</v>
      </c>
      <c r="E28" s="125"/>
      <c r="F28" s="125"/>
      <c r="G28" s="125">
        <v>10000</v>
      </c>
      <c r="H28" s="775"/>
      <c r="I28" s="15"/>
    </row>
    <row r="29" spans="1:9" ht="36" customHeight="1">
      <c r="A29" s="773">
        <v>6</v>
      </c>
      <c r="B29" s="781" t="s">
        <v>548</v>
      </c>
      <c r="C29" s="220" t="s">
        <v>16</v>
      </c>
      <c r="D29" s="125">
        <f t="shared" si="1"/>
        <v>266488</v>
      </c>
      <c r="E29" s="125">
        <f>25000+100000</f>
        <v>125000</v>
      </c>
      <c r="F29" s="125">
        <f>30000+111488</f>
        <v>141488</v>
      </c>
      <c r="G29" s="125"/>
      <c r="H29" s="773" t="s">
        <v>78</v>
      </c>
      <c r="I29" s="15"/>
    </row>
    <row r="30" spans="1:9" ht="53.25" customHeight="1">
      <c r="A30" s="775"/>
      <c r="B30" s="782"/>
      <c r="C30" s="75" t="s">
        <v>539</v>
      </c>
      <c r="D30" s="74">
        <f t="shared" si="1"/>
        <v>145417</v>
      </c>
      <c r="E30" s="74"/>
      <c r="F30" s="459"/>
      <c r="G30" s="74">
        <f>152242-11500-3000+7675</f>
        <v>145417</v>
      </c>
      <c r="H30" s="775"/>
      <c r="I30" s="15"/>
    </row>
    <row r="31" spans="1:9" ht="40.5" customHeight="1">
      <c r="A31" s="773">
        <v>7</v>
      </c>
      <c r="B31" s="773" t="s">
        <v>80</v>
      </c>
      <c r="C31" s="35" t="s">
        <v>16</v>
      </c>
      <c r="D31" s="74">
        <f t="shared" si="1"/>
        <v>17151.7</v>
      </c>
      <c r="E31" s="74">
        <v>8110</v>
      </c>
      <c r="F31" s="458">
        <v>9041.7</v>
      </c>
      <c r="G31" s="74"/>
      <c r="H31" s="773" t="s">
        <v>79</v>
      </c>
      <c r="I31" s="15"/>
    </row>
    <row r="32" spans="1:9" ht="28.5" customHeight="1">
      <c r="A32" s="775"/>
      <c r="B32" s="775"/>
      <c r="C32" s="35" t="s">
        <v>539</v>
      </c>
      <c r="D32" s="74">
        <f t="shared" si="1"/>
        <v>9508.3</v>
      </c>
      <c r="E32" s="74"/>
      <c r="F32" s="458"/>
      <c r="G32" s="74">
        <v>9508.3</v>
      </c>
      <c r="H32" s="775"/>
      <c r="I32" s="15"/>
    </row>
    <row r="33" spans="1:9" ht="42.75" customHeight="1">
      <c r="A33" s="773">
        <v>8</v>
      </c>
      <c r="B33" s="779" t="s">
        <v>81</v>
      </c>
      <c r="C33" s="220" t="s">
        <v>16</v>
      </c>
      <c r="D33" s="125">
        <f t="shared" si="1"/>
        <v>36200</v>
      </c>
      <c r="E33" s="125">
        <v>18100</v>
      </c>
      <c r="F33" s="125">
        <f>15000+3100</f>
        <v>18100</v>
      </c>
      <c r="G33" s="125"/>
      <c r="H33" s="773" t="s">
        <v>82</v>
      </c>
      <c r="I33" s="15"/>
    </row>
    <row r="34" spans="1:9" ht="29.25" customHeight="1">
      <c r="A34" s="775"/>
      <c r="B34" s="780"/>
      <c r="C34" s="220" t="s">
        <v>539</v>
      </c>
      <c r="D34" s="125">
        <f t="shared" si="1"/>
        <v>15000</v>
      </c>
      <c r="E34" s="125"/>
      <c r="F34" s="420"/>
      <c r="G34" s="125">
        <v>15000</v>
      </c>
      <c r="H34" s="775"/>
      <c r="I34" s="15"/>
    </row>
    <row r="35" spans="1:9" ht="75" customHeight="1">
      <c r="A35" s="35">
        <v>9</v>
      </c>
      <c r="B35" s="164" t="s">
        <v>375</v>
      </c>
      <c r="C35" s="220" t="s">
        <v>16</v>
      </c>
      <c r="D35" s="125">
        <f t="shared" si="1"/>
        <v>1000</v>
      </c>
      <c r="E35" s="125"/>
      <c r="F35" s="420">
        <f>0+1000</f>
        <v>1000</v>
      </c>
      <c r="G35" s="125"/>
      <c r="H35" s="35" t="s">
        <v>82</v>
      </c>
      <c r="I35" s="15"/>
    </row>
    <row r="36" spans="1:9" ht="76.5" customHeight="1">
      <c r="A36" s="35">
        <v>10</v>
      </c>
      <c r="B36" s="164" t="s">
        <v>549</v>
      </c>
      <c r="C36" s="220" t="s">
        <v>539</v>
      </c>
      <c r="D36" s="125">
        <f t="shared" si="1"/>
        <v>4000</v>
      </c>
      <c r="E36" s="125"/>
      <c r="F36" s="125"/>
      <c r="G36" s="125">
        <f>3000+1000</f>
        <v>4000</v>
      </c>
      <c r="H36" s="35" t="s">
        <v>594</v>
      </c>
      <c r="I36" s="15"/>
    </row>
    <row r="37" spans="1:9" ht="18.75">
      <c r="A37" s="76"/>
      <c r="B37" s="77" t="s">
        <v>5</v>
      </c>
      <c r="C37" s="77"/>
      <c r="D37" s="61">
        <f>D17+D19+D23+D25+D27+D29+D31+D33+D21+D35+D18+D20+D24+D26+D28+D30+D32+D34+D36</f>
        <v>1321303.18</v>
      </c>
      <c r="E37" s="61">
        <f>E17+E19+E23+E25+E27+E29+E31+E33+E21</f>
        <v>368400</v>
      </c>
      <c r="F37" s="61">
        <f>F17+F19+F23+F25+F27+F29+F31+F33+F21+F35</f>
        <v>405712.48000000004</v>
      </c>
      <c r="G37" s="61">
        <f>G17+G19+G23+G25+G27+G29+G31+G33+G21+G18+G20+G24+G26+G28+G30+G32+G34+G36</f>
        <v>547190.7000000001</v>
      </c>
      <c r="H37" s="71"/>
      <c r="I37" s="15"/>
    </row>
    <row r="38" spans="1:9" ht="15.75">
      <c r="A38" s="40"/>
      <c r="B38" s="169"/>
      <c r="C38" s="169"/>
      <c r="D38" s="19"/>
      <c r="E38" s="19"/>
      <c r="F38" s="19"/>
      <c r="G38" s="19"/>
      <c r="H38" s="20"/>
      <c r="I38" s="15"/>
    </row>
    <row r="39" spans="1:9" ht="11.25" customHeight="1">
      <c r="A39" s="40"/>
      <c r="B39" s="261"/>
      <c r="C39" s="169"/>
      <c r="D39" s="19"/>
      <c r="E39" s="19"/>
      <c r="F39" s="19"/>
      <c r="G39" s="19"/>
      <c r="H39" s="20"/>
      <c r="I39" s="15"/>
    </row>
    <row r="40" spans="1:9" ht="15.75">
      <c r="A40" s="40"/>
      <c r="B40" s="169"/>
      <c r="C40" s="169"/>
      <c r="D40" s="19"/>
      <c r="E40" s="19"/>
      <c r="F40" s="19"/>
      <c r="G40" s="19"/>
      <c r="H40" s="20"/>
      <c r="I40" s="15"/>
    </row>
    <row r="41" spans="2:9" ht="15.75">
      <c r="B41" s="15"/>
      <c r="C41" s="15"/>
      <c r="D41" s="15"/>
      <c r="E41" s="15"/>
      <c r="F41" s="15"/>
      <c r="G41" s="15"/>
      <c r="H41" s="15"/>
      <c r="I41" s="15"/>
    </row>
    <row r="42" spans="2:11" ht="20.25" customHeight="1">
      <c r="B42" s="748" t="s">
        <v>523</v>
      </c>
      <c r="C42" s="748"/>
      <c r="D42" s="352"/>
      <c r="E42" s="22"/>
      <c r="F42" s="170"/>
      <c r="G42" s="16"/>
      <c r="H42" s="223" t="s">
        <v>30</v>
      </c>
      <c r="J42" s="23"/>
      <c r="K42" s="24"/>
    </row>
    <row r="43" spans="2:11" ht="18.75">
      <c r="B43" s="352"/>
      <c r="C43" s="352"/>
      <c r="D43" s="352"/>
      <c r="E43" s="22"/>
      <c r="F43" s="170"/>
      <c r="G43" s="16"/>
      <c r="H43" s="223"/>
      <c r="J43" s="23"/>
      <c r="K43" s="24"/>
    </row>
    <row r="44" spans="2:11" ht="18.75">
      <c r="B44" s="777" t="s">
        <v>558</v>
      </c>
      <c r="C44" s="777"/>
      <c r="D44" s="25"/>
      <c r="E44" s="26"/>
      <c r="F44" s="26"/>
      <c r="G44" s="26"/>
      <c r="H44" s="26"/>
      <c r="I44" s="26"/>
      <c r="J44" s="15"/>
      <c r="K44" s="15"/>
    </row>
    <row r="45" spans="2:11" ht="15.75" customHeight="1">
      <c r="B45" s="27" t="s">
        <v>37</v>
      </c>
      <c r="C45" s="27"/>
      <c r="D45" s="26"/>
      <c r="E45" s="26"/>
      <c r="F45" s="26"/>
      <c r="G45" s="26"/>
      <c r="H45" s="26"/>
      <c r="I45" s="26"/>
      <c r="J45" s="15"/>
      <c r="K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sheetData>
  <sheetProtection/>
  <mergeCells count="39">
    <mergeCell ref="H21:H22"/>
    <mergeCell ref="A31:A32"/>
    <mergeCell ref="B31:B32"/>
    <mergeCell ref="H31:H32"/>
    <mergeCell ref="A33:A34"/>
    <mergeCell ref="B33:B34"/>
    <mergeCell ref="H33:H34"/>
    <mergeCell ref="A27:A28"/>
    <mergeCell ref="B27:B28"/>
    <mergeCell ref="H27:H28"/>
    <mergeCell ref="A29:A30"/>
    <mergeCell ref="B29:B30"/>
    <mergeCell ref="H29:H30"/>
    <mergeCell ref="A23:A24"/>
    <mergeCell ref="B23:B24"/>
    <mergeCell ref="H23:H24"/>
    <mergeCell ref="A25:A26"/>
    <mergeCell ref="B25:B26"/>
    <mergeCell ref="H25:H26"/>
    <mergeCell ref="H4:I4"/>
    <mergeCell ref="H7:I7"/>
    <mergeCell ref="A13:A15"/>
    <mergeCell ref="B13:B15"/>
    <mergeCell ref="A11:H11"/>
    <mergeCell ref="B42:C42"/>
    <mergeCell ref="A17:A18"/>
    <mergeCell ref="B17:B18"/>
    <mergeCell ref="H17:H18"/>
    <mergeCell ref="A19:A20"/>
    <mergeCell ref="B44:C44"/>
    <mergeCell ref="H13:H15"/>
    <mergeCell ref="E14:E15"/>
    <mergeCell ref="F14:F15"/>
    <mergeCell ref="G14:G15"/>
    <mergeCell ref="C13:C15"/>
    <mergeCell ref="D13:D15"/>
    <mergeCell ref="E13:G13"/>
    <mergeCell ref="B19:B20"/>
    <mergeCell ref="H19:H20"/>
  </mergeCells>
  <printOptions horizontalCentered="1"/>
  <pageMargins left="1.1811023622047245" right="0.5905511811023623" top="1.1811023622047245" bottom="0.7874015748031497" header="0" footer="0"/>
  <pageSetup fitToWidth="0"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K43"/>
  <sheetViews>
    <sheetView view="pageBreakPreview" zoomScaleSheetLayoutView="100" zoomScalePageLayoutView="0" workbookViewId="0" topLeftCell="A5">
      <selection activeCell="A1" sqref="A1:K37"/>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767" t="s">
        <v>447</v>
      </c>
      <c r="G1" s="767"/>
      <c r="H1" s="767"/>
      <c r="I1" s="767"/>
      <c r="J1" s="767"/>
      <c r="K1" s="17"/>
    </row>
    <row r="2" spans="2:11" ht="15" customHeight="1">
      <c r="B2" s="15"/>
      <c r="C2" s="15"/>
      <c r="D2" s="15"/>
      <c r="E2" s="15"/>
      <c r="F2" s="12" t="s">
        <v>11</v>
      </c>
      <c r="G2" s="12"/>
      <c r="H2" s="15"/>
      <c r="I2" s="12"/>
      <c r="J2" s="12"/>
      <c r="K2" s="12"/>
    </row>
    <row r="3" spans="2:11" ht="15" customHeight="1">
      <c r="B3" s="15"/>
      <c r="C3" s="15"/>
      <c r="D3" s="15"/>
      <c r="E3" s="15"/>
      <c r="F3" s="12" t="s">
        <v>566</v>
      </c>
      <c r="G3" s="12"/>
      <c r="H3" s="15"/>
      <c r="I3" s="12"/>
      <c r="J3" s="12"/>
      <c r="K3" s="12"/>
    </row>
    <row r="4" spans="2:11" ht="16.5" customHeight="1">
      <c r="B4" s="15"/>
      <c r="C4" s="15"/>
      <c r="D4" s="15"/>
      <c r="E4" s="15"/>
      <c r="F4" s="17" t="s">
        <v>567</v>
      </c>
      <c r="G4" s="17"/>
      <c r="H4" s="15"/>
      <c r="I4" s="12"/>
      <c r="J4" s="12"/>
      <c r="K4" s="12"/>
    </row>
    <row r="5" spans="2:11" ht="15" customHeight="1">
      <c r="B5" s="15"/>
      <c r="C5" s="15"/>
      <c r="D5" s="15"/>
      <c r="E5" s="15"/>
      <c r="F5" s="17" t="s">
        <v>907</v>
      </c>
      <c r="G5" s="17"/>
      <c r="H5" s="15"/>
      <c r="I5" s="12"/>
      <c r="J5" s="12"/>
      <c r="K5" s="12"/>
    </row>
    <row r="6" spans="2:11" ht="16.5" customHeight="1">
      <c r="B6" s="15"/>
      <c r="C6" s="15"/>
      <c r="D6" s="15"/>
      <c r="E6" s="15"/>
      <c r="F6" s="17" t="s">
        <v>924</v>
      </c>
      <c r="G6" s="17"/>
      <c r="H6" s="327"/>
      <c r="I6" s="12"/>
      <c r="J6" s="12"/>
      <c r="K6" s="12"/>
    </row>
    <row r="7" spans="2:11" ht="16.5" customHeight="1">
      <c r="B7" s="15"/>
      <c r="C7" s="15"/>
      <c r="D7" s="15"/>
      <c r="E7" s="15"/>
      <c r="F7" s="768" t="s">
        <v>920</v>
      </c>
      <c r="G7" s="768"/>
      <c r="H7" s="768"/>
      <c r="I7" s="768"/>
      <c r="J7" s="768"/>
      <c r="K7" s="768"/>
    </row>
    <row r="8" spans="2:11" ht="15.75" customHeight="1">
      <c r="B8" s="15"/>
      <c r="C8" s="15"/>
      <c r="D8" s="15"/>
      <c r="E8" s="15"/>
      <c r="F8" s="768" t="s">
        <v>940</v>
      </c>
      <c r="G8" s="768"/>
      <c r="H8" s="768"/>
      <c r="I8" s="768"/>
      <c r="J8" s="768"/>
      <c r="K8" s="768"/>
    </row>
    <row r="9" spans="2:11" ht="15.75">
      <c r="B9" s="15"/>
      <c r="C9" s="15"/>
      <c r="D9" s="15"/>
      <c r="E9" s="15"/>
      <c r="F9" s="15"/>
      <c r="G9" s="15"/>
      <c r="H9" s="15"/>
      <c r="I9" s="15"/>
      <c r="J9" s="15"/>
      <c r="K9" s="15"/>
    </row>
    <row r="10" spans="2:11" ht="18.75" customHeight="1">
      <c r="B10" s="769" t="s">
        <v>744</v>
      </c>
      <c r="C10" s="769"/>
      <c r="D10" s="769"/>
      <c r="E10" s="769"/>
      <c r="F10" s="769"/>
      <c r="G10" s="769"/>
      <c r="H10" s="769"/>
      <c r="I10" s="769"/>
      <c r="J10" s="769"/>
      <c r="K10" s="769"/>
    </row>
    <row r="11" spans="2:11" ht="15.75">
      <c r="B11" s="15"/>
      <c r="C11" s="15"/>
      <c r="D11" s="785"/>
      <c r="E11" s="785"/>
      <c r="F11" s="785"/>
      <c r="G11" s="785"/>
      <c r="H11" s="785"/>
      <c r="I11" s="15"/>
      <c r="J11" s="15"/>
      <c r="K11" s="34" t="s">
        <v>26</v>
      </c>
    </row>
    <row r="12" spans="1:11" ht="15.75" customHeight="1">
      <c r="A12" s="770" t="s">
        <v>6</v>
      </c>
      <c r="B12" s="770" t="s">
        <v>12</v>
      </c>
      <c r="C12" s="770" t="s">
        <v>13</v>
      </c>
      <c r="D12" s="770" t="s">
        <v>397</v>
      </c>
      <c r="E12" s="786" t="s">
        <v>9</v>
      </c>
      <c r="F12" s="786"/>
      <c r="G12" s="786"/>
      <c r="H12" s="786"/>
      <c r="I12" s="786"/>
      <c r="J12" s="786"/>
      <c r="K12" s="776" t="s">
        <v>15</v>
      </c>
    </row>
    <row r="13" spans="1:11" ht="15.75" customHeight="1">
      <c r="A13" s="771"/>
      <c r="B13" s="771"/>
      <c r="C13" s="771"/>
      <c r="D13" s="771"/>
      <c r="E13" s="770">
        <v>2021</v>
      </c>
      <c r="F13" s="783">
        <v>2022</v>
      </c>
      <c r="G13" s="770" t="s">
        <v>27</v>
      </c>
      <c r="H13" s="770" t="s">
        <v>28</v>
      </c>
      <c r="I13" s="770" t="s">
        <v>29</v>
      </c>
      <c r="J13" s="776">
        <v>2023</v>
      </c>
      <c r="K13" s="776"/>
    </row>
    <row r="14" spans="1:11" ht="18" customHeight="1">
      <c r="A14" s="772"/>
      <c r="B14" s="772"/>
      <c r="C14" s="772"/>
      <c r="D14" s="772"/>
      <c r="E14" s="772"/>
      <c r="F14" s="784"/>
      <c r="G14" s="772"/>
      <c r="H14" s="772"/>
      <c r="I14" s="772"/>
      <c r="J14" s="776"/>
      <c r="K14" s="776"/>
    </row>
    <row r="15" spans="1:11" s="505" customFormat="1" ht="69" customHeight="1">
      <c r="A15" s="219">
        <v>1</v>
      </c>
      <c r="B15" s="492" t="s">
        <v>898</v>
      </c>
      <c r="C15" s="219" t="s">
        <v>657</v>
      </c>
      <c r="D15" s="708">
        <f aca="true" t="shared" si="0" ref="D15:D24">SUM(E15:J15)</f>
        <v>116105.8</v>
      </c>
      <c r="E15" s="709">
        <f>36160.1+45.4+45+20+35</f>
        <v>36305.5</v>
      </c>
      <c r="F15" s="710">
        <v>38738</v>
      </c>
      <c r="G15" s="709"/>
      <c r="H15" s="709"/>
      <c r="I15" s="709"/>
      <c r="J15" s="709">
        <v>41062.3</v>
      </c>
      <c r="K15" s="773" t="s">
        <v>245</v>
      </c>
    </row>
    <row r="16" spans="1:11" ht="30" customHeight="1" hidden="1">
      <c r="A16" s="690" t="s">
        <v>248</v>
      </c>
      <c r="B16" s="552" t="s">
        <v>875</v>
      </c>
      <c r="C16" s="787" t="s">
        <v>657</v>
      </c>
      <c r="D16" s="711">
        <f t="shared" si="0"/>
        <v>1279.1999999999998</v>
      </c>
      <c r="E16" s="109">
        <v>400</v>
      </c>
      <c r="F16" s="110">
        <v>426.8</v>
      </c>
      <c r="G16" s="109"/>
      <c r="H16" s="109"/>
      <c r="I16" s="109"/>
      <c r="J16" s="109">
        <v>452.4</v>
      </c>
      <c r="K16" s="774"/>
    </row>
    <row r="17" spans="1:11" ht="32.25" customHeight="1" hidden="1">
      <c r="A17" s="690" t="s">
        <v>260</v>
      </c>
      <c r="B17" s="552" t="s">
        <v>876</v>
      </c>
      <c r="C17" s="788"/>
      <c r="D17" s="711">
        <f t="shared" si="0"/>
        <v>480.1</v>
      </c>
      <c r="E17" s="109">
        <v>150</v>
      </c>
      <c r="F17" s="110">
        <v>160.1</v>
      </c>
      <c r="G17" s="109"/>
      <c r="H17" s="109"/>
      <c r="I17" s="109"/>
      <c r="J17" s="109">
        <v>170</v>
      </c>
      <c r="K17" s="774"/>
    </row>
    <row r="18" spans="1:11" ht="33.75" customHeight="1" hidden="1">
      <c r="A18" s="690" t="s">
        <v>262</v>
      </c>
      <c r="B18" s="552" t="s">
        <v>877</v>
      </c>
      <c r="C18" s="788"/>
      <c r="D18" s="711">
        <f t="shared" si="0"/>
        <v>480.1</v>
      </c>
      <c r="E18" s="109">
        <v>150</v>
      </c>
      <c r="F18" s="110">
        <v>160.1</v>
      </c>
      <c r="G18" s="109"/>
      <c r="H18" s="109"/>
      <c r="I18" s="109"/>
      <c r="J18" s="109">
        <v>170</v>
      </c>
      <c r="K18" s="774"/>
    </row>
    <row r="19" spans="1:11" ht="30" customHeight="1" hidden="1">
      <c r="A19" s="690" t="s">
        <v>263</v>
      </c>
      <c r="B19" s="552" t="s">
        <v>878</v>
      </c>
      <c r="C19" s="789"/>
      <c r="D19" s="711">
        <f t="shared" si="0"/>
        <v>480.1</v>
      </c>
      <c r="E19" s="109">
        <v>150</v>
      </c>
      <c r="F19" s="110">
        <v>160.1</v>
      </c>
      <c r="G19" s="109"/>
      <c r="H19" s="109"/>
      <c r="I19" s="109"/>
      <c r="J19" s="109">
        <v>170</v>
      </c>
      <c r="K19" s="775"/>
    </row>
    <row r="20" spans="1:11" s="505" customFormat="1" ht="60.75" customHeight="1">
      <c r="A20" s="219">
        <v>2</v>
      </c>
      <c r="B20" s="492" t="s">
        <v>899</v>
      </c>
      <c r="C20" s="219" t="s">
        <v>657</v>
      </c>
      <c r="D20" s="709">
        <f t="shared" si="0"/>
        <v>54750</v>
      </c>
      <c r="E20" s="103">
        <f>150+3500+1400+2500+1000+800+1300+2500+3500+250+220</f>
        <v>17120</v>
      </c>
      <c r="F20" s="102">
        <v>18267</v>
      </c>
      <c r="G20" s="102"/>
      <c r="H20" s="102"/>
      <c r="I20" s="102"/>
      <c r="J20" s="102">
        <v>19363</v>
      </c>
      <c r="K20" s="773" t="s">
        <v>245</v>
      </c>
    </row>
    <row r="21" spans="1:11" ht="33.75" customHeight="1" hidden="1">
      <c r="A21" s="690" t="s">
        <v>356</v>
      </c>
      <c r="B21" s="552" t="s">
        <v>875</v>
      </c>
      <c r="C21" s="787" t="s">
        <v>657</v>
      </c>
      <c r="D21" s="712">
        <f t="shared" si="0"/>
        <v>480.1</v>
      </c>
      <c r="E21" s="110">
        <v>150</v>
      </c>
      <c r="F21" s="110">
        <v>160.1</v>
      </c>
      <c r="G21" s="109"/>
      <c r="H21" s="109"/>
      <c r="I21" s="109"/>
      <c r="J21" s="109">
        <v>170</v>
      </c>
      <c r="K21" s="774"/>
    </row>
    <row r="22" spans="1:11" ht="31.5" customHeight="1" hidden="1">
      <c r="A22" s="690" t="s">
        <v>388</v>
      </c>
      <c r="B22" s="552" t="s">
        <v>876</v>
      </c>
      <c r="C22" s="788"/>
      <c r="D22" s="712">
        <f t="shared" si="0"/>
        <v>830.1</v>
      </c>
      <c r="E22" s="110">
        <v>500</v>
      </c>
      <c r="F22" s="110">
        <v>160.1</v>
      </c>
      <c r="G22" s="109"/>
      <c r="H22" s="109"/>
      <c r="I22" s="109"/>
      <c r="J22" s="109">
        <v>170</v>
      </c>
      <c r="K22" s="774"/>
    </row>
    <row r="23" spans="1:11" ht="29.25" customHeight="1" hidden="1">
      <c r="A23" s="690" t="s">
        <v>413</v>
      </c>
      <c r="B23" s="552" t="s">
        <v>877</v>
      </c>
      <c r="C23" s="788"/>
      <c r="D23" s="712">
        <f t="shared" si="0"/>
        <v>480.1</v>
      </c>
      <c r="E23" s="110">
        <v>150</v>
      </c>
      <c r="F23" s="110">
        <v>160.1</v>
      </c>
      <c r="G23" s="109"/>
      <c r="H23" s="109"/>
      <c r="I23" s="109"/>
      <c r="J23" s="109">
        <v>170</v>
      </c>
      <c r="K23" s="774"/>
    </row>
    <row r="24" spans="1:11" ht="31.5" customHeight="1" hidden="1">
      <c r="A24" s="690" t="s">
        <v>414</v>
      </c>
      <c r="B24" s="552" t="s">
        <v>878</v>
      </c>
      <c r="C24" s="789"/>
      <c r="D24" s="712">
        <f t="shared" si="0"/>
        <v>1600</v>
      </c>
      <c r="E24" s="110">
        <v>500</v>
      </c>
      <c r="F24" s="110">
        <v>534</v>
      </c>
      <c r="G24" s="109"/>
      <c r="H24" s="109"/>
      <c r="I24" s="109"/>
      <c r="J24" s="109">
        <v>566</v>
      </c>
      <c r="K24" s="775"/>
    </row>
    <row r="25" spans="1:11" s="505" customFormat="1" ht="62.25" customHeight="1">
      <c r="A25" s="219">
        <v>3</v>
      </c>
      <c r="B25" s="492" t="s">
        <v>900</v>
      </c>
      <c r="C25" s="219" t="s">
        <v>657</v>
      </c>
      <c r="D25" s="709">
        <f>E25+F25+J25</f>
        <v>98228.8</v>
      </c>
      <c r="E25" s="103">
        <f>28000+407.9+4+46.3+308.7+141.9+6000</f>
        <v>34908.8</v>
      </c>
      <c r="F25" s="102">
        <v>30738</v>
      </c>
      <c r="G25" s="102"/>
      <c r="H25" s="102"/>
      <c r="I25" s="102"/>
      <c r="J25" s="102">
        <v>32582</v>
      </c>
      <c r="K25" s="773" t="s">
        <v>245</v>
      </c>
    </row>
    <row r="26" spans="1:11" ht="27" customHeight="1" hidden="1">
      <c r="A26" s="690" t="s">
        <v>460</v>
      </c>
      <c r="B26" s="552" t="s">
        <v>875</v>
      </c>
      <c r="C26" s="787" t="s">
        <v>657</v>
      </c>
      <c r="D26" s="108">
        <f>E26+F26+J26</f>
        <v>1600</v>
      </c>
      <c r="E26" s="110">
        <v>500</v>
      </c>
      <c r="F26" s="110">
        <v>534</v>
      </c>
      <c r="G26" s="109"/>
      <c r="H26" s="109"/>
      <c r="I26" s="109"/>
      <c r="J26" s="109">
        <v>566</v>
      </c>
      <c r="K26" s="774"/>
    </row>
    <row r="27" spans="1:11" ht="27" customHeight="1" hidden="1">
      <c r="A27" s="690" t="s">
        <v>514</v>
      </c>
      <c r="B27" s="552" t="s">
        <v>876</v>
      </c>
      <c r="C27" s="788"/>
      <c r="D27" s="108">
        <f>E27+F27+J27</f>
        <v>319.7</v>
      </c>
      <c r="E27" s="110">
        <v>100</v>
      </c>
      <c r="F27" s="109">
        <v>106.7</v>
      </c>
      <c r="G27" s="109"/>
      <c r="H27" s="109"/>
      <c r="I27" s="109"/>
      <c r="J27" s="109">
        <v>113</v>
      </c>
      <c r="K27" s="774"/>
    </row>
    <row r="28" spans="1:11" ht="29.25" customHeight="1" hidden="1">
      <c r="A28" s="690" t="s">
        <v>514</v>
      </c>
      <c r="B28" s="552" t="s">
        <v>877</v>
      </c>
      <c r="C28" s="788"/>
      <c r="D28" s="108">
        <f>E28+F28+J28</f>
        <v>959.4000000000001</v>
      </c>
      <c r="E28" s="110">
        <v>300</v>
      </c>
      <c r="F28" s="109">
        <v>320.1</v>
      </c>
      <c r="G28" s="109"/>
      <c r="H28" s="109"/>
      <c r="I28" s="109"/>
      <c r="J28" s="109">
        <v>339.3</v>
      </c>
      <c r="K28" s="774"/>
    </row>
    <row r="29" spans="1:11" ht="30.75" customHeight="1" hidden="1">
      <c r="A29" s="690" t="s">
        <v>623</v>
      </c>
      <c r="B29" s="552" t="s">
        <v>878</v>
      </c>
      <c r="C29" s="789"/>
      <c r="D29" s="108">
        <f>E29+F29+J29</f>
        <v>1600</v>
      </c>
      <c r="E29" s="110">
        <v>500</v>
      </c>
      <c r="F29" s="110">
        <v>534</v>
      </c>
      <c r="G29" s="109"/>
      <c r="H29" s="109"/>
      <c r="I29" s="109"/>
      <c r="J29" s="109">
        <v>566</v>
      </c>
      <c r="K29" s="775"/>
    </row>
    <row r="30" spans="1:11" ht="32.25" customHeight="1">
      <c r="A30" s="69"/>
      <c r="B30" s="59" t="s">
        <v>5</v>
      </c>
      <c r="C30" s="70"/>
      <c r="D30" s="101">
        <f>D25+D20+D15</f>
        <v>269084.6</v>
      </c>
      <c r="E30" s="142">
        <f aca="true" t="shared" si="1" ref="E30:J30">E15+E20+E25</f>
        <v>88334.3</v>
      </c>
      <c r="F30" s="142">
        <f t="shared" si="1"/>
        <v>87743</v>
      </c>
      <c r="G30" s="142">
        <f t="shared" si="1"/>
        <v>0</v>
      </c>
      <c r="H30" s="142">
        <f t="shared" si="1"/>
        <v>0</v>
      </c>
      <c r="I30" s="142">
        <f t="shared" si="1"/>
        <v>0</v>
      </c>
      <c r="J30" s="142">
        <f t="shared" si="1"/>
        <v>93007.3</v>
      </c>
      <c r="K30" s="71"/>
    </row>
    <row r="31" spans="1:11" ht="15.75" customHeight="1">
      <c r="A31" s="38"/>
      <c r="B31" s="18"/>
      <c r="C31" s="18"/>
      <c r="D31" s="19"/>
      <c r="E31" s="136"/>
      <c r="F31" s="136"/>
      <c r="G31" s="136"/>
      <c r="H31" s="136"/>
      <c r="I31" s="136"/>
      <c r="J31" s="136"/>
      <c r="K31" s="20"/>
    </row>
    <row r="32" spans="1:11" ht="15" customHeight="1">
      <c r="A32" s="38"/>
      <c r="B32" s="18"/>
      <c r="C32" s="18"/>
      <c r="D32" s="19"/>
      <c r="E32" s="136"/>
      <c r="F32" s="136"/>
      <c r="G32" s="136"/>
      <c r="H32" s="136"/>
      <c r="I32" s="136"/>
      <c r="J32" s="136"/>
      <c r="K32" s="20"/>
    </row>
    <row r="33" spans="1:11" ht="15.75" customHeight="1">
      <c r="A33" s="38"/>
      <c r="B33" s="18"/>
      <c r="C33" s="18"/>
      <c r="D33" s="19"/>
      <c r="E33" s="136"/>
      <c r="F33" s="136"/>
      <c r="G33" s="136"/>
      <c r="H33" s="136"/>
      <c r="I33" s="136"/>
      <c r="J33" s="136"/>
      <c r="K33" s="20"/>
    </row>
    <row r="34" spans="2:11" ht="15.75">
      <c r="B34" s="18"/>
      <c r="C34" s="18"/>
      <c r="D34" s="19"/>
      <c r="E34" s="19"/>
      <c r="F34" s="19"/>
      <c r="G34" s="19"/>
      <c r="H34" s="19"/>
      <c r="I34" s="19"/>
      <c r="J34" s="19"/>
      <c r="K34" s="20"/>
    </row>
    <row r="35" spans="2:11" ht="18.75" customHeight="1">
      <c r="B35" s="748" t="s">
        <v>523</v>
      </c>
      <c r="C35" s="748"/>
      <c r="D35" s="352"/>
      <c r="E35" s="22"/>
      <c r="F35" s="22"/>
      <c r="G35" s="16"/>
      <c r="H35" s="16"/>
      <c r="I35" s="16"/>
      <c r="J35" s="16"/>
      <c r="K35" s="23" t="s">
        <v>30</v>
      </c>
    </row>
    <row r="36" spans="2:11" ht="15.75" customHeight="1">
      <c r="B36" s="352"/>
      <c r="C36" s="352"/>
      <c r="D36" s="352"/>
      <c r="E36" s="22"/>
      <c r="F36" s="22"/>
      <c r="G36" s="16"/>
      <c r="H36" s="16"/>
      <c r="I36" s="16"/>
      <c r="J36" s="16"/>
      <c r="K36" s="23"/>
    </row>
    <row r="37" spans="2:11" ht="18.75">
      <c r="B37" s="777" t="s">
        <v>558</v>
      </c>
      <c r="C37" s="777"/>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5">
    <mergeCell ref="K15:K19"/>
    <mergeCell ref="C16:C19"/>
    <mergeCell ref="C21:C24"/>
    <mergeCell ref="K20:K24"/>
    <mergeCell ref="C26:C29"/>
    <mergeCell ref="K25:K29"/>
    <mergeCell ref="I13:I14"/>
    <mergeCell ref="J13:J14"/>
    <mergeCell ref="B10:K10"/>
    <mergeCell ref="D11:H11"/>
    <mergeCell ref="A12:A14"/>
    <mergeCell ref="B12:B14"/>
    <mergeCell ref="C12:C14"/>
    <mergeCell ref="D12:D14"/>
    <mergeCell ref="E12:J12"/>
    <mergeCell ref="F7:K7"/>
    <mergeCell ref="B37:C37"/>
    <mergeCell ref="B35:C35"/>
    <mergeCell ref="F1:J1"/>
    <mergeCell ref="F8:K8"/>
    <mergeCell ref="K12:K14"/>
    <mergeCell ref="E13:E14"/>
    <mergeCell ref="F13:F14"/>
    <mergeCell ref="G13:G14"/>
    <mergeCell ref="H13:H14"/>
  </mergeCells>
  <printOptions horizontalCentered="1"/>
  <pageMargins left="0" right="0" top="1.1811023622047245" bottom="0" header="0" footer="0"/>
  <pageSetup fitToHeight="1" fitToWidth="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N137"/>
  <sheetViews>
    <sheetView view="pageBreakPreview" zoomScale="75" zoomScaleSheetLayoutView="75" zoomScalePageLayoutView="0" workbookViewId="0" topLeftCell="A22">
      <selection activeCell="B48" sqref="B48:B49"/>
    </sheetView>
  </sheetViews>
  <sheetFormatPr defaultColWidth="9.140625" defaultRowHeight="12.75"/>
  <cols>
    <col min="1" max="1" width="6.140625" style="171" bestFit="1" customWidth="1"/>
    <col min="2" max="2" width="73.7109375" style="0" customWidth="1"/>
    <col min="3" max="3" width="17.7109375" style="0" customWidth="1"/>
    <col min="4" max="4" width="14.421875" style="0" customWidth="1"/>
    <col min="5" max="5" width="12.28125" style="256"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5.75">
      <c r="K1" s="1" t="s">
        <v>449</v>
      </c>
      <c r="L1" s="513"/>
      <c r="M1" s="2"/>
    </row>
    <row r="2" spans="11:13" ht="15.75">
      <c r="K2" s="767" t="s">
        <v>11</v>
      </c>
      <c r="L2" s="767"/>
      <c r="M2" s="1"/>
    </row>
    <row r="3" spans="11:13" ht="15.75">
      <c r="K3" s="12" t="s">
        <v>659</v>
      </c>
      <c r="L3" s="12"/>
      <c r="M3" s="1"/>
    </row>
    <row r="4" spans="11:13" ht="15.75">
      <c r="K4" s="12" t="s">
        <v>723</v>
      </c>
      <c r="L4" s="12"/>
      <c r="M4" s="1"/>
    </row>
    <row r="5" spans="2:14" ht="15.75">
      <c r="B5" s="1"/>
      <c r="C5" s="1"/>
      <c r="D5" s="1"/>
      <c r="E5" s="257"/>
      <c r="F5" s="1"/>
      <c r="G5" s="1"/>
      <c r="H5" s="1"/>
      <c r="I5" s="1"/>
      <c r="J5" s="2" t="s">
        <v>71</v>
      </c>
      <c r="K5" s="12" t="s">
        <v>660</v>
      </c>
      <c r="L5" s="12"/>
      <c r="M5" s="3"/>
      <c r="N5" s="2"/>
    </row>
    <row r="6" spans="2:14" ht="15.75">
      <c r="B6" s="1"/>
      <c r="C6" s="1"/>
      <c r="D6" s="1"/>
      <c r="E6" s="257"/>
      <c r="F6" s="1"/>
      <c r="G6" s="1"/>
      <c r="H6" s="1"/>
      <c r="I6" s="1"/>
      <c r="J6" s="2"/>
      <c r="K6" s="12" t="s">
        <v>654</v>
      </c>
      <c r="L6" s="12"/>
      <c r="M6" s="3"/>
      <c r="N6" s="2"/>
    </row>
    <row r="7" spans="2:14" ht="15.75">
      <c r="B7" s="1"/>
      <c r="C7" s="1"/>
      <c r="D7" s="1"/>
      <c r="E7" s="257"/>
      <c r="F7" s="1"/>
      <c r="G7" s="1"/>
      <c r="H7" s="1"/>
      <c r="I7" s="9"/>
      <c r="J7" s="3" t="s">
        <v>83</v>
      </c>
      <c r="K7" s="15" t="s">
        <v>655</v>
      </c>
      <c r="L7" s="12"/>
      <c r="M7" s="3"/>
      <c r="N7" s="3"/>
    </row>
    <row r="8" spans="2:14" ht="18.75">
      <c r="B8" s="1"/>
      <c r="C8" s="1"/>
      <c r="D8" s="1"/>
      <c r="E8" s="257"/>
      <c r="F8" s="1"/>
      <c r="G8" s="1"/>
      <c r="H8" s="1"/>
      <c r="I8" s="9"/>
      <c r="J8" s="3"/>
      <c r="K8" s="55" t="s">
        <v>565</v>
      </c>
      <c r="L8" s="55"/>
      <c r="M8" s="3"/>
      <c r="N8" s="3"/>
    </row>
    <row r="9" spans="2:14" ht="18.75">
      <c r="B9" s="1"/>
      <c r="C9" s="1"/>
      <c r="D9" s="1"/>
      <c r="E9" s="257"/>
      <c r="F9" s="1"/>
      <c r="G9" s="1"/>
      <c r="H9" s="1"/>
      <c r="I9" s="9"/>
      <c r="J9" s="3"/>
      <c r="K9" s="344" t="s">
        <v>651</v>
      </c>
      <c r="L9" s="55"/>
      <c r="M9" s="3"/>
      <c r="N9" s="3"/>
    </row>
    <row r="10" spans="2:11" ht="15.75">
      <c r="B10" s="1"/>
      <c r="C10" s="1"/>
      <c r="D10" s="1"/>
      <c r="E10" s="257"/>
      <c r="F10" s="1"/>
      <c r="G10" s="1"/>
      <c r="H10" s="1"/>
      <c r="I10" s="1"/>
      <c r="J10" s="1"/>
      <c r="K10" s="1"/>
    </row>
    <row r="11" spans="2:11" ht="40.5" customHeight="1">
      <c r="B11" s="815" t="s">
        <v>526</v>
      </c>
      <c r="C11" s="815"/>
      <c r="D11" s="815"/>
      <c r="E11" s="815"/>
      <c r="F11" s="815"/>
      <c r="G11" s="815"/>
      <c r="H11" s="815"/>
      <c r="I11" s="815"/>
      <c r="J11" s="815"/>
      <c r="K11" s="815"/>
    </row>
    <row r="12" spans="2:11" ht="15.75">
      <c r="B12" s="1"/>
      <c r="C12" s="1"/>
      <c r="D12" s="1"/>
      <c r="E12" s="257"/>
      <c r="F12" s="1"/>
      <c r="G12" s="1"/>
      <c r="H12" s="1"/>
      <c r="I12" s="1"/>
      <c r="J12" s="1"/>
      <c r="K12" s="45" t="s">
        <v>426</v>
      </c>
    </row>
    <row r="13" spans="1:11" ht="18.75">
      <c r="A13" s="793" t="s">
        <v>84</v>
      </c>
      <c r="B13" s="816" t="s">
        <v>12</v>
      </c>
      <c r="C13" s="816" t="s">
        <v>13</v>
      </c>
      <c r="D13" s="816" t="s">
        <v>397</v>
      </c>
      <c r="E13" s="817" t="s">
        <v>9</v>
      </c>
      <c r="F13" s="817"/>
      <c r="G13" s="817"/>
      <c r="H13" s="817"/>
      <c r="I13" s="817"/>
      <c r="J13" s="817"/>
      <c r="K13" s="816" t="s">
        <v>15</v>
      </c>
    </row>
    <row r="14" spans="1:11" ht="40.5" customHeight="1">
      <c r="A14" s="794"/>
      <c r="B14" s="816"/>
      <c r="C14" s="816"/>
      <c r="D14" s="816"/>
      <c r="E14" s="233" t="s">
        <v>428</v>
      </c>
      <c r="F14" s="56" t="s">
        <v>429</v>
      </c>
      <c r="G14" s="56" t="s">
        <v>409</v>
      </c>
      <c r="H14" s="172" t="s">
        <v>27</v>
      </c>
      <c r="I14" s="172" t="s">
        <v>28</v>
      </c>
      <c r="J14" s="172" t="s">
        <v>29</v>
      </c>
      <c r="K14" s="816"/>
    </row>
    <row r="15" spans="1:11" ht="19.5" customHeight="1">
      <c r="A15" s="793">
        <v>1</v>
      </c>
      <c r="B15" s="173" t="s">
        <v>85</v>
      </c>
      <c r="C15" s="797" t="s">
        <v>546</v>
      </c>
      <c r="D15" s="174">
        <f>E15+F15+G15</f>
        <v>11601</v>
      </c>
      <c r="E15" s="237">
        <f>E16+E17+E20+E18+E19</f>
        <v>2630</v>
      </c>
      <c r="F15" s="175">
        <f>F16+F17+F20+F18+F19</f>
        <v>5225</v>
      </c>
      <c r="G15" s="175">
        <f>G16+G17+G20+G18+G19</f>
        <v>3746</v>
      </c>
      <c r="H15" s="176">
        <f>H16+H17</f>
        <v>0</v>
      </c>
      <c r="I15" s="176">
        <f>I16+I17</f>
        <v>0</v>
      </c>
      <c r="J15" s="176">
        <f>J16+J17</f>
        <v>0</v>
      </c>
      <c r="K15" s="797" t="s">
        <v>86</v>
      </c>
    </row>
    <row r="16" spans="1:12" ht="32.25" customHeight="1">
      <c r="A16" s="803"/>
      <c r="B16" s="68" t="s">
        <v>510</v>
      </c>
      <c r="C16" s="804"/>
      <c r="D16" s="174">
        <f aca="true" t="shared" si="0" ref="D16:D55">E16+F16+G16</f>
        <v>8670</v>
      </c>
      <c r="E16" s="237">
        <f>2700-1000</f>
        <v>1700</v>
      </c>
      <c r="F16" s="177">
        <f>2700+1820-250</f>
        <v>4270</v>
      </c>
      <c r="G16" s="175">
        <v>2700</v>
      </c>
      <c r="H16" s="176"/>
      <c r="I16" s="176"/>
      <c r="J16" s="176"/>
      <c r="K16" s="804"/>
      <c r="L16" s="5"/>
    </row>
    <row r="17" spans="1:11" ht="41.25" customHeight="1">
      <c r="A17" s="803"/>
      <c r="B17" s="68" t="s">
        <v>190</v>
      </c>
      <c r="C17" s="804"/>
      <c r="D17" s="174">
        <f t="shared" si="0"/>
        <v>1840</v>
      </c>
      <c r="E17" s="237">
        <v>590</v>
      </c>
      <c r="F17" s="177">
        <v>610</v>
      </c>
      <c r="G17" s="175">
        <v>640</v>
      </c>
      <c r="H17" s="176"/>
      <c r="I17" s="176"/>
      <c r="J17" s="176"/>
      <c r="K17" s="804"/>
    </row>
    <row r="18" spans="1:11" ht="19.5" customHeight="1">
      <c r="A18" s="803"/>
      <c r="B18" s="68" t="s">
        <v>223</v>
      </c>
      <c r="C18" s="804"/>
      <c r="D18" s="174">
        <f>E18+F18+G18</f>
        <v>225</v>
      </c>
      <c r="E18" s="237">
        <v>65</v>
      </c>
      <c r="F18" s="177">
        <v>70</v>
      </c>
      <c r="G18" s="175">
        <f>75+15</f>
        <v>90</v>
      </c>
      <c r="H18" s="176"/>
      <c r="I18" s="176"/>
      <c r="J18" s="176"/>
      <c r="K18" s="804"/>
    </row>
    <row r="19" spans="1:11" ht="37.5">
      <c r="A19" s="803"/>
      <c r="B19" s="68" t="s">
        <v>89</v>
      </c>
      <c r="C19" s="804"/>
      <c r="D19" s="174">
        <f>E19+F19+G19</f>
        <v>570</v>
      </c>
      <c r="E19" s="237">
        <v>190</v>
      </c>
      <c r="F19" s="177">
        <v>190</v>
      </c>
      <c r="G19" s="175">
        <v>190</v>
      </c>
      <c r="H19" s="176"/>
      <c r="I19" s="176"/>
      <c r="J19" s="176"/>
      <c r="K19" s="804"/>
    </row>
    <row r="20" spans="1:11" ht="19.5" customHeight="1">
      <c r="A20" s="794"/>
      <c r="B20" s="68" t="s">
        <v>90</v>
      </c>
      <c r="C20" s="798"/>
      <c r="D20" s="174">
        <f t="shared" si="0"/>
        <v>296</v>
      </c>
      <c r="E20" s="237">
        <v>85</v>
      </c>
      <c r="F20" s="177">
        <v>85</v>
      </c>
      <c r="G20" s="175">
        <f>85+41</f>
        <v>126</v>
      </c>
      <c r="H20" s="176"/>
      <c r="I20" s="176"/>
      <c r="J20" s="176"/>
      <c r="K20" s="798"/>
    </row>
    <row r="21" spans="1:11" ht="19.5" customHeight="1">
      <c r="A21" s="793">
        <v>2</v>
      </c>
      <c r="B21" s="173" t="s">
        <v>91</v>
      </c>
      <c r="C21" s="797" t="s">
        <v>547</v>
      </c>
      <c r="D21" s="174">
        <f>D22+D23+D24</f>
        <v>12220</v>
      </c>
      <c r="E21" s="237">
        <f>E22+E23+E24</f>
        <v>3560</v>
      </c>
      <c r="F21" s="177">
        <f>F22+F23+F24</f>
        <v>3820</v>
      </c>
      <c r="G21" s="175">
        <f>G22+G23+G24</f>
        <v>4840</v>
      </c>
      <c r="H21" s="176" t="e">
        <f>H22+H23+#REF!+H24</f>
        <v>#REF!</v>
      </c>
      <c r="I21" s="176" t="e">
        <f>I22+I23+#REF!+I24</f>
        <v>#REF!</v>
      </c>
      <c r="J21" s="176" t="e">
        <f>J22+J23+#REF!+J24</f>
        <v>#REF!</v>
      </c>
      <c r="K21" s="797" t="s">
        <v>86</v>
      </c>
    </row>
    <row r="22" spans="1:11" ht="33.75" customHeight="1">
      <c r="A22" s="803"/>
      <c r="B22" s="178" t="s">
        <v>505</v>
      </c>
      <c r="C22" s="804"/>
      <c r="D22" s="174">
        <f t="shared" si="0"/>
        <v>5650</v>
      </c>
      <c r="E22" s="237">
        <f>2100-500</f>
        <v>1600</v>
      </c>
      <c r="F22" s="177">
        <f>2200-450</f>
        <v>1750</v>
      </c>
      <c r="G22" s="175">
        <v>2300</v>
      </c>
      <c r="H22" s="176"/>
      <c r="I22" s="176"/>
      <c r="J22" s="176"/>
      <c r="K22" s="804"/>
    </row>
    <row r="23" spans="1:11" ht="19.5" customHeight="1">
      <c r="A23" s="803"/>
      <c r="B23" s="68" t="s">
        <v>92</v>
      </c>
      <c r="C23" s="804"/>
      <c r="D23" s="174">
        <f t="shared" si="0"/>
        <v>4800</v>
      </c>
      <c r="E23" s="237">
        <v>1500</v>
      </c>
      <c r="F23" s="177">
        <v>1600</v>
      </c>
      <c r="G23" s="175">
        <v>1700</v>
      </c>
      <c r="H23" s="176"/>
      <c r="I23" s="176"/>
      <c r="J23" s="176"/>
      <c r="K23" s="804"/>
    </row>
    <row r="24" spans="1:11" ht="20.25" customHeight="1">
      <c r="A24" s="794"/>
      <c r="B24" s="68" t="s">
        <v>93</v>
      </c>
      <c r="C24" s="798"/>
      <c r="D24" s="174">
        <f t="shared" si="0"/>
        <v>1770</v>
      </c>
      <c r="E24" s="237">
        <v>460</v>
      </c>
      <c r="F24" s="177">
        <v>470</v>
      </c>
      <c r="G24" s="175">
        <f>480+360</f>
        <v>840</v>
      </c>
      <c r="H24" s="176"/>
      <c r="I24" s="176"/>
      <c r="J24" s="176"/>
      <c r="K24" s="798"/>
    </row>
    <row r="25" spans="1:11" ht="15" customHeight="1" hidden="1">
      <c r="A25" s="179"/>
      <c r="B25" s="68" t="s">
        <v>94</v>
      </c>
      <c r="C25" s="46" t="s">
        <v>16</v>
      </c>
      <c r="D25" s="174">
        <f t="shared" si="0"/>
        <v>0</v>
      </c>
      <c r="E25" s="237"/>
      <c r="F25" s="177"/>
      <c r="G25" s="433"/>
      <c r="H25" s="180"/>
      <c r="I25" s="176"/>
      <c r="J25" s="176"/>
      <c r="K25" s="46" t="s">
        <v>95</v>
      </c>
    </row>
    <row r="26" spans="1:11" ht="15" customHeight="1" hidden="1">
      <c r="A26" s="179"/>
      <c r="B26" s="68" t="s">
        <v>96</v>
      </c>
      <c r="C26" s="46" t="s">
        <v>16</v>
      </c>
      <c r="D26" s="174">
        <f t="shared" si="0"/>
        <v>0</v>
      </c>
      <c r="E26" s="237">
        <v>0</v>
      </c>
      <c r="F26" s="177">
        <v>0</v>
      </c>
      <c r="G26" s="433">
        <v>0</v>
      </c>
      <c r="H26" s="181"/>
      <c r="I26" s="181"/>
      <c r="J26" s="181"/>
      <c r="K26" s="46" t="s">
        <v>95</v>
      </c>
    </row>
    <row r="27" spans="1:11" ht="19.5" customHeight="1">
      <c r="A27" s="793">
        <v>3</v>
      </c>
      <c r="B27" s="173" t="s">
        <v>97</v>
      </c>
      <c r="C27" s="797" t="s">
        <v>547</v>
      </c>
      <c r="D27" s="174">
        <f>D28+D29+D30+D33+D31+D32+D34</f>
        <v>6202.4</v>
      </c>
      <c r="E27" s="237">
        <f>E28+E29+E30+E33+E31+E32</f>
        <v>1607</v>
      </c>
      <c r="F27" s="177">
        <f>F28+F29+F30+F33+F31+F32</f>
        <v>1738</v>
      </c>
      <c r="G27" s="175">
        <f>G28+G29+G30+G33+G31+G32+G34</f>
        <v>2857.4</v>
      </c>
      <c r="H27" s="176">
        <f>H28+H29+H30</f>
        <v>0</v>
      </c>
      <c r="I27" s="176">
        <f>I28+I29+I30</f>
        <v>0</v>
      </c>
      <c r="J27" s="176">
        <f>J28+J29+J30</f>
        <v>0</v>
      </c>
      <c r="K27" s="797" t="s">
        <v>86</v>
      </c>
    </row>
    <row r="28" spans="1:11" ht="30.75" customHeight="1">
      <c r="A28" s="803"/>
      <c r="B28" s="68" t="s">
        <v>509</v>
      </c>
      <c r="C28" s="804"/>
      <c r="D28" s="174">
        <f t="shared" si="0"/>
        <v>4400</v>
      </c>
      <c r="E28" s="237">
        <v>1300</v>
      </c>
      <c r="F28" s="177">
        <v>1400</v>
      </c>
      <c r="G28" s="175">
        <f>1500+200</f>
        <v>1700</v>
      </c>
      <c r="H28" s="176"/>
      <c r="I28" s="176"/>
      <c r="J28" s="176"/>
      <c r="K28" s="804"/>
    </row>
    <row r="29" spans="1:11" ht="19.5" customHeight="1">
      <c r="A29" s="803"/>
      <c r="B29" s="68" t="s">
        <v>98</v>
      </c>
      <c r="C29" s="804"/>
      <c r="D29" s="174">
        <f t="shared" si="0"/>
        <v>720</v>
      </c>
      <c r="E29" s="237">
        <v>230</v>
      </c>
      <c r="F29" s="177">
        <v>240</v>
      </c>
      <c r="G29" s="175">
        <v>250</v>
      </c>
      <c r="H29" s="176"/>
      <c r="I29" s="176"/>
      <c r="J29" s="176"/>
      <c r="K29" s="804"/>
    </row>
    <row r="30" spans="1:11" ht="19.5" customHeight="1">
      <c r="A30" s="803"/>
      <c r="B30" s="68" t="s">
        <v>99</v>
      </c>
      <c r="C30" s="804"/>
      <c r="D30" s="174">
        <f t="shared" si="0"/>
        <v>47</v>
      </c>
      <c r="E30" s="237">
        <v>2</v>
      </c>
      <c r="F30" s="177">
        <f>3+17</f>
        <v>20</v>
      </c>
      <c r="G30" s="175">
        <f>4+21</f>
        <v>25</v>
      </c>
      <c r="H30" s="176"/>
      <c r="I30" s="176"/>
      <c r="J30" s="176"/>
      <c r="K30" s="804"/>
    </row>
    <row r="31" spans="1:11" ht="19.5" customHeight="1">
      <c r="A31" s="803"/>
      <c r="B31" s="68" t="s">
        <v>100</v>
      </c>
      <c r="C31" s="804"/>
      <c r="D31" s="174">
        <f t="shared" si="0"/>
        <v>15</v>
      </c>
      <c r="E31" s="237">
        <v>4</v>
      </c>
      <c r="F31" s="177">
        <v>5</v>
      </c>
      <c r="G31" s="175">
        <v>6</v>
      </c>
      <c r="H31" s="176"/>
      <c r="I31" s="176"/>
      <c r="J31" s="176"/>
      <c r="K31" s="804"/>
    </row>
    <row r="32" spans="1:11" ht="19.5" customHeight="1">
      <c r="A32" s="803"/>
      <c r="B32" s="68" t="s">
        <v>101</v>
      </c>
      <c r="C32" s="804"/>
      <c r="D32" s="174">
        <f t="shared" si="0"/>
        <v>15</v>
      </c>
      <c r="E32" s="237">
        <v>4</v>
      </c>
      <c r="F32" s="177">
        <v>5</v>
      </c>
      <c r="G32" s="175">
        <v>6</v>
      </c>
      <c r="H32" s="176"/>
      <c r="I32" s="176"/>
      <c r="J32" s="176"/>
      <c r="K32" s="804"/>
    </row>
    <row r="33" spans="1:11" ht="19.5" customHeight="1">
      <c r="A33" s="794"/>
      <c r="B33" s="68" t="s">
        <v>506</v>
      </c>
      <c r="C33" s="804"/>
      <c r="D33" s="174">
        <f t="shared" si="0"/>
        <v>215</v>
      </c>
      <c r="E33" s="237">
        <v>67</v>
      </c>
      <c r="F33" s="177">
        <v>68</v>
      </c>
      <c r="G33" s="175">
        <f>69+11</f>
        <v>80</v>
      </c>
      <c r="H33" s="176"/>
      <c r="I33" s="176"/>
      <c r="J33" s="176"/>
      <c r="K33" s="804"/>
    </row>
    <row r="34" spans="1:11" ht="30" customHeight="1">
      <c r="A34" s="224"/>
      <c r="B34" s="68" t="s">
        <v>508</v>
      </c>
      <c r="C34" s="798"/>
      <c r="D34" s="174">
        <f t="shared" si="0"/>
        <v>790.4</v>
      </c>
      <c r="E34" s="237">
        <v>0</v>
      </c>
      <c r="F34" s="177">
        <v>0</v>
      </c>
      <c r="G34" s="175">
        <v>790.4</v>
      </c>
      <c r="H34" s="176"/>
      <c r="I34" s="176"/>
      <c r="J34" s="176"/>
      <c r="K34" s="798"/>
    </row>
    <row r="35" spans="1:11" ht="30.75" customHeight="1">
      <c r="A35" s="790">
        <v>4</v>
      </c>
      <c r="B35" s="812" t="s">
        <v>512</v>
      </c>
      <c r="C35" s="46" t="s">
        <v>16</v>
      </c>
      <c r="D35" s="182">
        <f>E35+F35+G35</f>
        <v>2700</v>
      </c>
      <c r="E35" s="237">
        <v>1300</v>
      </c>
      <c r="F35" s="177">
        <v>1400</v>
      </c>
      <c r="G35" s="183"/>
      <c r="H35" s="176"/>
      <c r="I35" s="176"/>
      <c r="J35" s="176"/>
      <c r="K35" s="797" t="s">
        <v>86</v>
      </c>
    </row>
    <row r="36" spans="1:11" ht="25.5" customHeight="1">
      <c r="A36" s="791"/>
      <c r="B36" s="813"/>
      <c r="C36" s="450" t="s">
        <v>539</v>
      </c>
      <c r="D36" s="182">
        <f>E36+F36+G36</f>
        <v>1500</v>
      </c>
      <c r="E36" s="237"/>
      <c r="F36" s="177"/>
      <c r="G36" s="183">
        <v>1500</v>
      </c>
      <c r="H36" s="176"/>
      <c r="I36" s="176"/>
      <c r="J36" s="176"/>
      <c r="K36" s="798"/>
    </row>
    <row r="37" spans="1:11" ht="24" customHeight="1">
      <c r="A37" s="793">
        <v>5</v>
      </c>
      <c r="B37" s="173" t="s">
        <v>103</v>
      </c>
      <c r="C37" s="797" t="s">
        <v>547</v>
      </c>
      <c r="D37" s="182">
        <f>D38+D39+D40+D41+D42+D43</f>
        <v>7776.6</v>
      </c>
      <c r="E37" s="237">
        <f>E38+E39+E40+E41+E42+E43</f>
        <v>3100</v>
      </c>
      <c r="F37" s="177">
        <f>F38+F39+F40+F41+F42+F43</f>
        <v>3270</v>
      </c>
      <c r="G37" s="183">
        <f>G38+G39+G40+G41+G42+G43</f>
        <v>1406.6</v>
      </c>
      <c r="H37" s="184" t="e">
        <f>H38+H39+H40+H41+H42+#REF!+H43+#REF!+#REF!+#REF!</f>
        <v>#REF!</v>
      </c>
      <c r="I37" s="184" t="e">
        <f>I38+I39+I40+I41+I42+#REF!+I43+#REF!+#REF!+#REF!</f>
        <v>#REF!</v>
      </c>
      <c r="J37" s="184" t="e">
        <f>J38+J39+J40+J41+J42+#REF!+J43+#REF!+#REF!+#REF!</f>
        <v>#REF!</v>
      </c>
      <c r="K37" s="797" t="s">
        <v>86</v>
      </c>
    </row>
    <row r="38" spans="1:11" ht="33.75" customHeight="1">
      <c r="A38" s="803"/>
      <c r="B38" s="68" t="s">
        <v>104</v>
      </c>
      <c r="C38" s="804"/>
      <c r="D38" s="182">
        <f t="shared" si="0"/>
        <v>660</v>
      </c>
      <c r="E38" s="237">
        <v>210</v>
      </c>
      <c r="F38" s="177">
        <v>220</v>
      </c>
      <c r="G38" s="183">
        <v>230</v>
      </c>
      <c r="H38" s="176"/>
      <c r="I38" s="176"/>
      <c r="J38" s="176"/>
      <c r="K38" s="804"/>
    </row>
    <row r="39" spans="1:11" ht="20.25" customHeight="1">
      <c r="A39" s="803"/>
      <c r="B39" s="68" t="s">
        <v>87</v>
      </c>
      <c r="C39" s="804"/>
      <c r="D39" s="182">
        <f t="shared" si="0"/>
        <v>630</v>
      </c>
      <c r="E39" s="237">
        <v>205</v>
      </c>
      <c r="F39" s="177">
        <v>210</v>
      </c>
      <c r="G39" s="183">
        <v>215</v>
      </c>
      <c r="H39" s="176"/>
      <c r="I39" s="176"/>
      <c r="J39" s="176"/>
      <c r="K39" s="804"/>
    </row>
    <row r="40" spans="1:11" ht="20.25" customHeight="1">
      <c r="A40" s="803"/>
      <c r="B40" s="68" t="s">
        <v>88</v>
      </c>
      <c r="C40" s="804"/>
      <c r="D40" s="182">
        <f t="shared" si="0"/>
        <v>330</v>
      </c>
      <c r="E40" s="237">
        <v>105</v>
      </c>
      <c r="F40" s="177">
        <v>110</v>
      </c>
      <c r="G40" s="183">
        <v>115</v>
      </c>
      <c r="H40" s="176"/>
      <c r="I40" s="176"/>
      <c r="J40" s="176"/>
      <c r="K40" s="804"/>
    </row>
    <row r="41" spans="1:11" ht="22.5" customHeight="1">
      <c r="A41" s="803"/>
      <c r="B41" s="68" t="s">
        <v>105</v>
      </c>
      <c r="C41" s="804"/>
      <c r="D41" s="182">
        <f t="shared" si="0"/>
        <v>1130</v>
      </c>
      <c r="E41" s="237">
        <v>350</v>
      </c>
      <c r="F41" s="177">
        <v>380</v>
      </c>
      <c r="G41" s="183">
        <v>400</v>
      </c>
      <c r="H41" s="176"/>
      <c r="I41" s="176"/>
      <c r="J41" s="176"/>
      <c r="K41" s="804"/>
    </row>
    <row r="42" spans="1:11" ht="20.25" customHeight="1">
      <c r="A42" s="803"/>
      <c r="B42" s="68" t="s">
        <v>92</v>
      </c>
      <c r="C42" s="804"/>
      <c r="D42" s="182">
        <f t="shared" si="0"/>
        <v>1326.6</v>
      </c>
      <c r="E42" s="237">
        <v>430</v>
      </c>
      <c r="F42" s="177">
        <v>450</v>
      </c>
      <c r="G42" s="183">
        <f>480-33.4</f>
        <v>446.6</v>
      </c>
      <c r="H42" s="176"/>
      <c r="I42" s="176"/>
      <c r="J42" s="176"/>
      <c r="K42" s="804"/>
    </row>
    <row r="43" spans="1:11" ht="18.75">
      <c r="A43" s="794"/>
      <c r="B43" s="68" t="s">
        <v>106</v>
      </c>
      <c r="C43" s="798"/>
      <c r="D43" s="182">
        <f t="shared" si="0"/>
        <v>3700</v>
      </c>
      <c r="E43" s="237">
        <v>1800</v>
      </c>
      <c r="F43" s="177">
        <v>1900</v>
      </c>
      <c r="G43" s="183">
        <f>2100-1343-757</f>
        <v>0</v>
      </c>
      <c r="H43" s="176"/>
      <c r="I43" s="176"/>
      <c r="J43" s="176"/>
      <c r="K43" s="804"/>
    </row>
    <row r="44" spans="1:11" ht="30.75" customHeight="1">
      <c r="A44" s="793">
        <v>6</v>
      </c>
      <c r="B44" s="805" t="s">
        <v>358</v>
      </c>
      <c r="C44" s="185" t="s">
        <v>16</v>
      </c>
      <c r="D44" s="182">
        <f>E44+F44+G44</f>
        <v>710</v>
      </c>
      <c r="E44" s="237">
        <v>100</v>
      </c>
      <c r="F44" s="177">
        <v>610</v>
      </c>
      <c r="G44" s="183"/>
      <c r="H44" s="176"/>
      <c r="I44" s="176"/>
      <c r="J44" s="176"/>
      <c r="K44" s="804"/>
    </row>
    <row r="45" spans="1:11" ht="18.75">
      <c r="A45" s="794"/>
      <c r="B45" s="806"/>
      <c r="C45" s="185" t="s">
        <v>539</v>
      </c>
      <c r="D45" s="182">
        <f>E45+F45+G45</f>
        <v>315</v>
      </c>
      <c r="E45" s="237"/>
      <c r="F45" s="177"/>
      <c r="G45" s="183">
        <v>315</v>
      </c>
      <c r="H45" s="176"/>
      <c r="I45" s="176"/>
      <c r="J45" s="176"/>
      <c r="K45" s="804"/>
    </row>
    <row r="46" spans="1:11" ht="39" customHeight="1">
      <c r="A46" s="790">
        <v>7</v>
      </c>
      <c r="B46" s="805" t="s">
        <v>507</v>
      </c>
      <c r="C46" s="185" t="s">
        <v>16</v>
      </c>
      <c r="D46" s="182">
        <f t="shared" si="0"/>
        <v>3020</v>
      </c>
      <c r="E46" s="237">
        <v>1200</v>
      </c>
      <c r="F46" s="177">
        <v>1820</v>
      </c>
      <c r="G46" s="183"/>
      <c r="H46" s="176"/>
      <c r="I46" s="176"/>
      <c r="J46" s="176"/>
      <c r="K46" s="804"/>
    </row>
    <row r="47" spans="1:11" ht="18.75">
      <c r="A47" s="791"/>
      <c r="B47" s="806"/>
      <c r="C47" s="185" t="s">
        <v>539</v>
      </c>
      <c r="D47" s="182">
        <f t="shared" si="0"/>
        <v>1979</v>
      </c>
      <c r="E47" s="237"/>
      <c r="F47" s="177"/>
      <c r="G47" s="183">
        <v>1979</v>
      </c>
      <c r="H47" s="176"/>
      <c r="I47" s="176"/>
      <c r="J47" s="176"/>
      <c r="K47" s="798"/>
    </row>
    <row r="48" spans="1:11" ht="51" customHeight="1">
      <c r="A48" s="790">
        <v>8</v>
      </c>
      <c r="B48" s="805" t="s">
        <v>108</v>
      </c>
      <c r="C48" s="185" t="s">
        <v>16</v>
      </c>
      <c r="D48" s="182">
        <f t="shared" si="0"/>
        <v>6900</v>
      </c>
      <c r="E48" s="237">
        <v>3400</v>
      </c>
      <c r="F48" s="177">
        <v>3500</v>
      </c>
      <c r="G48" s="183"/>
      <c r="H48" s="176"/>
      <c r="I48" s="176"/>
      <c r="J48" s="176"/>
      <c r="K48" s="797" t="s">
        <v>109</v>
      </c>
    </row>
    <row r="49" spans="1:11" ht="18.75">
      <c r="A49" s="791"/>
      <c r="B49" s="806"/>
      <c r="C49" s="185" t="s">
        <v>539</v>
      </c>
      <c r="D49" s="182">
        <f t="shared" si="0"/>
        <v>3450</v>
      </c>
      <c r="E49" s="237"/>
      <c r="F49" s="177"/>
      <c r="G49" s="183">
        <v>3450</v>
      </c>
      <c r="H49" s="176"/>
      <c r="I49" s="176"/>
      <c r="J49" s="176"/>
      <c r="K49" s="798"/>
    </row>
    <row r="50" spans="1:11" ht="21.75" customHeight="1">
      <c r="A50" s="790">
        <v>9</v>
      </c>
      <c r="B50" s="795" t="s">
        <v>238</v>
      </c>
      <c r="C50" s="185" t="s">
        <v>237</v>
      </c>
      <c r="D50" s="182">
        <f>D51</f>
        <v>1141</v>
      </c>
      <c r="E50" s="183">
        <f>E51</f>
        <v>540</v>
      </c>
      <c r="F50" s="183">
        <f>F51</f>
        <v>601</v>
      </c>
      <c r="G50" s="183">
        <f>G51+G52</f>
        <v>600</v>
      </c>
      <c r="H50" s="176"/>
      <c r="I50" s="176"/>
      <c r="J50" s="176"/>
      <c r="K50" s="797" t="s">
        <v>86</v>
      </c>
    </row>
    <row r="51" spans="1:11" ht="33" customHeight="1">
      <c r="A51" s="807"/>
      <c r="B51" s="808"/>
      <c r="C51" s="235" t="s">
        <v>16</v>
      </c>
      <c r="D51" s="236">
        <f t="shared" si="0"/>
        <v>1141</v>
      </c>
      <c r="E51" s="237">
        <v>540</v>
      </c>
      <c r="F51" s="237">
        <f>560+41</f>
        <v>601</v>
      </c>
      <c r="G51" s="237"/>
      <c r="H51" s="176"/>
      <c r="I51" s="176"/>
      <c r="J51" s="176"/>
      <c r="K51" s="804"/>
    </row>
    <row r="52" spans="1:11" ht="20.25" customHeight="1">
      <c r="A52" s="791"/>
      <c r="B52" s="796"/>
      <c r="C52" s="235" t="s">
        <v>539</v>
      </c>
      <c r="D52" s="236">
        <f t="shared" si="0"/>
        <v>600</v>
      </c>
      <c r="E52" s="237"/>
      <c r="F52" s="237"/>
      <c r="G52" s="237">
        <v>600</v>
      </c>
      <c r="H52" s="176"/>
      <c r="I52" s="176"/>
      <c r="J52" s="176"/>
      <c r="K52" s="798"/>
    </row>
    <row r="53" spans="1:11" ht="56.25" customHeight="1">
      <c r="A53" s="790">
        <v>10</v>
      </c>
      <c r="B53" s="801" t="s">
        <v>513</v>
      </c>
      <c r="C53" s="46" t="s">
        <v>16</v>
      </c>
      <c r="D53" s="182">
        <f t="shared" si="0"/>
        <v>550</v>
      </c>
      <c r="E53" s="237">
        <v>100</v>
      </c>
      <c r="F53" s="177">
        <f>100+350</f>
        <v>450</v>
      </c>
      <c r="G53" s="183"/>
      <c r="H53" s="176"/>
      <c r="I53" s="176"/>
      <c r="J53" s="176"/>
      <c r="K53" s="797" t="s">
        <v>110</v>
      </c>
    </row>
    <row r="54" spans="1:11" ht="18.75">
      <c r="A54" s="791"/>
      <c r="B54" s="802"/>
      <c r="C54" s="46" t="s">
        <v>539</v>
      </c>
      <c r="D54" s="182">
        <f t="shared" si="0"/>
        <v>210</v>
      </c>
      <c r="E54" s="237"/>
      <c r="F54" s="177"/>
      <c r="G54" s="183">
        <v>210</v>
      </c>
      <c r="H54" s="176"/>
      <c r="I54" s="176"/>
      <c r="J54" s="176"/>
      <c r="K54" s="798"/>
    </row>
    <row r="55" spans="1:11" ht="15" customHeight="1">
      <c r="A55" s="793">
        <v>11</v>
      </c>
      <c r="B55" s="186" t="s">
        <v>111</v>
      </c>
      <c r="C55" s="810" t="s">
        <v>547</v>
      </c>
      <c r="D55" s="182">
        <f t="shared" si="0"/>
        <v>1120</v>
      </c>
      <c r="E55" s="237">
        <f>E57+E59+E56+E60+E61+E58</f>
        <v>290</v>
      </c>
      <c r="F55" s="183">
        <f>F57+F59+F56+F60+F61+F58</f>
        <v>380</v>
      </c>
      <c r="G55" s="183">
        <f>G57+G59+G56+G60+G61+G58</f>
        <v>450</v>
      </c>
      <c r="H55" s="176"/>
      <c r="I55" s="176"/>
      <c r="J55" s="176"/>
      <c r="K55" s="797" t="s">
        <v>112</v>
      </c>
    </row>
    <row r="56" spans="1:11" ht="18.75">
      <c r="A56" s="803"/>
      <c r="B56" s="187" t="s">
        <v>113</v>
      </c>
      <c r="C56" s="811"/>
      <c r="D56" s="182">
        <f aca="true" t="shared" si="1" ref="D56:D67">E56+F56+G56</f>
        <v>450</v>
      </c>
      <c r="E56" s="237">
        <v>100</v>
      </c>
      <c r="F56" s="177">
        <v>150</v>
      </c>
      <c r="G56" s="183">
        <v>200</v>
      </c>
      <c r="H56" s="176"/>
      <c r="I56" s="176"/>
      <c r="J56" s="176"/>
      <c r="K56" s="803"/>
    </row>
    <row r="57" spans="1:11" ht="37.5">
      <c r="A57" s="803"/>
      <c r="B57" s="187" t="s">
        <v>114</v>
      </c>
      <c r="C57" s="811"/>
      <c r="D57" s="182">
        <f t="shared" si="1"/>
        <v>210</v>
      </c>
      <c r="E57" s="237">
        <v>60</v>
      </c>
      <c r="F57" s="177">
        <v>70</v>
      </c>
      <c r="G57" s="183">
        <v>80</v>
      </c>
      <c r="H57" s="176"/>
      <c r="I57" s="176"/>
      <c r="J57" s="176"/>
      <c r="K57" s="803"/>
    </row>
    <row r="58" spans="1:11" ht="18.75">
      <c r="A58" s="803"/>
      <c r="B58" s="238" t="s">
        <v>193</v>
      </c>
      <c r="C58" s="811"/>
      <c r="D58" s="182">
        <f t="shared" si="1"/>
        <v>150</v>
      </c>
      <c r="E58" s="237">
        <v>40</v>
      </c>
      <c r="F58" s="177">
        <v>50</v>
      </c>
      <c r="G58" s="183">
        <v>60</v>
      </c>
      <c r="H58" s="176"/>
      <c r="I58" s="176"/>
      <c r="J58" s="176"/>
      <c r="K58" s="803"/>
    </row>
    <row r="59" spans="1:11" ht="18.75">
      <c r="A59" s="803"/>
      <c r="B59" s="187" t="s">
        <v>107</v>
      </c>
      <c r="C59" s="811"/>
      <c r="D59" s="182">
        <f t="shared" si="1"/>
        <v>140</v>
      </c>
      <c r="E59" s="237">
        <v>40</v>
      </c>
      <c r="F59" s="177">
        <v>50</v>
      </c>
      <c r="G59" s="183">
        <v>50</v>
      </c>
      <c r="H59" s="176"/>
      <c r="I59" s="176"/>
      <c r="J59" s="176"/>
      <c r="K59" s="803"/>
    </row>
    <row r="60" spans="1:11" ht="18.75" hidden="1">
      <c r="A60" s="803"/>
      <c r="B60" s="68"/>
      <c r="C60" s="811"/>
      <c r="D60" s="182">
        <f t="shared" si="1"/>
        <v>0</v>
      </c>
      <c r="E60" s="237"/>
      <c r="F60" s="177"/>
      <c r="G60" s="183"/>
      <c r="H60" s="176"/>
      <c r="I60" s="176"/>
      <c r="J60" s="176"/>
      <c r="K60" s="803"/>
    </row>
    <row r="61" spans="1:11" ht="37.5">
      <c r="A61" s="794"/>
      <c r="B61" s="68" t="s">
        <v>102</v>
      </c>
      <c r="C61" s="811"/>
      <c r="D61" s="182">
        <f t="shared" si="1"/>
        <v>170</v>
      </c>
      <c r="E61" s="237">
        <v>50</v>
      </c>
      <c r="F61" s="177">
        <v>60</v>
      </c>
      <c r="G61" s="183">
        <v>60</v>
      </c>
      <c r="H61" s="176"/>
      <c r="I61" s="176"/>
      <c r="J61" s="176"/>
      <c r="K61" s="794"/>
    </row>
    <row r="62" spans="1:11" ht="37.5" customHeight="1">
      <c r="A62" s="793">
        <v>12</v>
      </c>
      <c r="B62" s="795" t="s">
        <v>191</v>
      </c>
      <c r="C62" s="185" t="s">
        <v>16</v>
      </c>
      <c r="D62" s="182">
        <f t="shared" si="1"/>
        <v>10000</v>
      </c>
      <c r="E62" s="237">
        <v>5000</v>
      </c>
      <c r="F62" s="177">
        <v>5000</v>
      </c>
      <c r="G62" s="183"/>
      <c r="H62" s="176"/>
      <c r="I62" s="176"/>
      <c r="J62" s="176"/>
      <c r="K62" s="797" t="s">
        <v>192</v>
      </c>
    </row>
    <row r="63" spans="1:11" ht="21.75" customHeight="1">
      <c r="A63" s="794"/>
      <c r="B63" s="796"/>
      <c r="C63" s="185" t="s">
        <v>539</v>
      </c>
      <c r="D63" s="182">
        <f t="shared" si="1"/>
        <v>5000</v>
      </c>
      <c r="E63" s="237"/>
      <c r="F63" s="177"/>
      <c r="G63" s="183">
        <v>5000</v>
      </c>
      <c r="H63" s="176"/>
      <c r="I63" s="176"/>
      <c r="J63" s="176"/>
      <c r="K63" s="798"/>
    </row>
    <row r="64" spans="1:11" ht="37.5">
      <c r="A64" s="793">
        <v>13</v>
      </c>
      <c r="B64" s="795" t="s">
        <v>194</v>
      </c>
      <c r="C64" s="185" t="s">
        <v>16</v>
      </c>
      <c r="D64" s="182">
        <f t="shared" si="1"/>
        <v>2200</v>
      </c>
      <c r="E64" s="237">
        <v>1000</v>
      </c>
      <c r="F64" s="177">
        <v>1200</v>
      </c>
      <c r="G64" s="183"/>
      <c r="H64" s="176"/>
      <c r="I64" s="176"/>
      <c r="J64" s="176"/>
      <c r="K64" s="797" t="s">
        <v>192</v>
      </c>
    </row>
    <row r="65" spans="1:11" ht="18.75">
      <c r="A65" s="794"/>
      <c r="B65" s="796"/>
      <c r="C65" s="185" t="s">
        <v>539</v>
      </c>
      <c r="D65" s="182">
        <f t="shared" si="1"/>
        <v>1500</v>
      </c>
      <c r="E65" s="237"/>
      <c r="F65" s="177"/>
      <c r="G65" s="183">
        <v>1500</v>
      </c>
      <c r="H65" s="176"/>
      <c r="I65" s="176"/>
      <c r="J65" s="176"/>
      <c r="K65" s="798"/>
    </row>
    <row r="66" spans="1:11" ht="37.5">
      <c r="A66" s="793">
        <v>14</v>
      </c>
      <c r="B66" s="799" t="s">
        <v>226</v>
      </c>
      <c r="C66" s="46" t="s">
        <v>16</v>
      </c>
      <c r="D66" s="182">
        <f t="shared" si="1"/>
        <v>36000</v>
      </c>
      <c r="E66" s="237">
        <v>18000</v>
      </c>
      <c r="F66" s="237">
        <v>18000</v>
      </c>
      <c r="G66" s="237"/>
      <c r="H66" s="176"/>
      <c r="I66" s="176"/>
      <c r="J66" s="176"/>
      <c r="K66" s="797" t="s">
        <v>192</v>
      </c>
    </row>
    <row r="67" spans="1:11" ht="18.75">
      <c r="A67" s="794"/>
      <c r="B67" s="800"/>
      <c r="C67" s="46" t="s">
        <v>539</v>
      </c>
      <c r="D67" s="182">
        <f t="shared" si="1"/>
        <v>16211</v>
      </c>
      <c r="E67" s="237"/>
      <c r="F67" s="237"/>
      <c r="G67" s="237">
        <v>16211</v>
      </c>
      <c r="H67" s="176"/>
      <c r="I67" s="176"/>
      <c r="J67" s="176"/>
      <c r="K67" s="798"/>
    </row>
    <row r="68" spans="1:11" ht="37.5">
      <c r="A68" s="449">
        <v>15</v>
      </c>
      <c r="B68" s="448" t="s">
        <v>244</v>
      </c>
      <c r="C68" s="35" t="s">
        <v>16</v>
      </c>
      <c r="D68" s="275">
        <v>500</v>
      </c>
      <c r="E68" s="276">
        <v>500</v>
      </c>
      <c r="F68" s="277"/>
      <c r="G68" s="277"/>
      <c r="H68" s="278"/>
      <c r="I68" s="278"/>
      <c r="J68" s="278"/>
      <c r="K68" s="35" t="s">
        <v>245</v>
      </c>
    </row>
    <row r="69" spans="1:11" ht="37.5">
      <c r="A69" s="790">
        <v>16</v>
      </c>
      <c r="B69" s="736" t="s">
        <v>246</v>
      </c>
      <c r="C69" s="35" t="s">
        <v>16</v>
      </c>
      <c r="D69" s="279">
        <f>E69+F69+G69</f>
        <v>838.333</v>
      </c>
      <c r="E69" s="280">
        <v>138.333</v>
      </c>
      <c r="F69" s="277">
        <f>0+700</f>
        <v>700</v>
      </c>
      <c r="G69" s="277"/>
      <c r="H69" s="278"/>
      <c r="I69" s="278"/>
      <c r="J69" s="278"/>
      <c r="K69" s="792" t="s">
        <v>245</v>
      </c>
    </row>
    <row r="70" spans="1:11" ht="18.75">
      <c r="A70" s="791"/>
      <c r="B70" s="738"/>
      <c r="C70" s="35" t="s">
        <v>539</v>
      </c>
      <c r="D70" s="279">
        <f>E70+F70+G70</f>
        <v>150</v>
      </c>
      <c r="E70" s="280"/>
      <c r="F70" s="277"/>
      <c r="G70" s="277">
        <v>150</v>
      </c>
      <c r="H70" s="278"/>
      <c r="I70" s="278"/>
      <c r="J70" s="278"/>
      <c r="K70" s="792"/>
    </row>
    <row r="71" spans="1:11" ht="37.5">
      <c r="A71" s="179">
        <v>17</v>
      </c>
      <c r="B71" s="128" t="s">
        <v>357</v>
      </c>
      <c r="C71" s="35" t="s">
        <v>16</v>
      </c>
      <c r="D71" s="279">
        <f>E71+F71</f>
        <v>400</v>
      </c>
      <c r="E71" s="280"/>
      <c r="F71" s="277">
        <v>400</v>
      </c>
      <c r="G71" s="277"/>
      <c r="H71" s="278"/>
      <c r="I71" s="278"/>
      <c r="J71" s="278"/>
      <c r="K71" s="268" t="s">
        <v>245</v>
      </c>
    </row>
    <row r="72" spans="1:11" ht="48.75" customHeight="1">
      <c r="A72" s="179">
        <v>18</v>
      </c>
      <c r="B72" s="274" t="s">
        <v>374</v>
      </c>
      <c r="C72" s="35" t="s">
        <v>16</v>
      </c>
      <c r="D72" s="279">
        <f>E72+F72</f>
        <v>600</v>
      </c>
      <c r="E72" s="280"/>
      <c r="F72" s="277">
        <v>600</v>
      </c>
      <c r="G72" s="277"/>
      <c r="H72" s="278"/>
      <c r="I72" s="278"/>
      <c r="J72" s="278"/>
      <c r="K72" s="268" t="s">
        <v>245</v>
      </c>
    </row>
    <row r="73" spans="1:11" ht="36" customHeight="1">
      <c r="A73" s="790">
        <v>19</v>
      </c>
      <c r="B73" s="739" t="s">
        <v>511</v>
      </c>
      <c r="C73" s="35" t="s">
        <v>16</v>
      </c>
      <c r="D73" s="279">
        <f>E73+F73+G73</f>
        <v>950</v>
      </c>
      <c r="E73" s="280">
        <v>500</v>
      </c>
      <c r="F73" s="277">
        <v>450</v>
      </c>
      <c r="G73" s="277"/>
      <c r="H73" s="278"/>
      <c r="I73" s="278"/>
      <c r="J73" s="278"/>
      <c r="K73" s="773" t="s">
        <v>245</v>
      </c>
    </row>
    <row r="74" spans="1:11" ht="36" customHeight="1">
      <c r="A74" s="791"/>
      <c r="B74" s="743"/>
      <c r="C74" s="35" t="s">
        <v>539</v>
      </c>
      <c r="D74" s="279">
        <f>E74+F74+G74</f>
        <v>500</v>
      </c>
      <c r="E74" s="280"/>
      <c r="F74" s="277"/>
      <c r="G74" s="277">
        <v>500</v>
      </c>
      <c r="H74" s="278"/>
      <c r="I74" s="278"/>
      <c r="J74" s="278"/>
      <c r="K74" s="775"/>
    </row>
    <row r="75" spans="1:11" ht="24" customHeight="1">
      <c r="A75" s="387"/>
      <c r="B75" s="802" t="s">
        <v>5</v>
      </c>
      <c r="C75" s="814"/>
      <c r="D75" s="309">
        <f>D15+D21+D27+D35+D37+D48+D51+D53+D55+D46+D44+D62+D64+D66+D68+D69+D71+D72+D36+D45+D47+D49+D52+D54+D63+D65+D67+D70+D73+D74+141</f>
        <v>136985.33299999998</v>
      </c>
      <c r="E75" s="309">
        <f>E15+E21+E27+E35+E37+E48+E50+E51+E53+E55+E46+E44+E62+E64+E66+E68+E69</f>
        <v>43005.333</v>
      </c>
      <c r="F75" s="309">
        <f>F15+F21+F27+F35+F37+F48+F50+F51+F53+F55+F46+F44+F62+F64+F66+F68+F69+F71+F72</f>
        <v>49315</v>
      </c>
      <c r="G75" s="309">
        <f>G15+G21+G27+G35+G37+G48+G50+G51+G53+G55+G46+G44+G62+G64+G66+G68+G69+G73+G36+G45+G47+G49+G52+G54+G63+G65+G67+G70+G74</f>
        <v>45315</v>
      </c>
      <c r="H75" s="309" t="e">
        <f>H15+H21+H27+H35+#REF!+#REF!+#REF!+#REF!+#REF!+#REF!+#REF!+H37+#REF!+#REF!+#REF!</f>
        <v>#REF!</v>
      </c>
      <c r="I75" s="309" t="e">
        <f>I15+I21+I27+I35+#REF!+#REF!+#REF!+#REF!+#REF!+#REF!+#REF!+I37+#REF!+#REF!+#REF!</f>
        <v>#REF!</v>
      </c>
      <c r="J75" s="309" t="e">
        <f>J15+J21+J27+J35+#REF!+#REF!+#REF!+#REF!+#REF!+#REF!+#REF!+J37+#REF!+#REF!+#REF!</f>
        <v>#REF!</v>
      </c>
      <c r="K75" s="310"/>
    </row>
    <row r="76" spans="2:11" ht="15.75" customHeight="1">
      <c r="B76" s="4"/>
      <c r="C76" s="4"/>
      <c r="D76" s="188"/>
      <c r="E76" s="258"/>
      <c r="F76" s="188"/>
      <c r="G76" s="188"/>
      <c r="H76" s="188"/>
      <c r="I76" s="188"/>
      <c r="J76" s="188"/>
      <c r="K76" s="189"/>
    </row>
    <row r="77" spans="2:11" ht="32.25" customHeight="1">
      <c r="B77" s="4"/>
      <c r="C77" s="4"/>
      <c r="D77" s="188"/>
      <c r="E77" s="258"/>
      <c r="F77" s="188"/>
      <c r="G77" s="188"/>
      <c r="H77" s="188"/>
      <c r="I77" s="188"/>
      <c r="J77" s="188"/>
      <c r="K77" s="189"/>
    </row>
    <row r="78" spans="2:11" ht="27.75" customHeight="1">
      <c r="B78" s="4"/>
      <c r="C78" s="4"/>
      <c r="D78" s="188"/>
      <c r="E78" s="258"/>
      <c r="F78" s="188"/>
      <c r="G78" s="188"/>
      <c r="H78" s="188"/>
      <c r="I78" s="188"/>
      <c r="J78" s="188"/>
      <c r="K78" s="189"/>
    </row>
    <row r="79" spans="2:13" ht="33" customHeight="1">
      <c r="B79" s="809" t="s">
        <v>18</v>
      </c>
      <c r="C79" s="809"/>
      <c r="D79" s="9"/>
      <c r="E79" s="369"/>
      <c r="F79" s="370"/>
      <c r="G79" s="370"/>
      <c r="H79" s="370"/>
      <c r="I79" s="370"/>
      <c r="J79" s="370"/>
      <c r="K79" s="48" t="s">
        <v>30</v>
      </c>
      <c r="L79" s="190"/>
      <c r="M79" s="190"/>
    </row>
    <row r="80" spans="2:12" ht="18.75">
      <c r="B80" s="368"/>
      <c r="C80" s="48"/>
      <c r="D80" s="9"/>
      <c r="E80" s="369"/>
      <c r="F80" s="370"/>
      <c r="G80" s="370"/>
      <c r="H80" s="370"/>
      <c r="I80" s="370"/>
      <c r="J80" s="370"/>
      <c r="K80" s="48"/>
      <c r="L80" s="1"/>
    </row>
    <row r="81" spans="2:12" ht="18.75">
      <c r="B81" s="415" t="s">
        <v>559</v>
      </c>
      <c r="C81" s="48"/>
      <c r="D81" s="48"/>
      <c r="E81" s="259"/>
      <c r="F81" s="8"/>
      <c r="G81" s="8"/>
      <c r="H81" s="9"/>
      <c r="I81" s="9"/>
      <c r="J81" s="9"/>
      <c r="K81" s="371"/>
      <c r="L81" s="1"/>
    </row>
    <row r="82" spans="2:11" ht="15.75">
      <c r="B82" s="1"/>
      <c r="C82" s="43"/>
      <c r="D82" s="7"/>
      <c r="E82" s="260"/>
      <c r="F82" s="7"/>
      <c r="G82" s="7"/>
      <c r="H82" s="7"/>
      <c r="I82" s="7"/>
      <c r="J82" s="7"/>
      <c r="K82" s="1"/>
    </row>
    <row r="83" spans="2:11" ht="15.75">
      <c r="B83" s="1"/>
      <c r="C83" s="44"/>
      <c r="D83" s="7"/>
      <c r="E83" s="260"/>
      <c r="F83" s="7"/>
      <c r="G83" s="7"/>
      <c r="H83" s="7"/>
      <c r="I83" s="7"/>
      <c r="J83" s="7"/>
      <c r="K83" s="1"/>
    </row>
    <row r="84" spans="2:11" ht="15.75">
      <c r="B84" s="1"/>
      <c r="C84" s="1"/>
      <c r="D84" s="1"/>
      <c r="E84" s="257"/>
      <c r="F84" s="1"/>
      <c r="G84" s="1"/>
      <c r="H84" s="1"/>
      <c r="I84" s="1"/>
      <c r="J84" s="1"/>
      <c r="K84" s="1"/>
    </row>
    <row r="85" spans="2:11" ht="15.75">
      <c r="B85" s="1"/>
      <c r="C85" s="1"/>
      <c r="D85" s="1"/>
      <c r="E85" s="257"/>
      <c r="F85" s="1"/>
      <c r="G85" s="1"/>
      <c r="H85" s="1"/>
      <c r="I85" s="1"/>
      <c r="J85" s="1"/>
      <c r="K85" s="1"/>
    </row>
    <row r="86" spans="2:11" ht="15.75">
      <c r="B86" s="1"/>
      <c r="C86" s="1"/>
      <c r="D86" s="1"/>
      <c r="E86" s="257"/>
      <c r="F86" s="1"/>
      <c r="G86" s="1"/>
      <c r="H86" s="1"/>
      <c r="I86" s="1"/>
      <c r="J86" s="1"/>
      <c r="K86" s="1"/>
    </row>
    <row r="87" spans="2:11" ht="15.75">
      <c r="B87" s="1"/>
      <c r="C87" s="1"/>
      <c r="D87" s="1"/>
      <c r="E87" s="257"/>
      <c r="F87" s="1"/>
      <c r="G87" s="1"/>
      <c r="H87" s="1"/>
      <c r="I87" s="1"/>
      <c r="J87" s="1"/>
      <c r="K87" s="1"/>
    </row>
    <row r="88" spans="2:11" ht="15.75">
      <c r="B88" s="1"/>
      <c r="C88" s="1"/>
      <c r="D88" s="1"/>
      <c r="E88" s="257"/>
      <c r="F88" s="1"/>
      <c r="G88" s="1"/>
      <c r="H88" s="1"/>
      <c r="I88" s="1"/>
      <c r="J88" s="1"/>
      <c r="K88" s="1"/>
    </row>
    <row r="89" spans="2:11" ht="15.75">
      <c r="B89" s="1"/>
      <c r="C89" s="1"/>
      <c r="D89" s="1"/>
      <c r="E89" s="257"/>
      <c r="F89" s="1"/>
      <c r="G89" s="1"/>
      <c r="H89" s="1"/>
      <c r="I89" s="1"/>
      <c r="J89" s="1"/>
      <c r="K89" s="1"/>
    </row>
    <row r="90" spans="2:11" ht="15.75">
      <c r="B90" s="1"/>
      <c r="C90" s="1"/>
      <c r="D90" s="1"/>
      <c r="E90" s="257"/>
      <c r="F90" s="1"/>
      <c r="G90" s="1"/>
      <c r="H90" s="1"/>
      <c r="I90" s="1"/>
      <c r="J90" s="1"/>
      <c r="K90" s="1"/>
    </row>
    <row r="91" spans="2:11" ht="15.75">
      <c r="B91" s="1"/>
      <c r="C91" s="1"/>
      <c r="D91" s="1"/>
      <c r="E91" s="257"/>
      <c r="F91" s="1"/>
      <c r="G91" s="1"/>
      <c r="H91" s="1"/>
      <c r="I91" s="1"/>
      <c r="J91" s="1"/>
      <c r="K91" s="1"/>
    </row>
    <row r="92" spans="2:11" ht="15.75">
      <c r="B92" s="1"/>
      <c r="C92" s="1"/>
      <c r="D92" s="1"/>
      <c r="E92" s="257"/>
      <c r="F92" s="1"/>
      <c r="G92" s="1"/>
      <c r="H92" s="1"/>
      <c r="I92" s="1"/>
      <c r="J92" s="1"/>
      <c r="K92" s="1"/>
    </row>
    <row r="93" spans="2:11" ht="15.75">
      <c r="B93" s="1"/>
      <c r="C93" s="1"/>
      <c r="D93" s="1"/>
      <c r="E93" s="257"/>
      <c r="F93" s="1"/>
      <c r="G93" s="1"/>
      <c r="H93" s="1"/>
      <c r="I93" s="1"/>
      <c r="J93" s="1"/>
      <c r="K93" s="1"/>
    </row>
    <row r="94" spans="2:11" ht="15.75">
      <c r="B94" s="1"/>
      <c r="C94" s="1"/>
      <c r="D94" s="1"/>
      <c r="E94" s="257"/>
      <c r="F94" s="1"/>
      <c r="G94" s="1"/>
      <c r="H94" s="1"/>
      <c r="I94" s="1"/>
      <c r="J94" s="1"/>
      <c r="K94" s="1"/>
    </row>
    <row r="95" spans="2:11" ht="15.75">
      <c r="B95" s="1"/>
      <c r="C95" s="1"/>
      <c r="D95" s="1"/>
      <c r="E95" s="257"/>
      <c r="F95" s="1"/>
      <c r="G95" s="1"/>
      <c r="H95" s="1"/>
      <c r="I95" s="1"/>
      <c r="J95" s="1"/>
      <c r="K95" s="1"/>
    </row>
    <row r="96" spans="2:11" ht="15.75">
      <c r="B96" s="1"/>
      <c r="C96" s="1"/>
      <c r="D96" s="1"/>
      <c r="E96" s="257"/>
      <c r="F96" s="1"/>
      <c r="G96" s="1"/>
      <c r="H96" s="1"/>
      <c r="I96" s="1"/>
      <c r="J96" s="1"/>
      <c r="K96" s="1"/>
    </row>
    <row r="97" spans="2:11" ht="15.75">
      <c r="B97" s="1"/>
      <c r="C97" s="1"/>
      <c r="D97" s="1"/>
      <c r="E97" s="257"/>
      <c r="F97" s="1"/>
      <c r="G97" s="1"/>
      <c r="H97" s="1"/>
      <c r="I97" s="1"/>
      <c r="J97" s="1"/>
      <c r="K97" s="1"/>
    </row>
    <row r="98" spans="2:11" ht="15.75">
      <c r="B98" s="1"/>
      <c r="C98" s="1"/>
      <c r="D98" s="1"/>
      <c r="E98" s="257"/>
      <c r="F98" s="1"/>
      <c r="G98" s="1"/>
      <c r="H98" s="1"/>
      <c r="I98" s="1"/>
      <c r="J98" s="1"/>
      <c r="K98" s="1"/>
    </row>
    <row r="99" spans="2:11" ht="15.75">
      <c r="B99" s="1"/>
      <c r="C99" s="1"/>
      <c r="D99" s="1"/>
      <c r="E99" s="257"/>
      <c r="F99" s="1"/>
      <c r="G99" s="1"/>
      <c r="H99" s="1"/>
      <c r="I99" s="1"/>
      <c r="J99" s="1"/>
      <c r="K99" s="1"/>
    </row>
    <row r="100" spans="2:11" ht="15.75">
      <c r="B100" s="1"/>
      <c r="C100" s="1"/>
      <c r="D100" s="1"/>
      <c r="E100" s="257"/>
      <c r="F100" s="1"/>
      <c r="G100" s="1"/>
      <c r="H100" s="1"/>
      <c r="I100" s="1"/>
      <c r="J100" s="1"/>
      <c r="K100" s="1"/>
    </row>
    <row r="101" spans="2:11" ht="15.75">
      <c r="B101" s="1"/>
      <c r="C101" s="1"/>
      <c r="D101" s="1"/>
      <c r="E101" s="257"/>
      <c r="F101" s="1"/>
      <c r="G101" s="1"/>
      <c r="H101" s="1"/>
      <c r="I101" s="1"/>
      <c r="J101" s="1"/>
      <c r="K101" s="1"/>
    </row>
    <row r="102" spans="2:11" ht="15.75">
      <c r="B102" s="1"/>
      <c r="C102" s="1"/>
      <c r="D102" s="1"/>
      <c r="E102" s="257"/>
      <c r="F102" s="1"/>
      <c r="G102" s="1"/>
      <c r="H102" s="1"/>
      <c r="I102" s="1"/>
      <c r="J102" s="1"/>
      <c r="K102" s="1"/>
    </row>
    <row r="103" spans="2:11" ht="15.75">
      <c r="B103" s="1"/>
      <c r="C103" s="1"/>
      <c r="D103" s="1"/>
      <c r="E103" s="257"/>
      <c r="F103" s="1"/>
      <c r="G103" s="1"/>
      <c r="H103" s="1"/>
      <c r="I103" s="1"/>
      <c r="J103" s="1"/>
      <c r="K103" s="1"/>
    </row>
    <row r="104" spans="2:11" ht="15.75">
      <c r="B104" s="1"/>
      <c r="C104" s="1"/>
      <c r="D104" s="1"/>
      <c r="E104" s="257"/>
      <c r="F104" s="1"/>
      <c r="G104" s="1"/>
      <c r="H104" s="1"/>
      <c r="I104" s="1"/>
      <c r="J104" s="1"/>
      <c r="K104" s="1"/>
    </row>
    <row r="105" spans="2:11" ht="15.75">
      <c r="B105" s="1"/>
      <c r="C105" s="1"/>
      <c r="D105" s="1"/>
      <c r="E105" s="257"/>
      <c r="F105" s="1"/>
      <c r="G105" s="1"/>
      <c r="H105" s="1"/>
      <c r="I105" s="1"/>
      <c r="J105" s="1"/>
      <c r="K105" s="1"/>
    </row>
    <row r="106" spans="2:11" ht="15.75">
      <c r="B106" s="1"/>
      <c r="C106" s="1"/>
      <c r="D106" s="1"/>
      <c r="E106" s="257"/>
      <c r="F106" s="1"/>
      <c r="G106" s="1"/>
      <c r="H106" s="1"/>
      <c r="I106" s="1"/>
      <c r="J106" s="1"/>
      <c r="K106" s="1"/>
    </row>
    <row r="107" spans="2:11" ht="15.75">
      <c r="B107" s="1"/>
      <c r="C107" s="1"/>
      <c r="D107" s="1"/>
      <c r="E107" s="257"/>
      <c r="F107" s="1"/>
      <c r="G107" s="1"/>
      <c r="H107" s="1"/>
      <c r="I107" s="1"/>
      <c r="J107" s="1"/>
      <c r="K107" s="1"/>
    </row>
    <row r="108" spans="2:11" ht="15.75">
      <c r="B108" s="1"/>
      <c r="C108" s="1"/>
      <c r="D108" s="1"/>
      <c r="E108" s="257"/>
      <c r="F108" s="1"/>
      <c r="G108" s="1"/>
      <c r="H108" s="1"/>
      <c r="I108" s="1"/>
      <c r="J108" s="1"/>
      <c r="K108" s="1"/>
    </row>
    <row r="109" spans="2:11" ht="15.75">
      <c r="B109" s="1"/>
      <c r="C109" s="1"/>
      <c r="D109" s="1"/>
      <c r="E109" s="257"/>
      <c r="F109" s="1"/>
      <c r="G109" s="1"/>
      <c r="H109" s="1"/>
      <c r="I109" s="1"/>
      <c r="J109" s="1"/>
      <c r="K109" s="1"/>
    </row>
    <row r="110" spans="2:11" ht="15.75">
      <c r="B110" s="1"/>
      <c r="C110" s="1"/>
      <c r="D110" s="1"/>
      <c r="E110" s="257"/>
      <c r="F110" s="1"/>
      <c r="G110" s="1"/>
      <c r="H110" s="1"/>
      <c r="I110" s="1"/>
      <c r="J110" s="1"/>
      <c r="K110" s="1"/>
    </row>
    <row r="111" spans="2:11" ht="15.75">
      <c r="B111" s="1"/>
      <c r="C111" s="1"/>
      <c r="D111" s="1"/>
      <c r="E111" s="257"/>
      <c r="F111" s="1"/>
      <c r="G111" s="1"/>
      <c r="H111" s="1"/>
      <c r="I111" s="1"/>
      <c r="J111" s="1"/>
      <c r="K111" s="1"/>
    </row>
    <row r="112" spans="2:11" ht="15.75">
      <c r="B112" s="1"/>
      <c r="C112" s="1"/>
      <c r="D112" s="1"/>
      <c r="E112" s="257"/>
      <c r="F112" s="1"/>
      <c r="G112" s="1"/>
      <c r="H112" s="1"/>
      <c r="I112" s="1"/>
      <c r="J112" s="1"/>
      <c r="K112" s="1"/>
    </row>
    <row r="113" spans="2:11" ht="15.75">
      <c r="B113" s="1"/>
      <c r="C113" s="1"/>
      <c r="D113" s="1"/>
      <c r="E113" s="257"/>
      <c r="F113" s="1"/>
      <c r="G113" s="1"/>
      <c r="H113" s="1"/>
      <c r="I113" s="1"/>
      <c r="J113" s="1"/>
      <c r="K113" s="1"/>
    </row>
    <row r="114" spans="2:11" ht="15.75">
      <c r="B114" s="1"/>
      <c r="C114" s="1"/>
      <c r="D114" s="1"/>
      <c r="E114" s="257"/>
      <c r="F114" s="1"/>
      <c r="G114" s="1"/>
      <c r="H114" s="1"/>
      <c r="I114" s="1"/>
      <c r="J114" s="1"/>
      <c r="K114" s="1"/>
    </row>
    <row r="115" spans="2:11" ht="15.75">
      <c r="B115" s="1"/>
      <c r="C115" s="1"/>
      <c r="D115" s="1"/>
      <c r="E115" s="257"/>
      <c r="F115" s="1"/>
      <c r="G115" s="1"/>
      <c r="H115" s="1"/>
      <c r="I115" s="1"/>
      <c r="J115" s="1"/>
      <c r="K115" s="1"/>
    </row>
    <row r="116" spans="2:11" ht="15.75">
      <c r="B116" s="1"/>
      <c r="C116" s="1"/>
      <c r="D116" s="1"/>
      <c r="E116" s="257"/>
      <c r="F116" s="1"/>
      <c r="G116" s="1"/>
      <c r="H116" s="1"/>
      <c r="I116" s="1"/>
      <c r="J116" s="1"/>
      <c r="K116" s="1"/>
    </row>
    <row r="117" spans="2:11" ht="15.75">
      <c r="B117" s="1"/>
      <c r="C117" s="1"/>
      <c r="D117" s="1"/>
      <c r="E117" s="257"/>
      <c r="F117" s="1"/>
      <c r="G117" s="1"/>
      <c r="H117" s="1"/>
      <c r="I117" s="1"/>
      <c r="J117" s="1"/>
      <c r="K117" s="1"/>
    </row>
    <row r="118" spans="2:11" ht="15.75">
      <c r="B118" s="1"/>
      <c r="C118" s="1"/>
      <c r="D118" s="1"/>
      <c r="E118" s="257"/>
      <c r="F118" s="1"/>
      <c r="G118" s="1"/>
      <c r="H118" s="1"/>
      <c r="I118" s="1"/>
      <c r="J118" s="1"/>
      <c r="K118" s="1"/>
    </row>
    <row r="119" spans="2:11" ht="15.75">
      <c r="B119" s="1"/>
      <c r="C119" s="1"/>
      <c r="D119" s="1"/>
      <c r="E119" s="257"/>
      <c r="F119" s="1"/>
      <c r="G119" s="1"/>
      <c r="H119" s="1"/>
      <c r="I119" s="1"/>
      <c r="J119" s="1"/>
      <c r="K119" s="1"/>
    </row>
    <row r="120" spans="2:11" ht="15.75">
      <c r="B120" s="1"/>
      <c r="C120" s="1"/>
      <c r="D120" s="1"/>
      <c r="E120" s="257"/>
      <c r="F120" s="1"/>
      <c r="G120" s="1"/>
      <c r="H120" s="1"/>
      <c r="I120" s="1"/>
      <c r="J120" s="1"/>
      <c r="K120" s="1"/>
    </row>
    <row r="121" spans="2:11" ht="15.75">
      <c r="B121" s="1"/>
      <c r="C121" s="1"/>
      <c r="D121" s="1"/>
      <c r="E121" s="257"/>
      <c r="F121" s="1"/>
      <c r="G121" s="1"/>
      <c r="H121" s="1"/>
      <c r="I121" s="1"/>
      <c r="J121" s="1"/>
      <c r="K121" s="1"/>
    </row>
    <row r="122" spans="2:11" ht="15.75">
      <c r="B122" s="1"/>
      <c r="C122" s="1"/>
      <c r="D122" s="1"/>
      <c r="E122" s="257"/>
      <c r="F122" s="1"/>
      <c r="G122" s="1"/>
      <c r="H122" s="1"/>
      <c r="I122" s="1"/>
      <c r="J122" s="1"/>
      <c r="K122" s="1"/>
    </row>
    <row r="123" spans="2:11" ht="15.75">
      <c r="B123" s="1"/>
      <c r="C123" s="1"/>
      <c r="D123" s="1"/>
      <c r="E123" s="257"/>
      <c r="F123" s="1"/>
      <c r="G123" s="1"/>
      <c r="H123" s="1"/>
      <c r="I123" s="1"/>
      <c r="J123" s="1"/>
      <c r="K123" s="1"/>
    </row>
    <row r="124" spans="2:11" ht="15.75">
      <c r="B124" s="1"/>
      <c r="C124" s="1"/>
      <c r="D124" s="1"/>
      <c r="E124" s="257"/>
      <c r="F124" s="1"/>
      <c r="G124" s="1"/>
      <c r="H124" s="1"/>
      <c r="I124" s="1"/>
      <c r="J124" s="1"/>
      <c r="K124" s="1"/>
    </row>
    <row r="125" spans="2:11" ht="15.75">
      <c r="B125" s="1"/>
      <c r="C125" s="1"/>
      <c r="D125" s="1"/>
      <c r="E125" s="257"/>
      <c r="F125" s="1"/>
      <c r="G125" s="1"/>
      <c r="H125" s="1"/>
      <c r="I125" s="1"/>
      <c r="J125" s="1"/>
      <c r="K125" s="1"/>
    </row>
    <row r="126" spans="2:11" ht="15.75">
      <c r="B126" s="1"/>
      <c r="C126" s="1"/>
      <c r="D126" s="1"/>
      <c r="E126" s="257"/>
      <c r="F126" s="1"/>
      <c r="G126" s="1"/>
      <c r="H126" s="1"/>
      <c r="I126" s="1"/>
      <c r="J126" s="1"/>
      <c r="K126" s="1"/>
    </row>
    <row r="127" spans="2:11" ht="15.75">
      <c r="B127" s="1"/>
      <c r="C127" s="1"/>
      <c r="D127" s="1"/>
      <c r="E127" s="257"/>
      <c r="F127" s="1"/>
      <c r="G127" s="1"/>
      <c r="H127" s="1"/>
      <c r="I127" s="1"/>
      <c r="J127" s="1"/>
      <c r="K127" s="1"/>
    </row>
    <row r="128" spans="2:11" ht="15.75">
      <c r="B128" s="1"/>
      <c r="C128" s="1"/>
      <c r="D128" s="1"/>
      <c r="E128" s="257"/>
      <c r="F128" s="1"/>
      <c r="G128" s="1"/>
      <c r="H128" s="1"/>
      <c r="I128" s="1"/>
      <c r="J128" s="1"/>
      <c r="K128" s="1"/>
    </row>
    <row r="129" spans="2:11" ht="15.75">
      <c r="B129" s="1"/>
      <c r="C129" s="1"/>
      <c r="D129" s="1"/>
      <c r="E129" s="257"/>
      <c r="F129" s="1"/>
      <c r="G129" s="1"/>
      <c r="H129" s="1"/>
      <c r="I129" s="1"/>
      <c r="J129" s="1"/>
      <c r="K129" s="1"/>
    </row>
    <row r="130" spans="2:11" ht="15.75">
      <c r="B130" s="1"/>
      <c r="C130" s="1"/>
      <c r="D130" s="1"/>
      <c r="E130" s="257"/>
      <c r="F130" s="1"/>
      <c r="G130" s="1"/>
      <c r="H130" s="1"/>
      <c r="I130" s="1"/>
      <c r="J130" s="1"/>
      <c r="K130" s="1"/>
    </row>
    <row r="131" spans="2:11" ht="15.75">
      <c r="B131" s="1"/>
      <c r="C131" s="1"/>
      <c r="D131" s="1"/>
      <c r="E131" s="257"/>
      <c r="F131" s="1"/>
      <c r="G131" s="1"/>
      <c r="H131" s="1"/>
      <c r="I131" s="1"/>
      <c r="J131" s="1"/>
      <c r="K131" s="1"/>
    </row>
    <row r="132" spans="2:11" ht="15.75">
      <c r="B132" s="1"/>
      <c r="C132" s="1"/>
      <c r="D132" s="1"/>
      <c r="E132" s="257"/>
      <c r="F132" s="1"/>
      <c r="G132" s="1"/>
      <c r="H132" s="1"/>
      <c r="I132" s="1"/>
      <c r="J132" s="1"/>
      <c r="K132" s="1"/>
    </row>
    <row r="133" spans="2:11" ht="15.75">
      <c r="B133" s="1"/>
      <c r="C133" s="1"/>
      <c r="D133" s="1"/>
      <c r="E133" s="257"/>
      <c r="F133" s="1"/>
      <c r="G133" s="1"/>
      <c r="H133" s="1"/>
      <c r="I133" s="1"/>
      <c r="J133" s="1"/>
      <c r="K133" s="1"/>
    </row>
    <row r="134" spans="2:11" ht="15.75">
      <c r="B134" s="1"/>
      <c r="C134" s="1"/>
      <c r="D134" s="1"/>
      <c r="E134" s="257"/>
      <c r="F134" s="1"/>
      <c r="G134" s="1"/>
      <c r="H134" s="1"/>
      <c r="I134" s="1"/>
      <c r="J134" s="1"/>
      <c r="K134" s="1"/>
    </row>
    <row r="135" spans="2:11" ht="15.75">
      <c r="B135" s="1"/>
      <c r="C135" s="1"/>
      <c r="D135" s="1"/>
      <c r="E135" s="257"/>
      <c r="F135" s="1"/>
      <c r="G135" s="1"/>
      <c r="H135" s="1"/>
      <c r="I135" s="1"/>
      <c r="J135" s="1"/>
      <c r="K135" s="1"/>
    </row>
    <row r="136" spans="2:11" ht="15.75">
      <c r="B136" s="1"/>
      <c r="C136" s="1"/>
      <c r="D136" s="1"/>
      <c r="E136" s="257"/>
      <c r="F136" s="1"/>
      <c r="G136" s="1"/>
      <c r="H136" s="1"/>
      <c r="I136" s="1"/>
      <c r="J136" s="1"/>
      <c r="K136" s="1"/>
    </row>
    <row r="137" spans="2:11" ht="15.75">
      <c r="B137" s="1"/>
      <c r="C137" s="1"/>
      <c r="D137" s="1"/>
      <c r="E137" s="257"/>
      <c r="F137" s="1"/>
      <c r="G137" s="1"/>
      <c r="H137" s="1"/>
      <c r="I137" s="1"/>
      <c r="J137" s="1"/>
      <c r="K137" s="1"/>
    </row>
  </sheetData>
  <sheetProtection/>
  <mergeCells count="56">
    <mergeCell ref="K2:L2"/>
    <mergeCell ref="B11:K11"/>
    <mergeCell ref="K27:K34"/>
    <mergeCell ref="A13:A14"/>
    <mergeCell ref="B13:B14"/>
    <mergeCell ref="C13:C14"/>
    <mergeCell ref="D13:D14"/>
    <mergeCell ref="E13:J13"/>
    <mergeCell ref="K13:K14"/>
    <mergeCell ref="A15:A20"/>
    <mergeCell ref="C15:C20"/>
    <mergeCell ref="K15:K20"/>
    <mergeCell ref="A21:A24"/>
    <mergeCell ref="C21:C24"/>
    <mergeCell ref="K21:K24"/>
    <mergeCell ref="B75:C75"/>
    <mergeCell ref="K35:K36"/>
    <mergeCell ref="B44:B45"/>
    <mergeCell ref="A46:A47"/>
    <mergeCell ref="B46:B47"/>
    <mergeCell ref="B79:C79"/>
    <mergeCell ref="A27:A33"/>
    <mergeCell ref="A37:A43"/>
    <mergeCell ref="C37:C43"/>
    <mergeCell ref="A55:A61"/>
    <mergeCell ref="C55:C61"/>
    <mergeCell ref="C27:C34"/>
    <mergeCell ref="A35:A36"/>
    <mergeCell ref="B35:B36"/>
    <mergeCell ref="A44:A45"/>
    <mergeCell ref="K37:K47"/>
    <mergeCell ref="A48:A49"/>
    <mergeCell ref="B48:B49"/>
    <mergeCell ref="K48:K49"/>
    <mergeCell ref="A50:A52"/>
    <mergeCell ref="B50:B52"/>
    <mergeCell ref="K50:K52"/>
    <mergeCell ref="A53:A54"/>
    <mergeCell ref="B53:B54"/>
    <mergeCell ref="K53:K54"/>
    <mergeCell ref="A62:A63"/>
    <mergeCell ref="B62:B63"/>
    <mergeCell ref="K62:K63"/>
    <mergeCell ref="K55:K61"/>
    <mergeCell ref="A64:A65"/>
    <mergeCell ref="B64:B65"/>
    <mergeCell ref="K64:K65"/>
    <mergeCell ref="A66:A67"/>
    <mergeCell ref="B66:B67"/>
    <mergeCell ref="K66:K67"/>
    <mergeCell ref="A73:A74"/>
    <mergeCell ref="B73:B74"/>
    <mergeCell ref="K73:K74"/>
    <mergeCell ref="A69:A70"/>
    <mergeCell ref="B69:B70"/>
    <mergeCell ref="K69:K70"/>
  </mergeCells>
  <printOptions horizontalCentered="1"/>
  <pageMargins left="0" right="0" top="1.1811023622047245" bottom="0" header="0" footer="0"/>
  <pageSetup fitToHeight="2" fitToWidth="1" horizontalDpi="600" verticalDpi="600" orientation="landscape" paperSize="9" scale="50" r:id="rId1"/>
  <rowBreaks count="1" manualBreakCount="1">
    <brk id="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2021-01-28T11:27:41Z</cp:lastPrinted>
  <dcterms:created xsi:type="dcterms:W3CDTF">1996-10-08T23:32:33Z</dcterms:created>
  <dcterms:modified xsi:type="dcterms:W3CDTF">2021-01-28T15:56:25Z</dcterms:modified>
  <cp:category/>
  <cp:version/>
  <cp:contentType/>
  <cp:contentStatus/>
</cp:coreProperties>
</file>