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-fs2\dfei\Tkachenko7\Входящие\2021\Зміни до програми листопад 2021\Доопрацьоване\"/>
    </mc:Choice>
  </mc:AlternateContent>
  <bookViews>
    <workbookView xWindow="0" yWindow="0" windowWidth="28770" windowHeight="11670"/>
  </bookViews>
  <sheets>
    <sheet name="Лист1" sheetId="1" r:id="rId1"/>
  </sheets>
  <definedNames>
    <definedName name="_xlnm.Print_Area" localSheetId="0">Лист1!$A$2:$I$61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 s="1"/>
  <c r="G41" i="1"/>
  <c r="H40" i="1" l="1"/>
  <c r="I37" i="1"/>
  <c r="I13" i="1"/>
  <c r="I17" i="1"/>
  <c r="H17" i="1"/>
  <c r="H34" i="1" s="1"/>
  <c r="G17" i="1"/>
  <c r="G34" i="1" s="1"/>
  <c r="F34" i="1"/>
  <c r="I34" i="1"/>
  <c r="E34" i="1"/>
  <c r="I14" i="1" l="1"/>
  <c r="G22" i="1" l="1"/>
  <c r="H22" i="1" s="1"/>
  <c r="I22" i="1" s="1"/>
  <c r="I40" i="1" l="1"/>
  <c r="F33" i="1" l="1"/>
  <c r="E33" i="1"/>
  <c r="G33" i="1" l="1"/>
  <c r="H33" i="1" s="1"/>
  <c r="I33" i="1" s="1"/>
  <c r="G20" i="1" l="1"/>
  <c r="H20" i="1" s="1"/>
  <c r="K20" i="1" l="1"/>
  <c r="H14" i="1"/>
  <c r="L14" i="1" s="1"/>
  <c r="G38" i="1"/>
  <c r="H38" i="1" s="1"/>
  <c r="G15" i="1"/>
  <c r="K15" i="1" s="1"/>
  <c r="G23" i="1"/>
  <c r="H23" i="1" s="1"/>
  <c r="L23" i="1" s="1"/>
  <c r="G16" i="1"/>
  <c r="H16" i="1" s="1"/>
  <c r="I16" i="1" s="1"/>
  <c r="M16" i="1" s="1"/>
  <c r="G19" i="1"/>
  <c r="H19" i="1" s="1"/>
  <c r="I19" i="1" s="1"/>
  <c r="I35" i="1" s="1"/>
  <c r="G13" i="1"/>
  <c r="H44" i="1"/>
  <c r="I44" i="1" s="1"/>
  <c r="G39" i="1"/>
  <c r="H39" i="1" s="1"/>
  <c r="I39" i="1" s="1"/>
  <c r="G37" i="1"/>
  <c r="H37" i="1" s="1"/>
  <c r="G25" i="1"/>
  <c r="I23" i="1" l="1"/>
  <c r="H25" i="1"/>
  <c r="I25" i="1" s="1"/>
  <c r="M25" i="1" s="1"/>
  <c r="K25" i="1"/>
  <c r="H13" i="1"/>
  <c r="H15" i="1"/>
  <c r="L15" i="1" s="1"/>
  <c r="G32" i="1"/>
  <c r="K32" i="1" s="1"/>
  <c r="G26" i="1"/>
  <c r="H32" i="1" l="1"/>
  <c r="I32" i="1" s="1"/>
  <c r="H26" i="1"/>
  <c r="I26" i="1" s="1"/>
  <c r="K26" i="1"/>
  <c r="L13" i="1"/>
  <c r="G31" i="1"/>
  <c r="M13" i="1" l="1"/>
  <c r="H31" i="1"/>
  <c r="I31" i="1" s="1"/>
  <c r="K31" i="1"/>
  <c r="H35" i="1"/>
  <c r="G35" i="1"/>
  <c r="F35" i="1"/>
  <c r="I52" i="1"/>
  <c r="E35" i="1"/>
  <c r="E52" i="1" s="1"/>
  <c r="G46" i="1"/>
  <c r="H46" i="1" s="1"/>
  <c r="I46" i="1" s="1"/>
  <c r="F52" i="1" l="1"/>
  <c r="O35" i="1"/>
  <c r="G52" i="1"/>
  <c r="K35" i="1"/>
  <c r="L35" i="1" s="1"/>
  <c r="O52" i="1"/>
  <c r="H52" i="1"/>
  <c r="G14" i="1"/>
  <c r="F50" i="1"/>
  <c r="E50" i="1"/>
  <c r="G45" i="1"/>
  <c r="F42" i="1"/>
  <c r="E42" i="1"/>
  <c r="G18" i="1"/>
  <c r="K18" i="1" s="1"/>
  <c r="M35" i="1" l="1"/>
  <c r="K14" i="1"/>
  <c r="E51" i="1"/>
  <c r="M14" i="1"/>
  <c r="I15" i="1"/>
  <c r="G49" i="1"/>
  <c r="H49" i="1" s="1"/>
  <c r="I49" i="1" s="1"/>
  <c r="G48" i="1"/>
  <c r="H48" i="1" s="1"/>
  <c r="I48" i="1" s="1"/>
  <c r="G47" i="1"/>
  <c r="H47" i="1" s="1"/>
  <c r="I47" i="1" s="1"/>
  <c r="G44" i="1"/>
  <c r="I38" i="1"/>
  <c r="G40" i="1"/>
  <c r="G27" i="1"/>
  <c r="G21" i="1"/>
  <c r="H18" i="1"/>
  <c r="G30" i="1"/>
  <c r="H30" i="1" s="1"/>
  <c r="I30" i="1" s="1"/>
  <c r="M30" i="1" s="1"/>
  <c r="G24" i="1"/>
  <c r="H24" i="1" s="1"/>
  <c r="I24" i="1" s="1"/>
  <c r="M24" i="1" s="1"/>
  <c r="G29" i="1"/>
  <c r="H29" i="1" s="1"/>
  <c r="I29" i="1" s="1"/>
  <c r="M29" i="1" s="1"/>
  <c r="G28" i="1"/>
  <c r="H28" i="1" s="1"/>
  <c r="I28" i="1" s="1"/>
  <c r="M28" i="1" s="1"/>
  <c r="F51" i="1"/>
  <c r="K34" i="1" l="1"/>
  <c r="I18" i="1"/>
  <c r="H21" i="1"/>
  <c r="K21" i="1"/>
  <c r="H27" i="1"/>
  <c r="G50" i="1"/>
  <c r="K50" i="1" s="1"/>
  <c r="H42" i="1"/>
  <c r="G42" i="1"/>
  <c r="K42" i="1" s="1"/>
  <c r="H45" i="1"/>
  <c r="I20" i="1"/>
  <c r="L42" i="1" l="1"/>
  <c r="I21" i="1"/>
  <c r="M21" i="1" s="1"/>
  <c r="L21" i="1"/>
  <c r="L34" i="1"/>
  <c r="I45" i="1"/>
  <c r="I50" i="1" s="1"/>
  <c r="H50" i="1"/>
  <c r="G51" i="1"/>
  <c r="K52" i="1" s="1"/>
  <c r="I27" i="1"/>
  <c r="M27" i="1" s="1"/>
  <c r="I42" i="1"/>
  <c r="O42" i="1" s="1"/>
  <c r="H51" i="1" l="1"/>
  <c r="L50" i="1"/>
  <c r="M50" i="1" s="1"/>
  <c r="O50" i="1"/>
  <c r="M42" i="1"/>
  <c r="I51" i="1"/>
  <c r="O51" i="1" s="1"/>
  <c r="O34" i="1" l="1"/>
  <c r="M34" i="1"/>
</calcChain>
</file>

<file path=xl/sharedStrings.xml><?xml version="1.0" encoding="utf-8"?>
<sst xmlns="http://schemas.openxmlformats.org/spreadsheetml/2006/main" count="166" uniqueCount="79">
  <si>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</si>
  <si>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</si>
  <si>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</si>
  <si>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</si>
  <si>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</si>
  <si>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</si>
  <si>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</si>
  <si>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</si>
  <si>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</si>
  <si>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</si>
  <si>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</si>
  <si>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</si>
  <si>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</si>
  <si>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</si>
  <si>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</si>
  <si>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</si>
  <si>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</si>
  <si>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</si>
  <si>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</si>
  <si>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</si>
  <si>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</si>
  <si>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</si>
  <si>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</si>
  <si>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Найменування енергоресурсу</t>
  </si>
  <si>
    <t>Динаміка споживання</t>
  </si>
  <si>
    <t>КУ Сумська ЗОШ № 22 СМР по вул. Ковпака, 57</t>
  </si>
  <si>
    <t>КУ ССШ № 7 ім. М. Савченка СМР по вул. Л. Українки, 23</t>
  </si>
  <si>
    <t>КУ ССШ № 2  по вул. Г.Кондратьєва,76</t>
  </si>
  <si>
    <t xml:space="preserve">КУ ССШ № 10 по вул.Новомістенська,30 </t>
  </si>
  <si>
    <t>Сумський ДНЗ № 14 "Золотий півник" по вул. Прокоф`єва, 15</t>
  </si>
  <si>
    <t>СС ДНЗ (ясла-садок) № 24 "Оленка" по вул. Пушкіна, 49А</t>
  </si>
  <si>
    <t>ДНЗ № 29 "Росинка"по пр. Шевченка, 16</t>
  </si>
  <si>
    <t>КУ ССШ № 29 по вул. Заливна, 25</t>
  </si>
  <si>
    <t>Сумський ДНЗ № 5 "Снігуронька" по вул. Г. Кондратьєва, 142</t>
  </si>
  <si>
    <t>ДНЗ № 33 "Маринка" по вул. Котляревського, 2</t>
  </si>
  <si>
    <t>СДНЗ № 20 "Посмішка" по вул. Лучанська, 27</t>
  </si>
  <si>
    <t>КНП "ДКЛ Святої Зінаїди" СМР по вул. І. Сірка, 3</t>
  </si>
  <si>
    <t>КНП "ДКЛ Святої Зінаїди" СМР по вул. Троїцька, 28</t>
  </si>
  <si>
    <t>КНП "Центральна міська клінічна лікарня" СМР по вул. 20 років Перемоги, 13</t>
  </si>
  <si>
    <t>КНП "Клінічний пологовий будинок Пресвятої Діви Марії" СМР по вул. Троїцька, 20</t>
  </si>
  <si>
    <t>ДМШ № 1 по вул. Д.Галицького, 73</t>
  </si>
  <si>
    <t>Бібліотека-філія № 7 по вул. Г.Кондрат`єва, 140</t>
  </si>
  <si>
    <t>Бібліотека-філія № 14 по вул. М.Лушпи, 54</t>
  </si>
  <si>
    <t>Бібліотека-філія № 15 по вул. Д. Коротченка, 2</t>
  </si>
  <si>
    <t>2019 рік (план)</t>
  </si>
  <si>
    <t xml:space="preserve">2020 рік </t>
  </si>
  <si>
    <t>2021 рік</t>
  </si>
  <si>
    <t>2022 рік</t>
  </si>
  <si>
    <t>КУ ССШ № 9 по вул. Даргомижського, 3</t>
  </si>
  <si>
    <t>Електрична енергія</t>
  </si>
  <si>
    <t>МВт*год</t>
  </si>
  <si>
    <t>Дитяча художня школа ім. М.Г. Лисенка по вул. Псільська, 7</t>
  </si>
  <si>
    <t>ДМШ № 2  по вул. М. Вовчок, 31</t>
  </si>
  <si>
    <t>КУ Сумська ЗОШ № 20 по вул. Металургів, 71</t>
  </si>
  <si>
    <t>КУ Сумська ЗОШ № 18 СМР по вул. Леваневського, 8</t>
  </si>
  <si>
    <t xml:space="preserve">Сумський міський голова </t>
  </si>
  <si>
    <t>Виконавець: Липова С.А.</t>
  </si>
  <si>
    <t>ДНЗ №35 "Дюймовочка" с.Піщане, вул.Кооперативна, 2</t>
  </si>
  <si>
    <t>Сумський ДНЗ № 15 "Перлинка", вул. Нахімова, 17</t>
  </si>
  <si>
    <t>Сумський ДНЗ №39 "Теремок", по вул.Металургів, 7/А</t>
  </si>
  <si>
    <t>Сумський ДНЗ №2 "Ясочка" по вул.Інтернаціоналістів, 39</t>
  </si>
  <si>
    <t>КУ Сумський НВК № 34 СМР по вул. Раскової, 130</t>
  </si>
  <si>
    <t>13.</t>
  </si>
  <si>
    <t>14.</t>
  </si>
  <si>
    <t>15.</t>
  </si>
  <si>
    <t>16.</t>
  </si>
  <si>
    <t>17.</t>
  </si>
  <si>
    <t>18.</t>
  </si>
  <si>
    <t>19.</t>
  </si>
  <si>
    <t>20.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</si>
  <si>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</si>
  <si>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Сумська гімназія №1 по вул. Засумська,3</t>
  </si>
  <si>
    <t>КНП "Клінічна лікарня Св. Пантелеймона" по вул. М. Вовчок, 2</t>
  </si>
  <si>
    <t>Очікувані результати від реалізації Програми підвищення енергоефективності в бюджетній сфері Сумської міської територіальної громади на 2020-2022 роки</t>
  </si>
  <si>
    <t>12.</t>
  </si>
  <si>
    <t>21.</t>
  </si>
  <si>
    <t>СПШ №14 по вул.  Леоніда Бикова, 9</t>
  </si>
  <si>
    <t>Олександр ЛИСЕНКО</t>
  </si>
  <si>
    <t xml:space="preserve">від 24 листопада 2021 року № 2278 - 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</si>
</sst>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0" fillId="3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0" fillId="3" borderId="0" xfId="0" applyNumberFormat="1" applyFill="1"/>
    <xf numFmtId="0" fontId="3" fillId="0" borderId="1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/>
    <xf numFmtId="0" fontId="10" fillId="0" borderId="0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justify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8"/>
  <sheetViews>
    <sheetView tabSelected="1" view="pageBreakPreview" zoomScale="30" zoomScaleNormal="100" zoomScaleSheetLayoutView="30" workbookViewId="0">
      <selection activeCell="D17" sqref="D17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8" customWidth="1"/>
    <col min="5" max="5" width="23" customWidth="1"/>
    <col min="6" max="6" width="21.42578125" customWidth="1"/>
    <col min="7" max="7" width="23" customWidth="1"/>
    <col min="8" max="8" width="23.5703125" customWidth="1"/>
    <col min="9" max="9" width="22.28515625" customWidth="1"/>
    <col min="11" max="11" width="23.28515625" bestFit="1" customWidth="1"/>
    <col min="12" max="12" width="21.42578125" customWidth="1"/>
    <col min="13" max="13" width="23.42578125" customWidth="1"/>
    <col min="15" max="15" width="27.7109375" customWidth="1"/>
  </cols>
  <sheetData>
    <row r="1" spans="1:13" x14ac:dyDescent="0.25">
      <c r="D1" s="1"/>
    </row>
    <row r="2" spans="1:13" ht="20.25" customHeight="1" x14ac:dyDescent="0.45">
      <c r="C2" s="20"/>
      <c r="D2" s="16"/>
      <c r="E2" s="16"/>
      <c r="F2" s="16"/>
      <c r="G2" s="16"/>
      <c r="H2" s="16"/>
      <c r="I2" s="16"/>
    </row>
    <row r="3" spans="1:13" ht="15" customHeight="1" x14ac:dyDescent="0.25">
      <c r="D3" s="17"/>
      <c r="E3" s="61" t="s">
        <v>21</v>
      </c>
      <c r="F3" s="61"/>
      <c r="G3" s="61"/>
      <c r="H3" s="61"/>
      <c r="I3" s="61"/>
    </row>
    <row r="4" spans="1:13" ht="15" customHeight="1" x14ac:dyDescent="0.25">
      <c r="D4" s="17"/>
      <c r="E4" s="61"/>
      <c r="F4" s="61"/>
      <c r="G4" s="61"/>
      <c r="H4" s="61"/>
      <c r="I4" s="61"/>
    </row>
    <row r="5" spans="1:13" ht="15" customHeight="1" x14ac:dyDescent="0.25">
      <c r="D5" s="17"/>
      <c r="E5" s="61"/>
      <c r="F5" s="61"/>
      <c r="G5" s="61"/>
      <c r="H5" s="61"/>
      <c r="I5" s="61"/>
    </row>
    <row r="6" spans="1:13" ht="259.5" customHeight="1" x14ac:dyDescent="0.25">
      <c r="D6" s="17"/>
      <c r="E6" s="21"/>
      <c r="F6" s="77" t="s">
        <v>70</v>
      </c>
      <c r="G6" s="77"/>
      <c r="H6" s="77"/>
      <c r="I6" s="77"/>
    </row>
    <row r="7" spans="1:13" ht="37.5" customHeight="1" x14ac:dyDescent="0.45">
      <c r="D7" s="18"/>
      <c r="E7" s="15"/>
      <c r="F7" s="86" t="s">
        <v>78</v>
      </c>
      <c r="G7" s="15"/>
      <c r="H7" s="15"/>
      <c r="I7" s="15"/>
    </row>
    <row r="8" spans="1:13" ht="167.25" customHeight="1" x14ac:dyDescent="0.25">
      <c r="A8" s="78" t="s">
        <v>73</v>
      </c>
      <c r="B8" s="78"/>
      <c r="C8" s="78"/>
      <c r="D8" s="78"/>
      <c r="E8" s="78"/>
      <c r="F8" s="78"/>
      <c r="G8" s="78"/>
      <c r="H8" s="78"/>
      <c r="I8" s="78"/>
    </row>
    <row r="9" spans="1:13" ht="45" customHeight="1" x14ac:dyDescent="0.25">
      <c r="A9" s="67" t="s">
        <v>0</v>
      </c>
      <c r="B9" s="68" t="s">
        <v>1</v>
      </c>
      <c r="C9" s="65" t="s">
        <v>23</v>
      </c>
      <c r="D9" s="67" t="s">
        <v>2</v>
      </c>
      <c r="E9" s="68" t="s">
        <v>24</v>
      </c>
      <c r="F9" s="68"/>
      <c r="G9" s="68"/>
      <c r="H9" s="68"/>
      <c r="I9" s="68"/>
    </row>
    <row r="10" spans="1:13" ht="147.75" customHeight="1" x14ac:dyDescent="0.25">
      <c r="A10" s="67"/>
      <c r="B10" s="68"/>
      <c r="C10" s="66"/>
      <c r="D10" s="67"/>
      <c r="E10" s="7" t="s">
        <v>3</v>
      </c>
      <c r="F10" s="2" t="s">
        <v>44</v>
      </c>
      <c r="G10" s="2" t="s">
        <v>45</v>
      </c>
      <c r="H10" s="3" t="s">
        <v>46</v>
      </c>
      <c r="I10" s="3" t="s">
        <v>47</v>
      </c>
      <c r="K10" s="32" t="s">
        <v>45</v>
      </c>
      <c r="L10" s="33" t="s">
        <v>46</v>
      </c>
      <c r="M10" s="33" t="s">
        <v>47</v>
      </c>
    </row>
    <row r="11" spans="1:13" s="19" customFormat="1" ht="29.25" customHeight="1" x14ac:dyDescent="0.25">
      <c r="A11" s="6">
        <v>1</v>
      </c>
      <c r="B11" s="4">
        <v>2</v>
      </c>
      <c r="C11" s="5">
        <v>3</v>
      </c>
      <c r="D11" s="4">
        <v>4</v>
      </c>
      <c r="E11" s="7">
        <v>5</v>
      </c>
      <c r="F11" s="6">
        <v>6</v>
      </c>
      <c r="G11" s="4">
        <v>7</v>
      </c>
      <c r="H11" s="4">
        <v>8</v>
      </c>
      <c r="I11" s="4">
        <v>9</v>
      </c>
    </row>
    <row r="12" spans="1:13" ht="30" x14ac:dyDescent="0.4">
      <c r="A12" s="69" t="s">
        <v>15</v>
      </c>
      <c r="B12" s="70"/>
      <c r="C12" s="70"/>
      <c r="D12" s="70"/>
      <c r="E12" s="70"/>
      <c r="F12" s="70"/>
      <c r="G12" s="70"/>
      <c r="H12" s="70"/>
      <c r="I12" s="71"/>
      <c r="K12" s="34"/>
      <c r="L12" s="34"/>
      <c r="M12" s="34"/>
    </row>
    <row r="13" spans="1:13" s="14" customFormat="1" ht="49.5" customHeight="1" x14ac:dyDescent="0.25">
      <c r="A13" s="9" t="s">
        <v>4</v>
      </c>
      <c r="B13" s="10" t="s">
        <v>27</v>
      </c>
      <c r="C13" s="11" t="s">
        <v>19</v>
      </c>
      <c r="D13" s="9" t="s">
        <v>18</v>
      </c>
      <c r="E13" s="12">
        <v>792.9</v>
      </c>
      <c r="F13" s="13">
        <v>755.4</v>
      </c>
      <c r="G13" s="13">
        <f>F13</f>
        <v>755.4</v>
      </c>
      <c r="H13" s="13">
        <f>G13-(30.4/1.163)</f>
        <v>729.2607050730868</v>
      </c>
      <c r="I13" s="13">
        <f>H13-(116/1.163)</f>
        <v>629.51865864144452</v>
      </c>
      <c r="K13" s="35"/>
      <c r="L13" s="36">
        <f>H13</f>
        <v>729.2607050730868</v>
      </c>
      <c r="M13" s="36">
        <f>I13</f>
        <v>629.51865864144452</v>
      </c>
    </row>
    <row r="14" spans="1:13" s="14" customFormat="1" ht="65.25" customHeight="1" x14ac:dyDescent="0.25">
      <c r="A14" s="9" t="s">
        <v>5</v>
      </c>
      <c r="B14" s="10" t="s">
        <v>26</v>
      </c>
      <c r="C14" s="11" t="s">
        <v>19</v>
      </c>
      <c r="D14" s="9" t="s">
        <v>18</v>
      </c>
      <c r="E14" s="12">
        <v>1440.4</v>
      </c>
      <c r="F14" s="13">
        <v>1350</v>
      </c>
      <c r="G14" s="13">
        <f>F14-91</f>
        <v>1259</v>
      </c>
      <c r="H14" s="13">
        <f>F14-274-48</f>
        <v>1028</v>
      </c>
      <c r="I14" s="13">
        <f>F14-274-48-63</f>
        <v>965</v>
      </c>
      <c r="K14" s="36">
        <f>G14</f>
        <v>1259</v>
      </c>
      <c r="L14" s="36">
        <f t="shared" ref="L14:M14" si="0">H14</f>
        <v>1028</v>
      </c>
      <c r="M14" s="36">
        <f t="shared" si="0"/>
        <v>965</v>
      </c>
    </row>
    <row r="15" spans="1:13" s="14" customFormat="1" ht="40.5" customHeight="1" x14ac:dyDescent="0.25">
      <c r="A15" s="9" t="s">
        <v>6</v>
      </c>
      <c r="B15" s="10" t="s">
        <v>48</v>
      </c>
      <c r="C15" s="11" t="s">
        <v>19</v>
      </c>
      <c r="D15" s="9" t="s">
        <v>18</v>
      </c>
      <c r="E15" s="12">
        <v>663.5</v>
      </c>
      <c r="F15" s="13">
        <v>502.9</v>
      </c>
      <c r="G15" s="13">
        <f>F15-10</f>
        <v>492.9</v>
      </c>
      <c r="H15" s="13">
        <f>G15-84</f>
        <v>408.9</v>
      </c>
      <c r="I15" s="13">
        <f>H15</f>
        <v>408.9</v>
      </c>
      <c r="K15" s="36">
        <f>G15</f>
        <v>492.9</v>
      </c>
      <c r="L15" s="36">
        <f>H15</f>
        <v>408.9</v>
      </c>
      <c r="M15" s="35"/>
    </row>
    <row r="16" spans="1:13" s="14" customFormat="1" ht="43.5" customHeight="1" x14ac:dyDescent="0.25">
      <c r="A16" s="9" t="s">
        <v>7</v>
      </c>
      <c r="B16" s="10" t="s">
        <v>28</v>
      </c>
      <c r="C16" s="11" t="s">
        <v>19</v>
      </c>
      <c r="D16" s="9" t="s">
        <v>18</v>
      </c>
      <c r="E16" s="12">
        <v>569.1</v>
      </c>
      <c r="F16" s="13">
        <v>520</v>
      </c>
      <c r="G16" s="13">
        <f>F16</f>
        <v>520</v>
      </c>
      <c r="H16" s="13">
        <f>G16</f>
        <v>520</v>
      </c>
      <c r="I16" s="13">
        <f>H16-((154+16.8)/1.163)</f>
        <v>373.13843508168532</v>
      </c>
      <c r="K16" s="35"/>
      <c r="L16" s="35"/>
      <c r="M16" s="36">
        <f>I16</f>
        <v>373.13843508168532</v>
      </c>
    </row>
    <row r="17" spans="1:13" s="14" customFormat="1" ht="51" customHeight="1" x14ac:dyDescent="0.25">
      <c r="A17" s="9" t="s">
        <v>8</v>
      </c>
      <c r="B17" s="10" t="s">
        <v>76</v>
      </c>
      <c r="C17" s="11" t="s">
        <v>19</v>
      </c>
      <c r="D17" s="9" t="s">
        <v>18</v>
      </c>
      <c r="E17" s="12">
        <v>629.70000000000005</v>
      </c>
      <c r="F17" s="13">
        <v>620</v>
      </c>
      <c r="G17" s="13">
        <f>F17</f>
        <v>620</v>
      </c>
      <c r="H17" s="13">
        <f>G17-(64/1.163)</f>
        <v>564.96990541702496</v>
      </c>
      <c r="I17" s="13">
        <f>H17</f>
        <v>564.96990541702496</v>
      </c>
      <c r="K17" s="35"/>
      <c r="L17" s="35"/>
      <c r="M17" s="36"/>
    </row>
    <row r="18" spans="1:13" s="14" customFormat="1" ht="43.5" customHeight="1" x14ac:dyDescent="0.25">
      <c r="A18" s="9" t="s">
        <v>9</v>
      </c>
      <c r="B18" s="10" t="s">
        <v>54</v>
      </c>
      <c r="C18" s="11" t="s">
        <v>19</v>
      </c>
      <c r="D18" s="9" t="s">
        <v>18</v>
      </c>
      <c r="E18" s="12">
        <v>961.6</v>
      </c>
      <c r="F18" s="9">
        <v>996.1</v>
      </c>
      <c r="G18" s="13">
        <f>F18-(142.3/1.163)</f>
        <v>873.7440240756664</v>
      </c>
      <c r="H18" s="13">
        <f>G18</f>
        <v>873.7440240756664</v>
      </c>
      <c r="I18" s="13">
        <f>H18</f>
        <v>873.7440240756664</v>
      </c>
      <c r="K18" s="36">
        <f>G18</f>
        <v>873.7440240756664</v>
      </c>
      <c r="L18" s="35"/>
      <c r="M18" s="35"/>
    </row>
    <row r="19" spans="1:13" s="14" customFormat="1" ht="48" customHeight="1" x14ac:dyDescent="0.25">
      <c r="A19" s="9" t="s">
        <v>10</v>
      </c>
      <c r="B19" s="10" t="s">
        <v>53</v>
      </c>
      <c r="C19" s="11" t="s">
        <v>49</v>
      </c>
      <c r="D19" s="9" t="s">
        <v>50</v>
      </c>
      <c r="E19" s="12">
        <v>50.96</v>
      </c>
      <c r="F19" s="13">
        <v>55.2</v>
      </c>
      <c r="G19" s="13">
        <f>F19</f>
        <v>55.2</v>
      </c>
      <c r="H19" s="13">
        <f>G19-21.8</f>
        <v>33.400000000000006</v>
      </c>
      <c r="I19" s="13">
        <f>H19</f>
        <v>33.400000000000006</v>
      </c>
      <c r="K19" s="35"/>
      <c r="L19" s="35"/>
      <c r="M19" s="35"/>
    </row>
    <row r="20" spans="1:13" s="14" customFormat="1" ht="51" customHeight="1" x14ac:dyDescent="0.25">
      <c r="A20" s="9" t="s">
        <v>11</v>
      </c>
      <c r="B20" s="10" t="s">
        <v>25</v>
      </c>
      <c r="C20" s="11" t="s">
        <v>19</v>
      </c>
      <c r="D20" s="9" t="s">
        <v>18</v>
      </c>
      <c r="E20" s="12">
        <v>1263.0999999999999</v>
      </c>
      <c r="F20" s="13">
        <v>1000</v>
      </c>
      <c r="G20" s="13">
        <f>F20-(300/1.163)</f>
        <v>742.04643164230447</v>
      </c>
      <c r="H20" s="13">
        <f>G20</f>
        <v>742.04643164230447</v>
      </c>
      <c r="I20" s="13">
        <f>H20</f>
        <v>742.04643164230447</v>
      </c>
      <c r="K20" s="36">
        <f>G20</f>
        <v>742.04643164230447</v>
      </c>
      <c r="L20" s="35"/>
      <c r="M20" s="35"/>
    </row>
    <row r="21" spans="1:13" s="14" customFormat="1" ht="68.25" customHeight="1" x14ac:dyDescent="0.25">
      <c r="A21" s="9" t="s">
        <v>12</v>
      </c>
      <c r="B21" s="22" t="s">
        <v>32</v>
      </c>
      <c r="C21" s="11" t="s">
        <v>19</v>
      </c>
      <c r="D21" s="9" t="s">
        <v>18</v>
      </c>
      <c r="E21" s="12">
        <v>727.9</v>
      </c>
      <c r="F21" s="9">
        <v>677.3</v>
      </c>
      <c r="G21" s="13">
        <f>F21-(69/1.163)</f>
        <v>617.97067927772991</v>
      </c>
      <c r="H21" s="13">
        <f>G21-(55.8/1.163)</f>
        <v>569.99131556319855</v>
      </c>
      <c r="I21" s="13">
        <f>H21-(81/1.163)</f>
        <v>500.34385210662072</v>
      </c>
      <c r="K21" s="36">
        <f>G21</f>
        <v>617.97067927772991</v>
      </c>
      <c r="L21" s="36">
        <f t="shared" ref="L21:M21" si="1">H21</f>
        <v>569.99131556319855</v>
      </c>
      <c r="M21" s="36">
        <f t="shared" si="1"/>
        <v>500.34385210662072</v>
      </c>
    </row>
    <row r="22" spans="1:13" s="14" customFormat="1" ht="68.25" customHeight="1" x14ac:dyDescent="0.25">
      <c r="A22" s="9" t="s">
        <v>13</v>
      </c>
      <c r="B22" s="22" t="s">
        <v>71</v>
      </c>
      <c r="C22" s="11" t="s">
        <v>19</v>
      </c>
      <c r="D22" s="9" t="s">
        <v>18</v>
      </c>
      <c r="E22" s="12">
        <v>380.6</v>
      </c>
      <c r="F22" s="9">
        <v>359.2</v>
      </c>
      <c r="G22" s="13">
        <f>F22</f>
        <v>359.2</v>
      </c>
      <c r="H22" s="13">
        <f>G22-(32.6/1.163)</f>
        <v>331.16904557179708</v>
      </c>
      <c r="I22" s="13">
        <f>H22</f>
        <v>331.16904557179708</v>
      </c>
      <c r="K22" s="36"/>
      <c r="L22" s="36"/>
      <c r="M22" s="36"/>
    </row>
    <row r="23" spans="1:13" s="14" customFormat="1" ht="68.25" customHeight="1" x14ac:dyDescent="0.25">
      <c r="A23" s="9" t="s">
        <v>14</v>
      </c>
      <c r="B23" s="22" t="s">
        <v>60</v>
      </c>
      <c r="C23" s="11" t="s">
        <v>19</v>
      </c>
      <c r="D23" s="9" t="s">
        <v>18</v>
      </c>
      <c r="E23" s="12">
        <v>316.60000000000002</v>
      </c>
      <c r="F23" s="9">
        <v>262.10000000000002</v>
      </c>
      <c r="G23" s="13">
        <f>F23</f>
        <v>262.10000000000002</v>
      </c>
      <c r="H23" s="13">
        <f>G23-(41.9/1.163)</f>
        <v>226.07248495270852</v>
      </c>
      <c r="I23" s="13">
        <f>H23</f>
        <v>226.07248495270852</v>
      </c>
      <c r="K23" s="35"/>
      <c r="L23" s="36">
        <f>H23</f>
        <v>226.07248495270852</v>
      </c>
      <c r="M23" s="35"/>
    </row>
    <row r="24" spans="1:13" s="14" customFormat="1" ht="80.25" customHeight="1" x14ac:dyDescent="0.25">
      <c r="A24" s="9" t="s">
        <v>74</v>
      </c>
      <c r="B24" s="10" t="s">
        <v>33</v>
      </c>
      <c r="C24" s="11" t="s">
        <v>19</v>
      </c>
      <c r="D24" s="9" t="s">
        <v>18</v>
      </c>
      <c r="E24" s="12">
        <v>376.2</v>
      </c>
      <c r="F24" s="9">
        <v>325</v>
      </c>
      <c r="G24" s="9">
        <f>F24</f>
        <v>325</v>
      </c>
      <c r="H24" s="9">
        <f>G24</f>
        <v>325</v>
      </c>
      <c r="I24" s="13">
        <f>H24-(127/1.163)</f>
        <v>215.79965606190888</v>
      </c>
      <c r="K24" s="35"/>
      <c r="L24" s="35"/>
      <c r="M24" s="36">
        <f>I24</f>
        <v>215.79965606190888</v>
      </c>
    </row>
    <row r="25" spans="1:13" s="14" customFormat="1" ht="65.25" customHeight="1" x14ac:dyDescent="0.25">
      <c r="A25" s="9" t="s">
        <v>62</v>
      </c>
      <c r="B25" s="10" t="s">
        <v>29</v>
      </c>
      <c r="C25" s="11" t="s">
        <v>19</v>
      </c>
      <c r="D25" s="9" t="s">
        <v>18</v>
      </c>
      <c r="E25" s="12">
        <v>256</v>
      </c>
      <c r="F25" s="9">
        <v>240.6</v>
      </c>
      <c r="G25" s="13">
        <f>F25-(26.5/1.163)</f>
        <v>217.81410146173687</v>
      </c>
      <c r="H25" s="13">
        <f>G25</f>
        <v>217.81410146173687</v>
      </c>
      <c r="I25" s="13">
        <f>H25-(40.7/1.163)</f>
        <v>182.81840068787616</v>
      </c>
      <c r="K25" s="36">
        <f>G25</f>
        <v>217.81410146173687</v>
      </c>
      <c r="L25" s="35"/>
      <c r="M25" s="36">
        <f>I25</f>
        <v>182.81840068787616</v>
      </c>
    </row>
    <row r="26" spans="1:13" s="14" customFormat="1" ht="65.25" customHeight="1" x14ac:dyDescent="0.25">
      <c r="A26" s="9" t="s">
        <v>63</v>
      </c>
      <c r="B26" s="10" t="s">
        <v>58</v>
      </c>
      <c r="C26" s="11" t="s">
        <v>19</v>
      </c>
      <c r="D26" s="9" t="s">
        <v>18</v>
      </c>
      <c r="E26" s="12">
        <v>293.10000000000002</v>
      </c>
      <c r="F26" s="9">
        <v>282.2</v>
      </c>
      <c r="G26" s="13">
        <f>F26-(38/1.163)</f>
        <v>249.52588134135854</v>
      </c>
      <c r="H26" s="13">
        <f>G26</f>
        <v>249.52588134135854</v>
      </c>
      <c r="I26" s="13">
        <f>H26</f>
        <v>249.52588134135854</v>
      </c>
      <c r="K26" s="36">
        <f>G26</f>
        <v>249.52588134135854</v>
      </c>
      <c r="L26" s="35"/>
      <c r="M26" s="35"/>
    </row>
    <row r="27" spans="1:13" s="14" customFormat="1" ht="75.75" customHeight="1" x14ac:dyDescent="0.25">
      <c r="A27" s="9" t="s">
        <v>64</v>
      </c>
      <c r="B27" s="10" t="s">
        <v>35</v>
      </c>
      <c r="C27" s="11" t="s">
        <v>19</v>
      </c>
      <c r="D27" s="9" t="s">
        <v>18</v>
      </c>
      <c r="E27" s="12">
        <v>459.5</v>
      </c>
      <c r="F27" s="9">
        <v>461.5</v>
      </c>
      <c r="G27" s="9">
        <f t="shared" ref="G27:I32" si="2">F27</f>
        <v>461.5</v>
      </c>
      <c r="H27" s="9">
        <f t="shared" si="2"/>
        <v>461.5</v>
      </c>
      <c r="I27" s="13">
        <f>H27-(22/1.163)</f>
        <v>442.58340498710231</v>
      </c>
      <c r="K27" s="35"/>
      <c r="L27" s="35"/>
      <c r="M27" s="36">
        <f>I27</f>
        <v>442.58340498710231</v>
      </c>
    </row>
    <row r="28" spans="1:13" s="14" customFormat="1" ht="66" customHeight="1" x14ac:dyDescent="0.25">
      <c r="A28" s="9" t="s">
        <v>65</v>
      </c>
      <c r="B28" s="10" t="s">
        <v>30</v>
      </c>
      <c r="C28" s="11" t="s">
        <v>19</v>
      </c>
      <c r="D28" s="9" t="s">
        <v>18</v>
      </c>
      <c r="E28" s="12">
        <v>100.8</v>
      </c>
      <c r="F28" s="9">
        <v>98.3</v>
      </c>
      <c r="G28" s="9">
        <f t="shared" si="2"/>
        <v>98.3</v>
      </c>
      <c r="H28" s="9">
        <f t="shared" si="2"/>
        <v>98.3</v>
      </c>
      <c r="I28" s="13">
        <f>H28-(38/1.163)</f>
        <v>65.625881341358564</v>
      </c>
      <c r="K28" s="35"/>
      <c r="L28" s="35"/>
      <c r="M28" s="36">
        <f>I28</f>
        <v>65.625881341358564</v>
      </c>
    </row>
    <row r="29" spans="1:13" s="14" customFormat="1" ht="66" customHeight="1" x14ac:dyDescent="0.25">
      <c r="A29" s="9" t="s">
        <v>66</v>
      </c>
      <c r="B29" s="10" t="s">
        <v>31</v>
      </c>
      <c r="C29" s="11" t="s">
        <v>19</v>
      </c>
      <c r="D29" s="9" t="s">
        <v>18</v>
      </c>
      <c r="E29" s="12">
        <v>195.3</v>
      </c>
      <c r="F29" s="13">
        <v>192</v>
      </c>
      <c r="G29" s="13">
        <f t="shared" si="2"/>
        <v>192</v>
      </c>
      <c r="H29" s="13">
        <f t="shared" si="2"/>
        <v>192</v>
      </c>
      <c r="I29" s="13">
        <f>H29-(71/1.163)</f>
        <v>130.95098882201205</v>
      </c>
      <c r="K29" s="35"/>
      <c r="L29" s="35"/>
      <c r="M29" s="36">
        <f>I29</f>
        <v>130.95098882201205</v>
      </c>
    </row>
    <row r="30" spans="1:13" s="14" customFormat="1" ht="66" customHeight="1" x14ac:dyDescent="0.25">
      <c r="A30" s="9" t="s">
        <v>67</v>
      </c>
      <c r="B30" s="10" t="s">
        <v>34</v>
      </c>
      <c r="C30" s="11" t="s">
        <v>19</v>
      </c>
      <c r="D30" s="9" t="s">
        <v>18</v>
      </c>
      <c r="E30" s="12">
        <v>592.5</v>
      </c>
      <c r="F30" s="9">
        <v>563.20000000000005</v>
      </c>
      <c r="G30" s="9">
        <f t="shared" si="2"/>
        <v>563.20000000000005</v>
      </c>
      <c r="H30" s="9">
        <f t="shared" si="2"/>
        <v>563.20000000000005</v>
      </c>
      <c r="I30" s="13">
        <f>H30-(112/1.163)</f>
        <v>466.8973344797937</v>
      </c>
      <c r="K30" s="35"/>
      <c r="L30" s="35"/>
      <c r="M30" s="36">
        <f>I30</f>
        <v>466.8973344797937</v>
      </c>
    </row>
    <row r="31" spans="1:13" s="14" customFormat="1" ht="66" customHeight="1" x14ac:dyDescent="0.25">
      <c r="A31" s="9" t="s">
        <v>68</v>
      </c>
      <c r="B31" s="10" t="s">
        <v>57</v>
      </c>
      <c r="C31" s="11" t="s">
        <v>19</v>
      </c>
      <c r="D31" s="9" t="s">
        <v>18</v>
      </c>
      <c r="E31" s="12">
        <v>177.9</v>
      </c>
      <c r="F31" s="9">
        <v>177.6</v>
      </c>
      <c r="G31" s="29">
        <f>F31-(3/1.163)</f>
        <v>175.02046431642304</v>
      </c>
      <c r="H31" s="29">
        <f t="shared" si="2"/>
        <v>175.02046431642304</v>
      </c>
      <c r="I31" s="29">
        <f t="shared" si="2"/>
        <v>175.02046431642304</v>
      </c>
      <c r="K31" s="37">
        <f>G31</f>
        <v>175.02046431642304</v>
      </c>
      <c r="L31" s="35"/>
      <c r="M31" s="35"/>
    </row>
    <row r="32" spans="1:13" s="14" customFormat="1" ht="66" customHeight="1" x14ac:dyDescent="0.25">
      <c r="A32" s="9" t="s">
        <v>69</v>
      </c>
      <c r="B32" s="10" t="s">
        <v>59</v>
      </c>
      <c r="C32" s="11" t="s">
        <v>19</v>
      </c>
      <c r="D32" s="9" t="s">
        <v>18</v>
      </c>
      <c r="E32" s="12">
        <v>384.9</v>
      </c>
      <c r="F32" s="9">
        <v>373</v>
      </c>
      <c r="G32" s="29">
        <f>F32-(44/1.163)</f>
        <v>335.16680997420463</v>
      </c>
      <c r="H32" s="29">
        <f t="shared" si="2"/>
        <v>335.16680997420463</v>
      </c>
      <c r="I32" s="29">
        <f>H32</f>
        <v>335.16680997420463</v>
      </c>
      <c r="K32" s="37">
        <f>G32</f>
        <v>335.16680997420463</v>
      </c>
      <c r="L32" s="35"/>
      <c r="M32" s="35"/>
    </row>
    <row r="33" spans="1:15" s="14" customFormat="1" ht="65.25" customHeight="1" x14ac:dyDescent="0.25">
      <c r="A33" s="9" t="s">
        <v>75</v>
      </c>
      <c r="B33" s="10" t="s">
        <v>61</v>
      </c>
      <c r="C33" s="11" t="s">
        <v>19</v>
      </c>
      <c r="D33" s="9" t="s">
        <v>18</v>
      </c>
      <c r="E33" s="12">
        <f>709/1.163</f>
        <v>609.63026655202066</v>
      </c>
      <c r="F33" s="13">
        <f>(72.3*9.39)/1.163</f>
        <v>583.7463456577816</v>
      </c>
      <c r="G33" s="13">
        <f>F33</f>
        <v>583.7463456577816</v>
      </c>
      <c r="H33" s="13">
        <f>G33-(36.1/1.163)</f>
        <v>552.70593293207219</v>
      </c>
      <c r="I33" s="13">
        <f>H33</f>
        <v>552.70593293207219</v>
      </c>
    </row>
    <row r="34" spans="1:15" s="14" customFormat="1" ht="46.5" customHeight="1" x14ac:dyDescent="0.25">
      <c r="A34" s="80" t="s">
        <v>20</v>
      </c>
      <c r="B34" s="81"/>
      <c r="C34" s="23" t="s">
        <v>19</v>
      </c>
      <c r="D34" s="47" t="s">
        <v>18</v>
      </c>
      <c r="E34" s="25">
        <f>E13+E14+E15+E16+E18+E20+E21+E24+E25+E27+E28+E29+E30+E31+E26+E32+E23+E33+E22+E17</f>
        <v>11191.23026655202</v>
      </c>
      <c r="F34" s="25">
        <f t="shared" ref="F34:I34" si="3">F13+F14+F15+F16+F18+F20+F21+F24+F25+F27+F28+F29+F30+F31+F26+F32+F23+F33+F22+F17</f>
        <v>10340.146345657784</v>
      </c>
      <c r="G34" s="25">
        <f t="shared" si="3"/>
        <v>9703.6347377472066</v>
      </c>
      <c r="H34" s="25">
        <f t="shared" si="3"/>
        <v>9164.3871023215816</v>
      </c>
      <c r="I34" s="25">
        <f t="shared" si="3"/>
        <v>8431.9975924333612</v>
      </c>
      <c r="K34" s="48">
        <f>G34-F34</f>
        <v>-636.51160791057737</v>
      </c>
      <c r="L34" s="48">
        <f>H34-F34-K34</f>
        <v>-539.24763542562505</v>
      </c>
      <c r="M34" s="48">
        <f>I34-F34-K34-L34</f>
        <v>-732.38950988822035</v>
      </c>
      <c r="O34" s="48">
        <f>I34-F34</f>
        <v>-1908.1487532244228</v>
      </c>
    </row>
    <row r="35" spans="1:15" s="14" customFormat="1" ht="46.5" customHeight="1" x14ac:dyDescent="0.25">
      <c r="A35" s="82"/>
      <c r="B35" s="83"/>
      <c r="C35" s="23" t="s">
        <v>49</v>
      </c>
      <c r="D35" s="47" t="s">
        <v>50</v>
      </c>
      <c r="E35" s="26">
        <f>E19</f>
        <v>50.96</v>
      </c>
      <c r="F35" s="26">
        <f>F19</f>
        <v>55.2</v>
      </c>
      <c r="G35" s="26">
        <f>G19</f>
        <v>55.2</v>
      </c>
      <c r="H35" s="26">
        <f>H19</f>
        <v>33.400000000000006</v>
      </c>
      <c r="I35" s="26">
        <f>I19</f>
        <v>33.400000000000006</v>
      </c>
      <c r="K35" s="48">
        <f>G35-F35</f>
        <v>0</v>
      </c>
      <c r="L35" s="48">
        <f>H35-F35-K35</f>
        <v>-21.799999999999997</v>
      </c>
      <c r="M35" s="48">
        <f>I35-F35-K35-L35</f>
        <v>0</v>
      </c>
      <c r="O35" s="48">
        <f>I35-F35</f>
        <v>-21.799999999999997</v>
      </c>
    </row>
    <row r="36" spans="1:15" s="14" customFormat="1" ht="30" x14ac:dyDescent="0.4">
      <c r="A36" s="72" t="s">
        <v>16</v>
      </c>
      <c r="B36" s="73"/>
      <c r="C36" s="73"/>
      <c r="D36" s="73"/>
      <c r="E36" s="73"/>
      <c r="F36" s="73"/>
      <c r="G36" s="73"/>
      <c r="H36" s="73"/>
      <c r="I36" s="74"/>
      <c r="K36" s="35"/>
      <c r="L36" s="35"/>
      <c r="M36" s="35"/>
    </row>
    <row r="37" spans="1:15" s="14" customFormat="1" ht="30.75" x14ac:dyDescent="0.25">
      <c r="A37" s="75" t="s">
        <v>4</v>
      </c>
      <c r="B37" s="10" t="s">
        <v>36</v>
      </c>
      <c r="C37" s="11" t="s">
        <v>19</v>
      </c>
      <c r="D37" s="9" t="s">
        <v>18</v>
      </c>
      <c r="E37" s="12">
        <v>501.6</v>
      </c>
      <c r="F37" s="9">
        <v>389</v>
      </c>
      <c r="G37" s="13">
        <f>F37-(28/1.163)</f>
        <v>364.92433361994841</v>
      </c>
      <c r="H37" s="13">
        <f>G37-(112.3/1.163)</f>
        <v>268.36371453138435</v>
      </c>
      <c r="I37" s="13">
        <f>H37</f>
        <v>268.36371453138435</v>
      </c>
      <c r="K37" s="35"/>
      <c r="L37" s="35"/>
      <c r="M37" s="35"/>
    </row>
    <row r="38" spans="1:15" s="14" customFormat="1" ht="30.75" x14ac:dyDescent="0.25">
      <c r="A38" s="76"/>
      <c r="B38" s="10" t="s">
        <v>37</v>
      </c>
      <c r="C38" s="11" t="s">
        <v>19</v>
      </c>
      <c r="D38" s="9" t="s">
        <v>18</v>
      </c>
      <c r="E38" s="12">
        <v>1533.6</v>
      </c>
      <c r="F38" s="9">
        <v>1615</v>
      </c>
      <c r="G38" s="13">
        <f>F38-((598.2*0.15)/1.163)</f>
        <v>1537.8460877042132</v>
      </c>
      <c r="H38" s="13">
        <f>G38-((598.2*0.85)/1.163)</f>
        <v>1100.640584694755</v>
      </c>
      <c r="I38" s="13">
        <f>H38</f>
        <v>1100.640584694755</v>
      </c>
      <c r="K38" s="35"/>
      <c r="L38" s="35"/>
      <c r="M38" s="35"/>
    </row>
    <row r="39" spans="1:15" s="14" customFormat="1" ht="61.5" x14ac:dyDescent="0.25">
      <c r="A39" s="9" t="s">
        <v>5</v>
      </c>
      <c r="B39" s="10" t="s">
        <v>38</v>
      </c>
      <c r="C39" s="11" t="s">
        <v>19</v>
      </c>
      <c r="D39" s="9" t="s">
        <v>18</v>
      </c>
      <c r="E39" s="12">
        <v>1452.61</v>
      </c>
      <c r="F39" s="9">
        <v>1406</v>
      </c>
      <c r="G39" s="13">
        <f>F39</f>
        <v>1406</v>
      </c>
      <c r="H39" s="49">
        <f>G39</f>
        <v>1406</v>
      </c>
      <c r="I39" s="13">
        <f>H39-(261.5/1.163)</f>
        <v>1181.1504729148753</v>
      </c>
      <c r="K39" s="35"/>
      <c r="L39" s="35"/>
      <c r="M39" s="35"/>
    </row>
    <row r="40" spans="1:15" s="14" customFormat="1" ht="61.5" x14ac:dyDescent="0.25">
      <c r="A40" s="9" t="s">
        <v>6</v>
      </c>
      <c r="B40" s="10" t="s">
        <v>39</v>
      </c>
      <c r="C40" s="11" t="s">
        <v>19</v>
      </c>
      <c r="D40" s="9" t="s">
        <v>18</v>
      </c>
      <c r="E40" s="12">
        <v>1338.1</v>
      </c>
      <c r="F40" s="9">
        <v>1458</v>
      </c>
      <c r="G40" s="9">
        <f>F40</f>
        <v>1458</v>
      </c>
      <c r="H40" s="13">
        <f>F40-(138.9/1.163)</f>
        <v>1338.5674978503869</v>
      </c>
      <c r="I40" s="13">
        <f>F40-(102.9/1.163)</f>
        <v>1369.5219260533104</v>
      </c>
      <c r="K40" s="35"/>
      <c r="L40" s="35"/>
      <c r="M40" s="35"/>
    </row>
    <row r="41" spans="1:15" s="39" customFormat="1" ht="72.75" customHeight="1" x14ac:dyDescent="0.25">
      <c r="A41" s="50" t="s">
        <v>7</v>
      </c>
      <c r="B41" s="51" t="s">
        <v>72</v>
      </c>
      <c r="C41" s="52" t="s">
        <v>19</v>
      </c>
      <c r="D41" s="50" t="s">
        <v>18</v>
      </c>
      <c r="E41" s="53">
        <v>764.30600000000004</v>
      </c>
      <c r="F41" s="50">
        <v>734.11999999999989</v>
      </c>
      <c r="G41" s="50">
        <f>F41</f>
        <v>734.11999999999989</v>
      </c>
      <c r="H41" s="54">
        <f>G41-(430.2/1.163)</f>
        <v>364.21458297506439</v>
      </c>
      <c r="I41" s="54">
        <f>H41</f>
        <v>364.21458297506439</v>
      </c>
      <c r="K41" s="45"/>
      <c r="L41" s="45"/>
      <c r="M41" s="45"/>
    </row>
    <row r="42" spans="1:15" s="39" customFormat="1" ht="49.5" customHeight="1" x14ac:dyDescent="0.25">
      <c r="A42" s="62" t="s">
        <v>20</v>
      </c>
      <c r="B42" s="64"/>
      <c r="C42" s="40" t="s">
        <v>19</v>
      </c>
      <c r="D42" s="41" t="s">
        <v>18</v>
      </c>
      <c r="E42" s="42">
        <f>SUM(E37:E40)</f>
        <v>4825.91</v>
      </c>
      <c r="F42" s="41">
        <f>SUM(F37:F40)</f>
        <v>4868</v>
      </c>
      <c r="G42" s="44">
        <f>SUM(G37:G40)</f>
        <v>4766.7704213241614</v>
      </c>
      <c r="H42" s="44">
        <f>SUM(H37:H40)</f>
        <v>4113.5717970765263</v>
      </c>
      <c r="I42" s="44">
        <f>SUM(I37:I40)</f>
        <v>3919.6766981943251</v>
      </c>
      <c r="J42" s="46"/>
      <c r="K42" s="43">
        <f>G42-F42</f>
        <v>-101.22957867583864</v>
      </c>
      <c r="L42" s="43">
        <f>H42-K42-F42</f>
        <v>-653.19862424763505</v>
      </c>
      <c r="M42" s="43">
        <f>I42-F42-K42-L42</f>
        <v>-193.89509888220118</v>
      </c>
      <c r="O42" s="43">
        <f>I42-F42</f>
        <v>-948.32330180567487</v>
      </c>
    </row>
    <row r="43" spans="1:15" s="39" customFormat="1" ht="39.75" customHeight="1" x14ac:dyDescent="0.25">
      <c r="A43" s="62" t="s">
        <v>17</v>
      </c>
      <c r="B43" s="63"/>
      <c r="C43" s="63"/>
      <c r="D43" s="63"/>
      <c r="E43" s="63"/>
      <c r="F43" s="63"/>
      <c r="G43" s="63"/>
      <c r="H43" s="63"/>
      <c r="I43" s="64"/>
      <c r="K43" s="45"/>
      <c r="L43" s="45"/>
      <c r="M43" s="45"/>
    </row>
    <row r="44" spans="1:15" s="14" customFormat="1" ht="52.5" customHeight="1" x14ac:dyDescent="0.25">
      <c r="A44" s="9" t="s">
        <v>4</v>
      </c>
      <c r="B44" s="22" t="s">
        <v>40</v>
      </c>
      <c r="C44" s="11" t="s">
        <v>19</v>
      </c>
      <c r="D44" s="9" t="s">
        <v>18</v>
      </c>
      <c r="E44" s="12">
        <v>117.944</v>
      </c>
      <c r="F44" s="9">
        <v>91</v>
      </c>
      <c r="G44" s="13">
        <f>F44</f>
        <v>91</v>
      </c>
      <c r="H44" s="13">
        <f>F44-(37.5/1.163)</f>
        <v>58.755803955288052</v>
      </c>
      <c r="I44" s="13">
        <f>H44-(13/1.163)</f>
        <v>47.577815993121241</v>
      </c>
      <c r="K44" s="35"/>
      <c r="L44" s="35"/>
      <c r="M44" s="35"/>
    </row>
    <row r="45" spans="1:15" s="14" customFormat="1" ht="52.5" customHeight="1" x14ac:dyDescent="0.25">
      <c r="A45" s="9" t="s">
        <v>5</v>
      </c>
      <c r="B45" s="10" t="s">
        <v>52</v>
      </c>
      <c r="C45" s="11" t="s">
        <v>19</v>
      </c>
      <c r="D45" s="9" t="s">
        <v>18</v>
      </c>
      <c r="E45" s="12">
        <v>86.2</v>
      </c>
      <c r="F45" s="9">
        <v>71</v>
      </c>
      <c r="G45" s="13">
        <f>F45-(13/1.163)</f>
        <v>59.82201203783319</v>
      </c>
      <c r="H45" s="13">
        <f>G45</f>
        <v>59.82201203783319</v>
      </c>
      <c r="I45" s="13">
        <f>H45</f>
        <v>59.82201203783319</v>
      </c>
      <c r="K45" s="35"/>
      <c r="L45" s="35"/>
      <c r="M45" s="35"/>
    </row>
    <row r="46" spans="1:15" s="14" customFormat="1" ht="52.5" customHeight="1" x14ac:dyDescent="0.25">
      <c r="A46" s="9" t="s">
        <v>6</v>
      </c>
      <c r="B46" s="10" t="s">
        <v>51</v>
      </c>
      <c r="C46" s="11" t="s">
        <v>19</v>
      </c>
      <c r="D46" s="9" t="s">
        <v>18</v>
      </c>
      <c r="E46" s="12">
        <v>103.47499999999999</v>
      </c>
      <c r="F46" s="9">
        <v>104</v>
      </c>
      <c r="G46" s="13">
        <f>F46-(13/1.163)</f>
        <v>92.82201203783319</v>
      </c>
      <c r="H46" s="13">
        <f>G46</f>
        <v>92.82201203783319</v>
      </c>
      <c r="I46" s="13">
        <f>H46</f>
        <v>92.82201203783319</v>
      </c>
      <c r="K46" s="35"/>
      <c r="L46" s="35"/>
      <c r="M46" s="35"/>
    </row>
    <row r="47" spans="1:15" s="14" customFormat="1" ht="63.75" customHeight="1" x14ac:dyDescent="0.25">
      <c r="A47" s="9" t="s">
        <v>7</v>
      </c>
      <c r="B47" s="10" t="s">
        <v>41</v>
      </c>
      <c r="C47" s="11" t="s">
        <v>19</v>
      </c>
      <c r="D47" s="9" t="s">
        <v>18</v>
      </c>
      <c r="E47" s="12">
        <v>24.878</v>
      </c>
      <c r="F47" s="9">
        <v>24</v>
      </c>
      <c r="G47" s="13">
        <f t="shared" ref="G47:H49" si="4">F47</f>
        <v>24</v>
      </c>
      <c r="H47" s="13">
        <f t="shared" si="4"/>
        <v>24</v>
      </c>
      <c r="I47" s="13">
        <f>H47-(3/1.163)</f>
        <v>21.420464316423043</v>
      </c>
      <c r="K47" s="35"/>
      <c r="L47" s="35"/>
      <c r="M47" s="35"/>
    </row>
    <row r="48" spans="1:15" s="14" customFormat="1" ht="60.75" customHeight="1" x14ac:dyDescent="0.25">
      <c r="A48" s="9" t="s">
        <v>8</v>
      </c>
      <c r="B48" s="10" t="s">
        <v>42</v>
      </c>
      <c r="C48" s="11" t="s">
        <v>19</v>
      </c>
      <c r="D48" s="9" t="s">
        <v>18</v>
      </c>
      <c r="E48" s="12">
        <v>19.003</v>
      </c>
      <c r="F48" s="9">
        <v>18.100000000000001</v>
      </c>
      <c r="G48" s="13">
        <f t="shared" si="4"/>
        <v>18.100000000000001</v>
      </c>
      <c r="H48" s="13">
        <f t="shared" si="4"/>
        <v>18.100000000000001</v>
      </c>
      <c r="I48" s="13">
        <f>H48-(4.8/1.163)</f>
        <v>13.972742906276871</v>
      </c>
      <c r="K48" s="35"/>
      <c r="L48" s="35"/>
      <c r="M48" s="35"/>
    </row>
    <row r="49" spans="1:15" s="14" customFormat="1" ht="59.25" customHeight="1" x14ac:dyDescent="0.25">
      <c r="A49" s="9" t="s">
        <v>9</v>
      </c>
      <c r="B49" s="10" t="s">
        <v>43</v>
      </c>
      <c r="C49" s="11" t="s">
        <v>19</v>
      </c>
      <c r="D49" s="9" t="s">
        <v>18</v>
      </c>
      <c r="E49" s="12">
        <v>9.0500000000000007</v>
      </c>
      <c r="F49" s="13">
        <v>9.6780000000000008</v>
      </c>
      <c r="G49" s="13">
        <f t="shared" si="4"/>
        <v>9.6780000000000008</v>
      </c>
      <c r="H49" s="13">
        <f t="shared" si="4"/>
        <v>9.6780000000000008</v>
      </c>
      <c r="I49" s="13">
        <f>H49-(2/1.163)</f>
        <v>7.95830954428203</v>
      </c>
      <c r="K49" s="35"/>
      <c r="L49" s="35"/>
      <c r="M49" s="35"/>
    </row>
    <row r="50" spans="1:15" s="14" customFormat="1" ht="47.25" customHeight="1" x14ac:dyDescent="0.25">
      <c r="A50" s="79" t="s">
        <v>20</v>
      </c>
      <c r="B50" s="79"/>
      <c r="C50" s="23" t="s">
        <v>19</v>
      </c>
      <c r="D50" s="24" t="s">
        <v>18</v>
      </c>
      <c r="E50" s="25">
        <f>SUM(E44:E49)</f>
        <v>360.55</v>
      </c>
      <c r="F50" s="26">
        <f>SUM(F44:F49)</f>
        <v>317.77800000000002</v>
      </c>
      <c r="G50" s="26">
        <f>SUM(G44:G49)</f>
        <v>295.4220240756664</v>
      </c>
      <c r="H50" s="26">
        <f>SUM(H44:H49)</f>
        <v>263.17782803095446</v>
      </c>
      <c r="I50" s="26">
        <f>SUM(I44:I49)</f>
        <v>243.57335683576957</v>
      </c>
      <c r="K50" s="38">
        <f>G50-F50</f>
        <v>-22.35597592433362</v>
      </c>
      <c r="L50" s="38">
        <f>H50-F50-K50</f>
        <v>-32.244196044711941</v>
      </c>
      <c r="M50" s="38">
        <f>I50-F50-L50-K50</f>
        <v>-19.604471195184885</v>
      </c>
      <c r="N50" s="38"/>
      <c r="O50" s="38">
        <f>I50-F50</f>
        <v>-74.204643164230447</v>
      </c>
    </row>
    <row r="51" spans="1:15" s="14" customFormat="1" ht="47.25" customHeight="1" x14ac:dyDescent="0.25">
      <c r="A51" s="79" t="s">
        <v>22</v>
      </c>
      <c r="B51" s="79"/>
      <c r="C51" s="27" t="s">
        <v>19</v>
      </c>
      <c r="D51" s="24" t="s">
        <v>18</v>
      </c>
      <c r="E51" s="25">
        <f>E34+E42+E50</f>
        <v>16377.690266552019</v>
      </c>
      <c r="F51" s="26">
        <f>F34+F42+F50</f>
        <v>15525.924345657784</v>
      </c>
      <c r="G51" s="26">
        <f>G34+G42+G50</f>
        <v>14765.827183147034</v>
      </c>
      <c r="H51" s="26">
        <f>H34+H42+H50</f>
        <v>13541.136727429062</v>
      </c>
      <c r="I51" s="26">
        <f>I34+I42+I50</f>
        <v>12595.247647463457</v>
      </c>
      <c r="J51" s="28"/>
      <c r="K51" s="35"/>
      <c r="L51" s="35"/>
      <c r="M51" s="35"/>
      <c r="O51" s="38">
        <f>I51-F51</f>
        <v>-2930.6766981943274</v>
      </c>
    </row>
    <row r="52" spans="1:15" s="14" customFormat="1" ht="30" x14ac:dyDescent="0.25">
      <c r="A52" s="79"/>
      <c r="B52" s="79"/>
      <c r="C52" s="23" t="s">
        <v>49</v>
      </c>
      <c r="D52" s="24" t="s">
        <v>50</v>
      </c>
      <c r="E52" s="26">
        <f>E35</f>
        <v>50.96</v>
      </c>
      <c r="F52" s="26">
        <f t="shared" ref="F52:I52" si="5">F35</f>
        <v>55.2</v>
      </c>
      <c r="G52" s="26">
        <f t="shared" si="5"/>
        <v>55.2</v>
      </c>
      <c r="H52" s="26">
        <f t="shared" si="5"/>
        <v>33.400000000000006</v>
      </c>
      <c r="I52" s="26">
        <f t="shared" si="5"/>
        <v>33.400000000000006</v>
      </c>
      <c r="J52" s="28"/>
      <c r="K52" s="36">
        <f>F51-G51</f>
        <v>760.09716251075042</v>
      </c>
      <c r="L52" s="35"/>
      <c r="M52" s="35"/>
      <c r="O52" s="38">
        <f>I52-F52</f>
        <v>-21.799999999999997</v>
      </c>
    </row>
    <row r="53" spans="1:15" s="14" customFormat="1" ht="27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35"/>
      <c r="L53" s="35"/>
      <c r="M53" s="35"/>
    </row>
    <row r="54" spans="1:15" s="14" customFormat="1" ht="27.75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35"/>
      <c r="L54" s="35"/>
      <c r="M54" s="35"/>
    </row>
    <row r="55" spans="1:15" s="14" customFormat="1" ht="143.2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35"/>
      <c r="L55" s="35"/>
      <c r="M55" s="35"/>
    </row>
    <row r="56" spans="1:15" s="58" customFormat="1" ht="62.25" x14ac:dyDescent="0.9">
      <c r="A56" s="55" t="s">
        <v>55</v>
      </c>
      <c r="B56" s="55"/>
      <c r="C56" s="56"/>
      <c r="D56" s="56"/>
      <c r="E56" s="56"/>
      <c r="F56" s="84" t="s">
        <v>77</v>
      </c>
      <c r="G56" s="84"/>
      <c r="H56" s="84"/>
      <c r="I56" s="84"/>
      <c r="J56" s="56"/>
      <c r="K56" s="57"/>
      <c r="L56" s="57"/>
      <c r="M56" s="57"/>
    </row>
    <row r="57" spans="1:15" ht="27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34"/>
      <c r="L57" s="34"/>
      <c r="M57" s="34"/>
    </row>
    <row r="58" spans="1:15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34"/>
      <c r="L58" s="34"/>
      <c r="M58" s="34"/>
    </row>
    <row r="59" spans="1:15" s="31" customFormat="1" ht="45.75" x14ac:dyDescent="0.65">
      <c r="A59" s="85" t="s">
        <v>56</v>
      </c>
      <c r="B59" s="85"/>
      <c r="C59" s="30"/>
      <c r="D59" s="30"/>
      <c r="E59" s="30"/>
      <c r="F59" s="30"/>
      <c r="G59" s="30"/>
      <c r="H59" s="30"/>
      <c r="I59" s="30"/>
      <c r="J59" s="30"/>
      <c r="K59" s="59"/>
      <c r="L59" s="59"/>
      <c r="M59" s="59"/>
    </row>
    <row r="60" spans="1:15" s="31" customFormat="1" ht="39" x14ac:dyDescent="0.6">
      <c r="B60" s="60"/>
      <c r="C60" s="30"/>
      <c r="D60" s="30"/>
      <c r="E60" s="30"/>
      <c r="F60" s="30"/>
      <c r="G60" s="30"/>
      <c r="H60" s="30"/>
      <c r="I60" s="30"/>
      <c r="J60" s="30"/>
      <c r="K60" s="59"/>
      <c r="L60" s="59"/>
      <c r="M60" s="59"/>
    </row>
    <row r="61" spans="1:15" ht="27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34"/>
      <c r="L61" s="34"/>
      <c r="M61" s="34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D89" s="1"/>
    </row>
    <row r="90" spans="1:10" x14ac:dyDescent="0.25">
      <c r="D90" s="1"/>
    </row>
    <row r="91" spans="1:10" x14ac:dyDescent="0.25">
      <c r="D91" s="1"/>
    </row>
    <row r="92" spans="1:10" x14ac:dyDescent="0.25">
      <c r="D92" s="1"/>
    </row>
    <row r="93" spans="1:10" x14ac:dyDescent="0.25">
      <c r="D93" s="1"/>
    </row>
    <row r="94" spans="1:10" x14ac:dyDescent="0.25"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</sheetData>
  <mergeCells count="18">
    <mergeCell ref="F56:I56"/>
    <mergeCell ref="A59:B59"/>
    <mergeCell ref="A50:B50"/>
    <mergeCell ref="A34:B35"/>
    <mergeCell ref="A51:B52"/>
    <mergeCell ref="E3:I5"/>
    <mergeCell ref="A43:I43"/>
    <mergeCell ref="C9:C10"/>
    <mergeCell ref="A42:B42"/>
    <mergeCell ref="A9:A10"/>
    <mergeCell ref="B9:B10"/>
    <mergeCell ref="D9:D10"/>
    <mergeCell ref="A12:I12"/>
    <mergeCell ref="A36:I36"/>
    <mergeCell ref="A37:A38"/>
    <mergeCell ref="E9:I9"/>
    <mergeCell ref="F6:I6"/>
    <mergeCell ref="A8:I8"/>
  </mergeCells>
  <pageMargins left="1.1811023622047245" right="0.39370078740157483" top="0.78740157480314965" bottom="0.78740157480314965" header="0.31496062992125984" footer="0.31496062992125984"/>
  <pageSetup paperSize="9" scale="26" fitToWidth="0" fitToHeight="0" orientation="portrait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Галузинська Анна Сергіївна</cp:lastModifiedBy>
  <cp:lastPrinted>2021-11-10T14:29:41Z</cp:lastPrinted>
  <dcterms:created xsi:type="dcterms:W3CDTF">2019-11-20T09:43:51Z</dcterms:created>
  <dcterms:modified xsi:type="dcterms:W3CDTF">2021-11-25T07:21:48Z</dcterms:modified>
</cp:coreProperties>
</file>