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3"/>
  </bookViews>
  <sheets>
    <sheet name="Додаток 1" sheetId="10" state="hidden" r:id="rId1"/>
    <sheet name="Додаток 2" sheetId="24" r:id="rId2"/>
    <sheet name="Додаток 3" sheetId="25" r:id="rId3"/>
    <sheet name="Додаток 4" sheetId="14" r:id="rId4"/>
    <sheet name="порівняльна" sheetId="26" r:id="rId5"/>
  </sheets>
  <externalReferences>
    <externalReference r:id="rId6"/>
  </externalReferences>
  <definedNames>
    <definedName name="_xlnm._FilterDatabase" localSheetId="2" hidden="1">'Додаток 3'!$A$7:$L$439</definedName>
    <definedName name="_xlnm.Print_Titles" localSheetId="2">'Додаток 3'!$7:$10</definedName>
    <definedName name="_xlnm.Print_Titles" localSheetId="3">'Додаток 4'!$7:$11</definedName>
    <definedName name="_xlnm.Print_Area" localSheetId="0">'Додаток 1'!$A$1:$C$28</definedName>
    <definedName name="_xlnm.Print_Area" localSheetId="1">'Додаток 2'!$A$1:$I$28</definedName>
    <definedName name="_xlnm.Print_Area" localSheetId="2">'Додаток 3'!$A$2:$L$444</definedName>
    <definedName name="_xlnm.Print_Area" localSheetId="3">'Додаток 4'!$A$1:$K$366</definedName>
    <definedName name="_xlnm.Print_Area" localSheetId="4">порівняльна!$A$1:$Q$440</definedName>
  </definedNames>
  <calcPr calcId="125725"/>
</workbook>
</file>

<file path=xl/calcChain.xml><?xml version="1.0" encoding="utf-8"?>
<calcChain xmlns="http://schemas.openxmlformats.org/spreadsheetml/2006/main">
  <c r="P335" i="26"/>
  <c r="P334"/>
  <c r="I337" i="25"/>
  <c r="J378"/>
  <c r="J237"/>
  <c r="M361" i="26"/>
  <c r="P361"/>
  <c r="P250"/>
  <c r="P251"/>
  <c r="P249"/>
  <c r="M250"/>
  <c r="M251"/>
  <c r="M249"/>
  <c r="P239"/>
  <c r="J246" i="25"/>
  <c r="M226" i="26"/>
  <c r="M214"/>
  <c r="M202"/>
  <c r="P179"/>
  <c r="P169"/>
  <c r="P123"/>
  <c r="P26"/>
  <c r="E347" i="14"/>
  <c r="D76"/>
  <c r="C76"/>
  <c r="G280" l="1"/>
  <c r="E349" l="1"/>
  <c r="I33" i="25" l="1"/>
  <c r="I211" l="1"/>
  <c r="I34"/>
  <c r="I46"/>
  <c r="I202" i="14"/>
  <c r="F202"/>
  <c r="D150"/>
  <c r="D149"/>
  <c r="F211"/>
  <c r="H347"/>
  <c r="F347" s="1"/>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193" l="1"/>
  <c r="C193"/>
  <c r="G193"/>
  <c r="G180"/>
  <c r="I47"/>
  <c r="C47"/>
  <c r="F193" l="1"/>
  <c r="B193" s="1"/>
  <c r="G198"/>
  <c r="F198" s="1"/>
  <c r="F180"/>
  <c r="G185"/>
  <c r="F185" s="1"/>
  <c r="H114" i="25"/>
  <c r="J78"/>
  <c r="J108"/>
  <c r="J115" s="1"/>
  <c r="J93"/>
  <c r="J131" s="1"/>
  <c r="J101"/>
  <c r="J98"/>
  <c r="J136"/>
  <c r="I78"/>
  <c r="K78"/>
  <c r="K29"/>
  <c r="K28"/>
  <c r="J29"/>
  <c r="J28"/>
  <c r="J24"/>
  <c r="G47" i="14" s="1"/>
  <c r="F47" s="1"/>
  <c r="B47" s="1"/>
  <c r="K24" i="25"/>
  <c r="I24"/>
  <c r="J21"/>
  <c r="H26"/>
  <c r="H25"/>
  <c r="J72"/>
  <c r="H24" l="1"/>
  <c r="G52" i="14"/>
  <c r="F52" s="1"/>
  <c r="J116" i="25"/>
  <c r="J146" s="1"/>
  <c r="I219" i="14"/>
  <c r="I227" s="1"/>
  <c r="G38" l="1"/>
  <c r="B180" l="1"/>
  <c r="F171"/>
  <c r="B171" s="1"/>
  <c r="I64" i="25" l="1"/>
  <c r="F38" i="14"/>
  <c r="C38"/>
  <c r="G79" l="1"/>
  <c r="J319"/>
  <c r="I319" s="1"/>
  <c r="G319"/>
  <c r="G323" s="1"/>
  <c r="F319" l="1"/>
  <c r="F323" s="1"/>
  <c r="M363" i="26"/>
  <c r="M248"/>
  <c r="I240" i="25"/>
  <c r="I239"/>
  <c r="I238"/>
  <c r="I252" s="1"/>
  <c r="I276" s="1"/>
  <c r="P354" i="26"/>
  <c r="P363"/>
  <c r="P343"/>
  <c r="I237" i="25" l="1"/>
  <c r="P325" i="26"/>
  <c r="M179"/>
  <c r="M354"/>
  <c r="M343"/>
  <c r="P267"/>
  <c r="M267"/>
  <c r="P248"/>
  <c r="Q226"/>
  <c r="Q229"/>
  <c r="Q230"/>
  <c r="Q231"/>
  <c r="Q232"/>
  <c r="Q228"/>
  <c r="Q34"/>
  <c r="N166"/>
  <c r="N165"/>
  <c r="K435" l="1"/>
  <c r="J435"/>
  <c r="I435"/>
  <c r="I428"/>
  <c r="I425"/>
  <c r="J421"/>
  <c r="I421"/>
  <c r="J419"/>
  <c r="I419"/>
  <c r="I415"/>
  <c r="I413"/>
  <c r="K408"/>
  <c r="J408"/>
  <c r="I408"/>
  <c r="K407"/>
  <c r="J407"/>
  <c r="I407"/>
  <c r="K406"/>
  <c r="J406"/>
  <c r="I406"/>
  <c r="K404"/>
  <c r="J404"/>
  <c r="I404"/>
  <c r="J399"/>
  <c r="I399"/>
  <c r="K397"/>
  <c r="J397"/>
  <c r="I397"/>
  <c r="K392"/>
  <c r="J392"/>
  <c r="I392"/>
  <c r="K390"/>
  <c r="J390"/>
  <c r="I390"/>
  <c r="I386"/>
  <c r="I384"/>
  <c r="K375"/>
  <c r="J375"/>
  <c r="I375"/>
  <c r="K374"/>
  <c r="J374"/>
  <c r="I374"/>
  <c r="K373"/>
  <c r="J373"/>
  <c r="I373"/>
  <c r="K372"/>
  <c r="J372"/>
  <c r="I372"/>
  <c r="K359"/>
  <c r="J358"/>
  <c r="J415" s="1"/>
  <c r="K357"/>
  <c r="K399" s="1"/>
  <c r="H356"/>
  <c r="H392" s="1"/>
  <c r="J355"/>
  <c r="J386" s="1"/>
  <c r="I354"/>
  <c r="I377" s="1"/>
  <c r="J353"/>
  <c r="J351" s="1"/>
  <c r="J352"/>
  <c r="K352" s="1"/>
  <c r="J350"/>
  <c r="K349"/>
  <c r="K419" s="1"/>
  <c r="J348"/>
  <c r="H347"/>
  <c r="H404" s="1"/>
  <c r="H346"/>
  <c r="H397" s="1"/>
  <c r="H345"/>
  <c r="H390" s="1"/>
  <c r="J344"/>
  <c r="I343"/>
  <c r="I376" s="1"/>
  <c r="H342"/>
  <c r="H341"/>
  <c r="H340"/>
  <c r="H339"/>
  <c r="K338"/>
  <c r="J338"/>
  <c r="I338"/>
  <c r="H337"/>
  <c r="K336"/>
  <c r="J336"/>
  <c r="I336"/>
  <c r="H336"/>
  <c r="H335"/>
  <c r="H408" s="1"/>
  <c r="K334"/>
  <c r="J334"/>
  <c r="I334"/>
  <c r="H334"/>
  <c r="H333"/>
  <c r="H332"/>
  <c r="H406" s="1"/>
  <c r="J331"/>
  <c r="J325" s="1"/>
  <c r="I331"/>
  <c r="I330"/>
  <c r="H330" s="1"/>
  <c r="H327"/>
  <c r="K326"/>
  <c r="H326" s="1"/>
  <c r="K324"/>
  <c r="J324"/>
  <c r="H323"/>
  <c r="H322"/>
  <c r="I321"/>
  <c r="H321" s="1"/>
  <c r="H320"/>
  <c r="K319"/>
  <c r="J319"/>
  <c r="I319"/>
  <c r="K266"/>
  <c r="K317" s="1"/>
  <c r="K436" s="1"/>
  <c r="J266"/>
  <c r="J317" s="1"/>
  <c r="J436" s="1"/>
  <c r="K265"/>
  <c r="K434" s="1"/>
  <c r="J265"/>
  <c r="J434" s="1"/>
  <c r="I265"/>
  <c r="I434" s="1"/>
  <c r="J264"/>
  <c r="K263"/>
  <c r="K305" s="1"/>
  <c r="K420" s="1"/>
  <c r="J263"/>
  <c r="J305" s="1"/>
  <c r="J420" s="1"/>
  <c r="K262"/>
  <c r="K300" s="1"/>
  <c r="K411" s="1"/>
  <c r="J262"/>
  <c r="J300" s="1"/>
  <c r="J411" s="1"/>
  <c r="I262"/>
  <c r="I300" s="1"/>
  <c r="I411" s="1"/>
  <c r="K261"/>
  <c r="K301" s="1"/>
  <c r="K414" s="1"/>
  <c r="K259"/>
  <c r="K295" s="1"/>
  <c r="K403" s="1"/>
  <c r="J259"/>
  <c r="J295" s="1"/>
  <c r="J403" s="1"/>
  <c r="K258"/>
  <c r="K296" s="1"/>
  <c r="K405" s="1"/>
  <c r="K256"/>
  <c r="K291" s="1"/>
  <c r="K398" s="1"/>
  <c r="K255"/>
  <c r="K286" s="1"/>
  <c r="K391" s="1"/>
  <c r="K254"/>
  <c r="K280" s="1"/>
  <c r="K382" s="1"/>
  <c r="J254"/>
  <c r="J280" s="1"/>
  <c r="J382" s="1"/>
  <c r="I254"/>
  <c r="I280" s="1"/>
  <c r="I382" s="1"/>
  <c r="K253"/>
  <c r="K282" s="1"/>
  <c r="K385" s="1"/>
  <c r="K250"/>
  <c r="K274" s="1"/>
  <c r="K371" s="1"/>
  <c r="J250"/>
  <c r="J274" s="1"/>
  <c r="I250"/>
  <c r="I274" s="1"/>
  <c r="I371" s="1"/>
  <c r="K249"/>
  <c r="K273" s="1"/>
  <c r="K369" s="1"/>
  <c r="J249"/>
  <c r="J273" s="1"/>
  <c r="J369" s="1"/>
  <c r="H247"/>
  <c r="H265" s="1"/>
  <c r="H434" s="1"/>
  <c r="I246"/>
  <c r="H246" s="1"/>
  <c r="H245"/>
  <c r="J244"/>
  <c r="H244" s="1"/>
  <c r="J243"/>
  <c r="H243" s="1"/>
  <c r="J242"/>
  <c r="I242"/>
  <c r="J241"/>
  <c r="I241"/>
  <c r="J240"/>
  <c r="I240"/>
  <c r="K239"/>
  <c r="I239"/>
  <c r="H238"/>
  <c r="H237"/>
  <c r="H262" s="1"/>
  <c r="H300" s="1"/>
  <c r="H411" s="1"/>
  <c r="I236"/>
  <c r="I259" s="1"/>
  <c r="I295" s="1"/>
  <c r="I403" s="1"/>
  <c r="H235"/>
  <c r="H254" s="1"/>
  <c r="H280" s="1"/>
  <c r="H382" s="1"/>
  <c r="K234"/>
  <c r="J234"/>
  <c r="I233"/>
  <c r="I263" s="1"/>
  <c r="I305" s="1"/>
  <c r="I420" s="1"/>
  <c r="J232"/>
  <c r="I232"/>
  <c r="I261" s="1"/>
  <c r="J231"/>
  <c r="J258" s="1"/>
  <c r="I231"/>
  <c r="I258" s="1"/>
  <c r="J230"/>
  <c r="I230"/>
  <c r="J229"/>
  <c r="I229"/>
  <c r="J228"/>
  <c r="I228"/>
  <c r="I227"/>
  <c r="I266" s="1"/>
  <c r="I317" s="1"/>
  <c r="I436" s="1"/>
  <c r="K224"/>
  <c r="J224"/>
  <c r="I224"/>
  <c r="K223"/>
  <c r="J223"/>
  <c r="K222"/>
  <c r="J222"/>
  <c r="K221"/>
  <c r="J221"/>
  <c r="J220"/>
  <c r="K219"/>
  <c r="J219"/>
  <c r="K218"/>
  <c r="K308" s="1"/>
  <c r="K424" s="1"/>
  <c r="J218"/>
  <c r="J308" s="1"/>
  <c r="J424" s="1"/>
  <c r="I218"/>
  <c r="I308" s="1"/>
  <c r="I424" s="1"/>
  <c r="K216"/>
  <c r="J216"/>
  <c r="I216"/>
  <c r="K213"/>
  <c r="J213"/>
  <c r="I213"/>
  <c r="H210"/>
  <c r="H224" s="1"/>
  <c r="I209"/>
  <c r="I223" s="1"/>
  <c r="I208"/>
  <c r="I222" s="1"/>
  <c r="H207"/>
  <c r="I206"/>
  <c r="I221" s="1"/>
  <c r="I205"/>
  <c r="I219" s="1"/>
  <c r="K204"/>
  <c r="K212" s="1"/>
  <c r="J204"/>
  <c r="J212" s="1"/>
  <c r="H203"/>
  <c r="H218" s="1"/>
  <c r="I201"/>
  <c r="I220" s="1"/>
  <c r="K200"/>
  <c r="K220" s="1"/>
  <c r="K199"/>
  <c r="J199"/>
  <c r="I199"/>
  <c r="H198"/>
  <c r="H197"/>
  <c r="K195"/>
  <c r="J195"/>
  <c r="K194"/>
  <c r="K314" s="1"/>
  <c r="K433" s="1"/>
  <c r="J194"/>
  <c r="J314" s="1"/>
  <c r="J433" s="1"/>
  <c r="K193"/>
  <c r="K315" s="1"/>
  <c r="K432" s="1"/>
  <c r="J193"/>
  <c r="J315" s="1"/>
  <c r="J432" s="1"/>
  <c r="I193"/>
  <c r="I315" s="1"/>
  <c r="I432" s="1"/>
  <c r="J192"/>
  <c r="J191"/>
  <c r="I191"/>
  <c r="K190"/>
  <c r="J190"/>
  <c r="I190"/>
  <c r="K189"/>
  <c r="J189"/>
  <c r="I189"/>
  <c r="K188"/>
  <c r="J188"/>
  <c r="J187"/>
  <c r="K186"/>
  <c r="J186"/>
  <c r="K185"/>
  <c r="J185"/>
  <c r="K184"/>
  <c r="J184"/>
  <c r="J183" s="1"/>
  <c r="I184"/>
  <c r="K182"/>
  <c r="J182"/>
  <c r="K181"/>
  <c r="J181"/>
  <c r="I181"/>
  <c r="J180"/>
  <c r="H178"/>
  <c r="K177"/>
  <c r="K187" s="1"/>
  <c r="I177"/>
  <c r="I187" s="1"/>
  <c r="I176"/>
  <c r="H176" s="1"/>
  <c r="H175"/>
  <c r="H184" s="1"/>
  <c r="I174"/>
  <c r="I185" s="1"/>
  <c r="J173"/>
  <c r="I172"/>
  <c r="I195" s="1"/>
  <c r="I171"/>
  <c r="I194" s="1"/>
  <c r="H170"/>
  <c r="H193" s="1"/>
  <c r="K169"/>
  <c r="J169"/>
  <c r="H168"/>
  <c r="H167"/>
  <c r="H189" s="1"/>
  <c r="I166"/>
  <c r="H166" s="1"/>
  <c r="K165"/>
  <c r="J165"/>
  <c r="H164"/>
  <c r="H163"/>
  <c r="H162"/>
  <c r="I161"/>
  <c r="I188" s="1"/>
  <c r="K160"/>
  <c r="J160"/>
  <c r="H159"/>
  <c r="K158"/>
  <c r="K191" s="1"/>
  <c r="H157"/>
  <c r="J156"/>
  <c r="I156"/>
  <c r="X155"/>
  <c r="W155"/>
  <c r="H155"/>
  <c r="X154"/>
  <c r="W154"/>
  <c r="H154"/>
  <c r="K153"/>
  <c r="J153"/>
  <c r="I153"/>
  <c r="G130"/>
  <c r="G279" s="1"/>
  <c r="J129"/>
  <c r="J277" s="1"/>
  <c r="K122"/>
  <c r="K148" s="1"/>
  <c r="K304" s="1"/>
  <c r="K418" s="1"/>
  <c r="J122"/>
  <c r="J148" s="1"/>
  <c r="J304" s="1"/>
  <c r="J418" s="1"/>
  <c r="I122"/>
  <c r="I148" s="1"/>
  <c r="I304" s="1"/>
  <c r="I418" s="1"/>
  <c r="H119"/>
  <c r="H118"/>
  <c r="H122" s="1"/>
  <c r="K117"/>
  <c r="K121" s="1"/>
  <c r="K147" s="1"/>
  <c r="J117"/>
  <c r="J121" s="1"/>
  <c r="J147" s="1"/>
  <c r="I117"/>
  <c r="I121" s="1"/>
  <c r="I147" s="1"/>
  <c r="K115"/>
  <c r="K145" s="1"/>
  <c r="K299" s="1"/>
  <c r="K412" s="1"/>
  <c r="J115"/>
  <c r="J145" s="1"/>
  <c r="J299" s="1"/>
  <c r="J412" s="1"/>
  <c r="I115"/>
  <c r="I145" s="1"/>
  <c r="I299" s="1"/>
  <c r="I412" s="1"/>
  <c r="K114"/>
  <c r="K144" s="1"/>
  <c r="J114"/>
  <c r="J144" s="1"/>
  <c r="H112"/>
  <c r="H111"/>
  <c r="I110"/>
  <c r="H110" s="1"/>
  <c r="H109"/>
  <c r="H115" s="1"/>
  <c r="H145" s="1"/>
  <c r="H299" s="1"/>
  <c r="H412" s="1"/>
  <c r="I108"/>
  <c r="I107" s="1"/>
  <c r="I113" s="1"/>
  <c r="K107"/>
  <c r="K113" s="1"/>
  <c r="J107"/>
  <c r="J113" s="1"/>
  <c r="K106"/>
  <c r="K151" s="1"/>
  <c r="K311" s="1"/>
  <c r="K429" s="1"/>
  <c r="J106"/>
  <c r="J151" s="1"/>
  <c r="J311" s="1"/>
  <c r="J429" s="1"/>
  <c r="I106"/>
  <c r="I151" s="1"/>
  <c r="I311" s="1"/>
  <c r="I429" s="1"/>
  <c r="K105"/>
  <c r="K142" s="1"/>
  <c r="K294" s="1"/>
  <c r="K402" s="1"/>
  <c r="J105"/>
  <c r="J142" s="1"/>
  <c r="J294" s="1"/>
  <c r="J402" s="1"/>
  <c r="I105"/>
  <c r="I142" s="1"/>
  <c r="I294" s="1"/>
  <c r="I402" s="1"/>
  <c r="K104"/>
  <c r="K141" s="1"/>
  <c r="K102"/>
  <c r="K139" s="1"/>
  <c r="K290" s="1"/>
  <c r="K396" s="1"/>
  <c r="J102"/>
  <c r="J139" s="1"/>
  <c r="J290" s="1"/>
  <c r="J396" s="1"/>
  <c r="I102"/>
  <c r="I139" s="1"/>
  <c r="I290" s="1"/>
  <c r="I396" s="1"/>
  <c r="K101"/>
  <c r="K138" s="1"/>
  <c r="K289" s="1"/>
  <c r="K395" s="1"/>
  <c r="J101"/>
  <c r="J138" s="1"/>
  <c r="J289" s="1"/>
  <c r="J395" s="1"/>
  <c r="I101"/>
  <c r="I138" s="1"/>
  <c r="I289" s="1"/>
  <c r="I395" s="1"/>
  <c r="J100"/>
  <c r="J137" s="1"/>
  <c r="K98"/>
  <c r="K135" s="1"/>
  <c r="K285" s="1"/>
  <c r="K389" s="1"/>
  <c r="J98"/>
  <c r="J135" s="1"/>
  <c r="J285" s="1"/>
  <c r="J389" s="1"/>
  <c r="I98"/>
  <c r="I135" s="1"/>
  <c r="I285" s="1"/>
  <c r="I389" s="1"/>
  <c r="K97"/>
  <c r="K134" s="1"/>
  <c r="J97"/>
  <c r="J134" s="1"/>
  <c r="K95"/>
  <c r="K131" s="1"/>
  <c r="K281" s="1"/>
  <c r="K383" s="1"/>
  <c r="J95"/>
  <c r="J131" s="1"/>
  <c r="J281" s="1"/>
  <c r="J383" s="1"/>
  <c r="I95"/>
  <c r="I131" s="1"/>
  <c r="I281" s="1"/>
  <c r="I383" s="1"/>
  <c r="K94"/>
  <c r="K130" s="1"/>
  <c r="J94"/>
  <c r="J130" s="1"/>
  <c r="I94"/>
  <c r="I130" s="1"/>
  <c r="K93"/>
  <c r="K132" s="1"/>
  <c r="K278" s="1"/>
  <c r="K380" s="1"/>
  <c r="J93"/>
  <c r="J132" s="1"/>
  <c r="J278" s="1"/>
  <c r="J380" s="1"/>
  <c r="I93"/>
  <c r="I132" s="1"/>
  <c r="I278" s="1"/>
  <c r="I380" s="1"/>
  <c r="J92"/>
  <c r="K89"/>
  <c r="K127" s="1"/>
  <c r="K275" s="1"/>
  <c r="K370" s="1"/>
  <c r="J89"/>
  <c r="J127" s="1"/>
  <c r="J275" s="1"/>
  <c r="J370" s="1"/>
  <c r="I89"/>
  <c r="I127" s="1"/>
  <c r="I275" s="1"/>
  <c r="I370" s="1"/>
  <c r="K88"/>
  <c r="K126" s="1"/>
  <c r="J88"/>
  <c r="J126" s="1"/>
  <c r="J272" s="1"/>
  <c r="J367" s="1"/>
  <c r="I88"/>
  <c r="I126" s="1"/>
  <c r="H84"/>
  <c r="H83"/>
  <c r="H82"/>
  <c r="H81"/>
  <c r="H80"/>
  <c r="H79"/>
  <c r="H78"/>
  <c r="K77"/>
  <c r="J77"/>
  <c r="I77"/>
  <c r="H76"/>
  <c r="H75"/>
  <c r="H74"/>
  <c r="H73"/>
  <c r="K72"/>
  <c r="J72"/>
  <c r="I72"/>
  <c r="H71"/>
  <c r="H70"/>
  <c r="H69"/>
  <c r="H106" s="1"/>
  <c r="H151" s="1"/>
  <c r="H311" s="1"/>
  <c r="H429" s="1"/>
  <c r="I68"/>
  <c r="H68" s="1"/>
  <c r="H67"/>
  <c r="H66"/>
  <c r="H65"/>
  <c r="H64"/>
  <c r="K63"/>
  <c r="J63"/>
  <c r="I63"/>
  <c r="H62"/>
  <c r="H61"/>
  <c r="H60"/>
  <c r="K59"/>
  <c r="J59"/>
  <c r="I59"/>
  <c r="K58"/>
  <c r="K100" s="1"/>
  <c r="H57"/>
  <c r="H102" s="1"/>
  <c r="H139" s="1"/>
  <c r="H290" s="1"/>
  <c r="H396" s="1"/>
  <c r="J56"/>
  <c r="I56"/>
  <c r="H55"/>
  <c r="K54"/>
  <c r="K92" s="1"/>
  <c r="H53"/>
  <c r="I52"/>
  <c r="I104" s="1"/>
  <c r="H51"/>
  <c r="H50"/>
  <c r="H49"/>
  <c r="I48"/>
  <c r="H48" s="1"/>
  <c r="K47"/>
  <c r="J47"/>
  <c r="H46"/>
  <c r="I45"/>
  <c r="H45" s="1"/>
  <c r="H44"/>
  <c r="H43"/>
  <c r="K42"/>
  <c r="J42"/>
  <c r="H41"/>
  <c r="H105" s="1"/>
  <c r="H142" s="1"/>
  <c r="H294" s="1"/>
  <c r="H402" s="1"/>
  <c r="H40"/>
  <c r="H101" s="1"/>
  <c r="H138" s="1"/>
  <c r="H289" s="1"/>
  <c r="H395" s="1"/>
  <c r="H39"/>
  <c r="H98" s="1"/>
  <c r="H135" s="1"/>
  <c r="H285" s="1"/>
  <c r="H389" s="1"/>
  <c r="H38"/>
  <c r="H93" s="1"/>
  <c r="H132" s="1"/>
  <c r="H278" s="1"/>
  <c r="H380" s="1"/>
  <c r="K37"/>
  <c r="K87" s="1"/>
  <c r="J37"/>
  <c r="J87" s="1"/>
  <c r="I37"/>
  <c r="I87" s="1"/>
  <c r="H36"/>
  <c r="H35"/>
  <c r="J34"/>
  <c r="J104" s="1"/>
  <c r="I33"/>
  <c r="I32"/>
  <c r="I97" s="1"/>
  <c r="I31"/>
  <c r="I92" s="1"/>
  <c r="K30"/>
  <c r="K28"/>
  <c r="K150" s="1"/>
  <c r="J28"/>
  <c r="J150" s="1"/>
  <c r="J310" s="1"/>
  <c r="K27"/>
  <c r="K149" s="1"/>
  <c r="K307" s="1"/>
  <c r="J27"/>
  <c r="J149" s="1"/>
  <c r="J307" s="1"/>
  <c r="H21"/>
  <c r="H20"/>
  <c r="K19"/>
  <c r="J19"/>
  <c r="I19"/>
  <c r="H18"/>
  <c r="H17"/>
  <c r="K16"/>
  <c r="J16"/>
  <c r="I16"/>
  <c r="I15"/>
  <c r="H14"/>
  <c r="K13"/>
  <c r="J13"/>
  <c r="I12"/>
  <c r="H12" s="1"/>
  <c r="I11"/>
  <c r="I27" s="1"/>
  <c r="I149" s="1"/>
  <c r="I307" s="1"/>
  <c r="K10"/>
  <c r="J10"/>
  <c r="I4"/>
  <c r="J247" i="25"/>
  <c r="J245"/>
  <c r="J244"/>
  <c r="J243"/>
  <c r="J242" s="1"/>
  <c r="H345" i="14" s="1"/>
  <c r="J235" i="25"/>
  <c r="J234"/>
  <c r="J233"/>
  <c r="J232"/>
  <c r="J231"/>
  <c r="I168"/>
  <c r="I387"/>
  <c r="J229" l="1"/>
  <c r="J228" s="1"/>
  <c r="J251" s="1"/>
  <c r="I100" i="26"/>
  <c r="J425"/>
  <c r="I10"/>
  <c r="I116"/>
  <c r="I120" s="1"/>
  <c r="J253"/>
  <c r="J255"/>
  <c r="J286" s="1"/>
  <c r="J391" s="1"/>
  <c r="J256"/>
  <c r="J291" s="1"/>
  <c r="J398" s="1"/>
  <c r="K310"/>
  <c r="J313"/>
  <c r="J431" s="1"/>
  <c r="J430" s="1"/>
  <c r="J279"/>
  <c r="J381" s="1"/>
  <c r="K183"/>
  <c r="K116"/>
  <c r="K120" s="1"/>
  <c r="I253"/>
  <c r="I252" s="1"/>
  <c r="I255"/>
  <c r="I286" s="1"/>
  <c r="I391" s="1"/>
  <c r="I256"/>
  <c r="I291" s="1"/>
  <c r="I398" s="1"/>
  <c r="I42"/>
  <c r="K86"/>
  <c r="K29"/>
  <c r="I272"/>
  <c r="I367" s="1"/>
  <c r="K272"/>
  <c r="K367" s="1"/>
  <c r="J91"/>
  <c r="I279"/>
  <c r="I381" s="1"/>
  <c r="K279"/>
  <c r="K381" s="1"/>
  <c r="J116"/>
  <c r="J120" s="1"/>
  <c r="I165"/>
  <c r="I183"/>
  <c r="H177"/>
  <c r="H187" s="1"/>
  <c r="J271"/>
  <c r="J368" s="1"/>
  <c r="H200"/>
  <c r="H201"/>
  <c r="J202"/>
  <c r="J211" s="1"/>
  <c r="J214" s="1"/>
  <c r="I204"/>
  <c r="I202" s="1"/>
  <c r="I211" s="1"/>
  <c r="I214" s="1"/>
  <c r="K251"/>
  <c r="K269" s="1"/>
  <c r="K365" s="1"/>
  <c r="H231"/>
  <c r="J261"/>
  <c r="J260" s="1"/>
  <c r="H241"/>
  <c r="H242"/>
  <c r="J354"/>
  <c r="J377" s="1"/>
  <c r="H11"/>
  <c r="H10" s="1"/>
  <c r="I30"/>
  <c r="H54"/>
  <c r="H72"/>
  <c r="H117"/>
  <c r="J179"/>
  <c r="H190"/>
  <c r="K156"/>
  <c r="H158"/>
  <c r="H156" s="1"/>
  <c r="H165"/>
  <c r="K271"/>
  <c r="K368" s="1"/>
  <c r="I217"/>
  <c r="K217"/>
  <c r="K226"/>
  <c r="K248" s="1"/>
  <c r="K260"/>
  <c r="H349"/>
  <c r="H419" s="1"/>
  <c r="K350"/>
  <c r="K425" s="1"/>
  <c r="H352"/>
  <c r="K355"/>
  <c r="H355" s="1"/>
  <c r="H386" s="1"/>
  <c r="H357"/>
  <c r="H399" s="1"/>
  <c r="K358"/>
  <c r="K415" s="1"/>
  <c r="H153"/>
  <c r="I180"/>
  <c r="J26"/>
  <c r="H27"/>
  <c r="H149" s="1"/>
  <c r="H42"/>
  <c r="H59"/>
  <c r="H63"/>
  <c r="H77"/>
  <c r="H258"/>
  <c r="K252"/>
  <c r="H324"/>
  <c r="H319" s="1"/>
  <c r="I325"/>
  <c r="H331"/>
  <c r="H325" s="1"/>
  <c r="H191"/>
  <c r="K173"/>
  <c r="K179" s="1"/>
  <c r="K192"/>
  <c r="H199"/>
  <c r="J217"/>
  <c r="I251"/>
  <c r="I269" s="1"/>
  <c r="I365" s="1"/>
  <c r="I28"/>
  <c r="I150" s="1"/>
  <c r="I310" s="1"/>
  <c r="K56"/>
  <c r="H58"/>
  <c r="H56" s="1"/>
  <c r="J96"/>
  <c r="J99"/>
  <c r="H186"/>
  <c r="K215"/>
  <c r="H208"/>
  <c r="H222" s="1"/>
  <c r="H209"/>
  <c r="H223" s="1"/>
  <c r="H229"/>
  <c r="H255" s="1"/>
  <c r="H286" s="1"/>
  <c r="H391" s="1"/>
  <c r="H233"/>
  <c r="H263" s="1"/>
  <c r="H305" s="1"/>
  <c r="H420" s="1"/>
  <c r="H240"/>
  <c r="J239"/>
  <c r="H250"/>
  <c r="H274" s="1"/>
  <c r="H316" s="1"/>
  <c r="H338"/>
  <c r="I160"/>
  <c r="I173"/>
  <c r="I186"/>
  <c r="J215"/>
  <c r="K257"/>
  <c r="H19"/>
  <c r="K26"/>
  <c r="K124" s="1"/>
  <c r="H16"/>
  <c r="I427"/>
  <c r="I426" s="1"/>
  <c r="I129"/>
  <c r="I91"/>
  <c r="I137"/>
  <c r="I99"/>
  <c r="K129"/>
  <c r="K91"/>
  <c r="I134"/>
  <c r="I96"/>
  <c r="I141"/>
  <c r="I103"/>
  <c r="K137"/>
  <c r="K99"/>
  <c r="J303"/>
  <c r="J146"/>
  <c r="H148"/>
  <c r="H304" s="1"/>
  <c r="H418" s="1"/>
  <c r="S155"/>
  <c r="S154"/>
  <c r="J423"/>
  <c r="J306"/>
  <c r="J427"/>
  <c r="J309"/>
  <c r="H94"/>
  <c r="H130" s="1"/>
  <c r="H279" s="1"/>
  <c r="H381" s="1"/>
  <c r="H88"/>
  <c r="H126" s="1"/>
  <c r="J284"/>
  <c r="J133"/>
  <c r="K293"/>
  <c r="K140"/>
  <c r="I114"/>
  <c r="I144" s="1"/>
  <c r="H108"/>
  <c r="K298"/>
  <c r="K143"/>
  <c r="I146"/>
  <c r="I303"/>
  <c r="K303"/>
  <c r="K146"/>
  <c r="J379"/>
  <c r="H315"/>
  <c r="H432" s="1"/>
  <c r="I296"/>
  <c r="I405" s="1"/>
  <c r="I257"/>
  <c r="I301"/>
  <c r="I414" s="1"/>
  <c r="I260"/>
  <c r="H371"/>
  <c r="J371"/>
  <c r="J316"/>
  <c r="J312" s="1"/>
  <c r="I13"/>
  <c r="I26" s="1"/>
  <c r="H15"/>
  <c r="H13" s="1"/>
  <c r="J30"/>
  <c r="H31"/>
  <c r="H32"/>
  <c r="H97" s="1"/>
  <c r="H33"/>
  <c r="H100" s="1"/>
  <c r="H34"/>
  <c r="H37"/>
  <c r="H87" s="1"/>
  <c r="H125" s="1"/>
  <c r="H270" s="1"/>
  <c r="H366" s="1"/>
  <c r="I47"/>
  <c r="H52"/>
  <c r="H47" s="1"/>
  <c r="K96"/>
  <c r="K103"/>
  <c r="J125"/>
  <c r="J270" s="1"/>
  <c r="J366" s="1"/>
  <c r="J128"/>
  <c r="I313"/>
  <c r="K313"/>
  <c r="I423"/>
  <c r="I422" s="1"/>
  <c r="I306"/>
  <c r="K423"/>
  <c r="K306"/>
  <c r="K427"/>
  <c r="K309"/>
  <c r="J141"/>
  <c r="J103"/>
  <c r="H95"/>
  <c r="H131" s="1"/>
  <c r="H281" s="1"/>
  <c r="H383" s="1"/>
  <c r="H89"/>
  <c r="H127" s="1"/>
  <c r="H275" s="1"/>
  <c r="H370" s="1"/>
  <c r="K284"/>
  <c r="K133"/>
  <c r="J288"/>
  <c r="J136"/>
  <c r="J298"/>
  <c r="J143"/>
  <c r="I314"/>
  <c r="I433" s="1"/>
  <c r="I192"/>
  <c r="H308"/>
  <c r="H424" s="1"/>
  <c r="J282"/>
  <c r="J385" s="1"/>
  <c r="J252"/>
  <c r="H296"/>
  <c r="H405" s="1"/>
  <c r="J296"/>
  <c r="J405" s="1"/>
  <c r="J257"/>
  <c r="J384"/>
  <c r="K344"/>
  <c r="H344" s="1"/>
  <c r="J343"/>
  <c r="J376" s="1"/>
  <c r="J413"/>
  <c r="K348"/>
  <c r="K413" s="1"/>
  <c r="J428"/>
  <c r="K353"/>
  <c r="K351" s="1"/>
  <c r="K428" s="1"/>
  <c r="I125"/>
  <c r="I270" s="1"/>
  <c r="I366" s="1"/>
  <c r="K125"/>
  <c r="K270" s="1"/>
  <c r="K366" s="1"/>
  <c r="H161"/>
  <c r="H160" s="1"/>
  <c r="I169"/>
  <c r="H171"/>
  <c r="H172"/>
  <c r="H195" s="1"/>
  <c r="H174"/>
  <c r="K180"/>
  <c r="I182"/>
  <c r="I271" s="1"/>
  <c r="I368" s="1"/>
  <c r="K202"/>
  <c r="K211" s="1"/>
  <c r="K214" s="1"/>
  <c r="H205"/>
  <c r="H206"/>
  <c r="H221" s="1"/>
  <c r="H213"/>
  <c r="H216"/>
  <c r="H227"/>
  <c r="H228"/>
  <c r="H230"/>
  <c r="H232"/>
  <c r="H261" s="1"/>
  <c r="I234"/>
  <c r="H236"/>
  <c r="I249"/>
  <c r="I273" s="1"/>
  <c r="I369" s="1"/>
  <c r="I264"/>
  <c r="K264"/>
  <c r="I316"/>
  <c r="K325"/>
  <c r="H407"/>
  <c r="H374"/>
  <c r="H435"/>
  <c r="H372"/>
  <c r="H359"/>
  <c r="H421" s="1"/>
  <c r="K421"/>
  <c r="H181"/>
  <c r="I212"/>
  <c r="I215" s="1"/>
  <c r="H249"/>
  <c r="H273" s="1"/>
  <c r="H369" s="1"/>
  <c r="K316"/>
  <c r="K386"/>
  <c r="H373"/>
  <c r="H375"/>
  <c r="J35" i="25"/>
  <c r="J105" s="1"/>
  <c r="K329"/>
  <c r="J334"/>
  <c r="J328" s="1"/>
  <c r="H310" i="26" l="1"/>
  <c r="J422"/>
  <c r="K422"/>
  <c r="H253"/>
  <c r="K85"/>
  <c r="I226"/>
  <c r="I248" s="1"/>
  <c r="J301"/>
  <c r="J414" s="1"/>
  <c r="I282"/>
  <c r="I385" s="1"/>
  <c r="H220"/>
  <c r="H239"/>
  <c r="H256"/>
  <c r="H291" s="1"/>
  <c r="H398" s="1"/>
  <c r="I309"/>
  <c r="H26"/>
  <c r="I179"/>
  <c r="H353"/>
  <c r="H351"/>
  <c r="H348"/>
  <c r="H413" s="1"/>
  <c r="H121"/>
  <c r="H147" s="1"/>
  <c r="H303" s="1"/>
  <c r="H417" s="1"/>
  <c r="H416" s="1"/>
  <c r="H116"/>
  <c r="H120" s="1"/>
  <c r="H358"/>
  <c r="K354"/>
  <c r="K377" s="1"/>
  <c r="H350"/>
  <c r="H425" s="1"/>
  <c r="I86"/>
  <c r="I29"/>
  <c r="I85" s="1"/>
  <c r="I123" s="1"/>
  <c r="K123"/>
  <c r="K267" s="1"/>
  <c r="H180"/>
  <c r="H104"/>
  <c r="H103" s="1"/>
  <c r="H266"/>
  <c r="H185"/>
  <c r="H183" s="1"/>
  <c r="H173"/>
  <c r="H194"/>
  <c r="H182"/>
  <c r="H271" s="1"/>
  <c r="H368" s="1"/>
  <c r="H169"/>
  <c r="K384"/>
  <c r="K343"/>
  <c r="K376" s="1"/>
  <c r="J410"/>
  <c r="J394"/>
  <c r="J393" s="1"/>
  <c r="J287"/>
  <c r="K388"/>
  <c r="K387" s="1"/>
  <c r="K283"/>
  <c r="J293"/>
  <c r="J140"/>
  <c r="I431"/>
  <c r="I430" s="1"/>
  <c r="I312"/>
  <c r="H137"/>
  <c r="H99"/>
  <c r="H92"/>
  <c r="H30"/>
  <c r="I417"/>
  <c r="I416" s="1"/>
  <c r="I302"/>
  <c r="H107"/>
  <c r="H113" s="1"/>
  <c r="H114"/>
  <c r="H144" s="1"/>
  <c r="J417"/>
  <c r="J416" s="1"/>
  <c r="J302"/>
  <c r="K288"/>
  <c r="K136"/>
  <c r="I140"/>
  <c r="I293"/>
  <c r="I133"/>
  <c r="I284"/>
  <c r="H427"/>
  <c r="H309"/>
  <c r="H188"/>
  <c r="K426"/>
  <c r="J276"/>
  <c r="H272"/>
  <c r="H367" s="1"/>
  <c r="H28"/>
  <c r="H150" s="1"/>
  <c r="K268"/>
  <c r="K364" s="1"/>
  <c r="H259"/>
  <c r="H234"/>
  <c r="H301"/>
  <c r="H414" s="1"/>
  <c r="H260"/>
  <c r="H282"/>
  <c r="H385" s="1"/>
  <c r="H252"/>
  <c r="J251"/>
  <c r="J269" s="1"/>
  <c r="J365" s="1"/>
  <c r="J226"/>
  <c r="J248" s="1"/>
  <c r="H219"/>
  <c r="H204"/>
  <c r="H384"/>
  <c r="K431"/>
  <c r="K430" s="1"/>
  <c r="K312"/>
  <c r="H141"/>
  <c r="H134"/>
  <c r="H96"/>
  <c r="J86"/>
  <c r="J124" s="1"/>
  <c r="J268" s="1"/>
  <c r="J364" s="1"/>
  <c r="J29"/>
  <c r="J85" s="1"/>
  <c r="J123" s="1"/>
  <c r="J267" s="1"/>
  <c r="I124"/>
  <c r="I268" s="1"/>
  <c r="I364" s="1"/>
  <c r="K417"/>
  <c r="K416" s="1"/>
  <c r="K302"/>
  <c r="K410"/>
  <c r="K409" s="1"/>
  <c r="K297"/>
  <c r="I143"/>
  <c r="I298"/>
  <c r="K401"/>
  <c r="K400" s="1"/>
  <c r="K292"/>
  <c r="J388"/>
  <c r="J387" s="1"/>
  <c r="J283"/>
  <c r="K277"/>
  <c r="K128"/>
  <c r="I136"/>
  <c r="I288"/>
  <c r="I277"/>
  <c r="I128"/>
  <c r="H313"/>
  <c r="J378"/>
  <c r="J426"/>
  <c r="K202" i="25"/>
  <c r="K119"/>
  <c r="J119"/>
  <c r="J306" s="1"/>
  <c r="K327"/>
  <c r="J327"/>
  <c r="J167"/>
  <c r="I243"/>
  <c r="I244"/>
  <c r="I234"/>
  <c r="I233"/>
  <c r="I176"/>
  <c r="I179"/>
  <c r="I178"/>
  <c r="I111"/>
  <c r="I109"/>
  <c r="I108" s="1"/>
  <c r="I32"/>
  <c r="I69"/>
  <c r="J409" i="26" l="1"/>
  <c r="J297"/>
  <c r="H146"/>
  <c r="H302"/>
  <c r="I267"/>
  <c r="I363" s="1"/>
  <c r="J420" i="25"/>
  <c r="H343" i="26"/>
  <c r="H376" s="1"/>
  <c r="H428"/>
  <c r="H426" s="1"/>
  <c r="K363"/>
  <c r="H415"/>
  <c r="H354"/>
  <c r="H377" s="1"/>
  <c r="H179"/>
  <c r="H284"/>
  <c r="H133"/>
  <c r="H293"/>
  <c r="H140"/>
  <c r="H307"/>
  <c r="H217"/>
  <c r="K394"/>
  <c r="K393" s="1"/>
  <c r="K287"/>
  <c r="H91"/>
  <c r="H129"/>
  <c r="H288"/>
  <c r="H136"/>
  <c r="J401"/>
  <c r="J400" s="1"/>
  <c r="J292"/>
  <c r="H251"/>
  <c r="H269" s="1"/>
  <c r="H365" s="1"/>
  <c r="H226"/>
  <c r="H248" s="1"/>
  <c r="H431"/>
  <c r="I276"/>
  <c r="I379"/>
  <c r="I378" s="1"/>
  <c r="K276"/>
  <c r="K379"/>
  <c r="K378" s="1"/>
  <c r="H295"/>
  <c r="H403" s="1"/>
  <c r="H257"/>
  <c r="I394"/>
  <c r="I393" s="1"/>
  <c r="I287"/>
  <c r="I410"/>
  <c r="I409" s="1"/>
  <c r="I297"/>
  <c r="J363"/>
  <c r="S267"/>
  <c r="H202"/>
  <c r="H211" s="1"/>
  <c r="H214" s="1"/>
  <c r="H212"/>
  <c r="H215" s="1"/>
  <c r="I388"/>
  <c r="I387" s="1"/>
  <c r="I283"/>
  <c r="I401"/>
  <c r="I400" s="1"/>
  <c r="I292"/>
  <c r="H298"/>
  <c r="H143"/>
  <c r="H86"/>
  <c r="H124" s="1"/>
  <c r="H29"/>
  <c r="H85" s="1"/>
  <c r="H123" s="1"/>
  <c r="H314"/>
  <c r="H433" s="1"/>
  <c r="H192"/>
  <c r="H317"/>
  <c r="H436" s="1"/>
  <c r="H264"/>
  <c r="I17" i="25"/>
  <c r="H267" i="26" l="1"/>
  <c r="H363" s="1"/>
  <c r="H410"/>
  <c r="H409" s="1"/>
  <c r="H297"/>
  <c r="H394"/>
  <c r="H393" s="1"/>
  <c r="H287"/>
  <c r="H423"/>
  <c r="H422" s="1"/>
  <c r="H306"/>
  <c r="H401"/>
  <c r="H400" s="1"/>
  <c r="H292"/>
  <c r="H388"/>
  <c r="H387" s="1"/>
  <c r="H283"/>
  <c r="H268"/>
  <c r="H364" s="1"/>
  <c r="H430"/>
  <c r="H277"/>
  <c r="H128"/>
  <c r="H312"/>
  <c r="H379" l="1"/>
  <c r="H378" s="1"/>
  <c r="H276"/>
  <c r="J89" i="25"/>
  <c r="K89"/>
  <c r="J90"/>
  <c r="K90"/>
  <c r="K21"/>
  <c r="J38" i="14" s="1"/>
  <c r="I38" s="1"/>
  <c r="B38" s="1"/>
  <c r="I21" i="25"/>
  <c r="H21" s="1"/>
  <c r="H22"/>
  <c r="J18"/>
  <c r="G29" i="14" s="1"/>
  <c r="H23" i="25"/>
  <c r="G188" i="14"/>
  <c r="G190" s="1"/>
  <c r="J31" i="25" l="1"/>
  <c r="J64"/>
  <c r="J48"/>
  <c r="J43"/>
  <c r="G60" i="14" s="1"/>
  <c r="F62" s="1"/>
  <c r="J38" i="25"/>
  <c r="J88" s="1"/>
  <c r="J15"/>
  <c r="G24" i="14" s="1"/>
  <c r="G26" s="1"/>
  <c r="J12" i="25"/>
  <c r="J187"/>
  <c r="J280" s="1"/>
  <c r="J322"/>
  <c r="J192"/>
  <c r="I192"/>
  <c r="I116"/>
  <c r="I73"/>
  <c r="J73"/>
  <c r="K73"/>
  <c r="H76"/>
  <c r="J118"/>
  <c r="K118"/>
  <c r="J162"/>
  <c r="J155"/>
  <c r="H84"/>
  <c r="H85"/>
  <c r="H80"/>
  <c r="H81"/>
  <c r="H82"/>
  <c r="H241"/>
  <c r="J27" l="1"/>
  <c r="J30"/>
  <c r="G55" i="14" s="1"/>
  <c r="G57" s="1"/>
  <c r="I235" i="25"/>
  <c r="I203"/>
  <c r="K328" l="1"/>
  <c r="H329"/>
  <c r="H330"/>
  <c r="I231"/>
  <c r="H209"/>
  <c r="H79"/>
  <c r="H78" s="1"/>
  <c r="H77"/>
  <c r="I245" l="1"/>
  <c r="I43" l="1"/>
  <c r="I31"/>
  <c r="I101" l="1"/>
  <c r="K363" l="1"/>
  <c r="K353"/>
  <c r="I119"/>
  <c r="I118" s="1"/>
  <c r="H119"/>
  <c r="I334" l="1"/>
  <c r="I342"/>
  <c r="J342"/>
  <c r="K342"/>
  <c r="H346"/>
  <c r="I163"/>
  <c r="I53"/>
  <c r="J258"/>
  <c r="I259"/>
  <c r="H244"/>
  <c r="I210"/>
  <c r="I208" l="1"/>
  <c r="I207"/>
  <c r="I123"/>
  <c r="H20" l="1"/>
  <c r="I206"/>
  <c r="I106"/>
  <c r="I98"/>
  <c r="I173"/>
  <c r="I174"/>
  <c r="I249" l="1"/>
  <c r="I261" s="1"/>
  <c r="I333" l="1"/>
  <c r="I328" s="1"/>
  <c r="I232"/>
  <c r="I258" s="1"/>
  <c r="I230"/>
  <c r="E15" i="14"/>
  <c r="H15"/>
  <c r="K15"/>
  <c r="D136"/>
  <c r="I136"/>
  <c r="F136"/>
  <c r="I107" i="25"/>
  <c r="I153" s="1"/>
  <c r="I314" s="1"/>
  <c r="I432" s="1"/>
  <c r="J107"/>
  <c r="J153" s="1"/>
  <c r="J314" s="1"/>
  <c r="J432" s="1"/>
  <c r="K107"/>
  <c r="K153" s="1"/>
  <c r="K314" s="1"/>
  <c r="K432" s="1"/>
  <c r="H70"/>
  <c r="H107" s="1"/>
  <c r="H153" s="1"/>
  <c r="H314" s="1"/>
  <c r="H432" s="1"/>
  <c r="I236"/>
  <c r="C91" i="14"/>
  <c r="C90"/>
  <c r="C89"/>
  <c r="C88"/>
  <c r="I229" i="25" l="1"/>
  <c r="I228" s="1"/>
  <c r="C136" i="14"/>
  <c r="C138" s="1"/>
  <c r="D138"/>
  <c r="I214" i="25"/>
  <c r="B136" i="14"/>
  <c r="F100"/>
  <c r="C100"/>
  <c r="I375" i="25"/>
  <c r="J375"/>
  <c r="K375"/>
  <c r="I438"/>
  <c r="J438"/>
  <c r="K438"/>
  <c r="J261"/>
  <c r="K261"/>
  <c r="I268"/>
  <c r="I437" s="1"/>
  <c r="J268"/>
  <c r="J437" s="1"/>
  <c r="K268"/>
  <c r="K437" s="1"/>
  <c r="H340"/>
  <c r="H438" s="1"/>
  <c r="K339"/>
  <c r="J339"/>
  <c r="I339"/>
  <c r="H339"/>
  <c r="I253"/>
  <c r="I277" s="1"/>
  <c r="I319" s="1"/>
  <c r="J253"/>
  <c r="J277" s="1"/>
  <c r="J319" s="1"/>
  <c r="K253"/>
  <c r="K277" s="1"/>
  <c r="K319" s="1"/>
  <c r="H249"/>
  <c r="I14"/>
  <c r="I29" s="1"/>
  <c r="C150" i="14"/>
  <c r="C160"/>
  <c r="J305"/>
  <c r="J309" s="1"/>
  <c r="G305"/>
  <c r="G309" s="1"/>
  <c r="D305"/>
  <c r="C305" s="1"/>
  <c r="C227"/>
  <c r="C226"/>
  <c r="H375" i="25" l="1"/>
  <c r="K374"/>
  <c r="J374"/>
  <c r="I374"/>
  <c r="C118" i="14"/>
  <c r="J252" i="25"/>
  <c r="K252"/>
  <c r="K229"/>
  <c r="K345" i="14" s="1"/>
  <c r="K237" i="25"/>
  <c r="I222"/>
  <c r="J222"/>
  <c r="K222"/>
  <c r="H200"/>
  <c r="I215"/>
  <c r="J215"/>
  <c r="K215"/>
  <c r="I201"/>
  <c r="J201"/>
  <c r="K201"/>
  <c r="H203"/>
  <c r="I195"/>
  <c r="I171"/>
  <c r="I167"/>
  <c r="I162"/>
  <c r="I158"/>
  <c r="I155"/>
  <c r="D122" i="14"/>
  <c r="D126" s="1"/>
  <c r="K228" i="25" l="1"/>
  <c r="K344" i="14" s="1"/>
  <c r="K333" s="1"/>
  <c r="E344"/>
  <c r="H36" i="25"/>
  <c r="E351" i="14" l="1"/>
  <c r="C351" s="1"/>
  <c r="H344"/>
  <c r="C344"/>
  <c r="D188"/>
  <c r="D190" s="1"/>
  <c r="I305"/>
  <c r="I309" s="1"/>
  <c r="F305"/>
  <c r="H351" l="1"/>
  <c r="F344"/>
  <c r="F351" s="1"/>
  <c r="L344"/>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D249"/>
  <c r="D273"/>
  <c r="D268"/>
  <c r="C154"/>
  <c r="C161" s="1"/>
  <c r="D161"/>
  <c r="B245"/>
  <c r="C249"/>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I191" i="25"/>
  <c r="F24" i="14" l="1"/>
  <c r="I424" i="25"/>
  <c r="I422"/>
  <c r="I418"/>
  <c r="I416"/>
  <c r="I411"/>
  <c r="J411"/>
  <c r="K411"/>
  <c r="I410"/>
  <c r="J410"/>
  <c r="K410"/>
  <c r="I409"/>
  <c r="J409"/>
  <c r="K409"/>
  <c r="I407"/>
  <c r="I402"/>
  <c r="I400"/>
  <c r="I395"/>
  <c r="I393"/>
  <c r="I428"/>
  <c r="I431"/>
  <c r="I389"/>
  <c r="I376"/>
  <c r="J376"/>
  <c r="K376"/>
  <c r="I377"/>
  <c r="J377"/>
  <c r="K377"/>
  <c r="I378"/>
  <c r="K378"/>
  <c r="K322"/>
  <c r="H325"/>
  <c r="H326"/>
  <c r="H327"/>
  <c r="H323"/>
  <c r="F26" i="14" l="1"/>
  <c r="I324" i="25"/>
  <c r="H344"/>
  <c r="H345"/>
  <c r="H343"/>
  <c r="I299"/>
  <c r="I408" s="1"/>
  <c r="J299"/>
  <c r="J408" s="1"/>
  <c r="K299"/>
  <c r="K408" s="1"/>
  <c r="I256"/>
  <c r="J256"/>
  <c r="K256"/>
  <c r="I372"/>
  <c r="J276"/>
  <c r="J372" s="1"/>
  <c r="K276"/>
  <c r="K372" s="1"/>
  <c r="I242"/>
  <c r="K242"/>
  <c r="H230"/>
  <c r="I220"/>
  <c r="I311" s="1"/>
  <c r="I427" s="1"/>
  <c r="J220"/>
  <c r="K220"/>
  <c r="K311" s="1"/>
  <c r="K427" s="1"/>
  <c r="I221"/>
  <c r="J221"/>
  <c r="K221"/>
  <c r="I226"/>
  <c r="J226"/>
  <c r="K226"/>
  <c r="I225"/>
  <c r="J225"/>
  <c r="K225"/>
  <c r="I224"/>
  <c r="J224"/>
  <c r="K224"/>
  <c r="I223"/>
  <c r="J223"/>
  <c r="K223"/>
  <c r="I218"/>
  <c r="J218"/>
  <c r="K218"/>
  <c r="H343" i="14" l="1"/>
  <c r="E345"/>
  <c r="E333" s="1"/>
  <c r="I251" i="25"/>
  <c r="E343" i="14" s="1"/>
  <c r="C343" s="1"/>
  <c r="H342" i="25"/>
  <c r="H341" s="1"/>
  <c r="H269"/>
  <c r="H320" s="1"/>
  <c r="J254"/>
  <c r="J272" s="1"/>
  <c r="J368" s="1"/>
  <c r="K254"/>
  <c r="K272" s="1"/>
  <c r="K368" s="1"/>
  <c r="K251"/>
  <c r="K343" i="14" s="1"/>
  <c r="I343" s="1"/>
  <c r="I254" i="25"/>
  <c r="I272" s="1"/>
  <c r="I368" s="1"/>
  <c r="J285"/>
  <c r="J388" s="1"/>
  <c r="K285"/>
  <c r="K388" s="1"/>
  <c r="I285"/>
  <c r="I388" s="1"/>
  <c r="I322"/>
  <c r="H324"/>
  <c r="H322" s="1"/>
  <c r="J219"/>
  <c r="K219"/>
  <c r="I219"/>
  <c r="J311"/>
  <c r="J427" s="1"/>
  <c r="J191"/>
  <c r="K191"/>
  <c r="I197"/>
  <c r="J197"/>
  <c r="K197"/>
  <c r="K316" s="1"/>
  <c r="K434" s="1"/>
  <c r="I196"/>
  <c r="I317" s="1"/>
  <c r="I436" s="1"/>
  <c r="J196"/>
  <c r="J317" s="1"/>
  <c r="J436" s="1"/>
  <c r="K196"/>
  <c r="K317" s="1"/>
  <c r="K436" s="1"/>
  <c r="I318"/>
  <c r="I435" s="1"/>
  <c r="J195"/>
  <c r="J318" s="1"/>
  <c r="J435" s="1"/>
  <c r="K195"/>
  <c r="K318" s="1"/>
  <c r="K435" s="1"/>
  <c r="I193"/>
  <c r="I190"/>
  <c r="I189"/>
  <c r="I188"/>
  <c r="I187"/>
  <c r="I186"/>
  <c r="J186"/>
  <c r="K186"/>
  <c r="I182"/>
  <c r="I175"/>
  <c r="D285" i="14" s="1"/>
  <c r="D289" s="1"/>
  <c r="D277"/>
  <c r="D282" s="1"/>
  <c r="J171" i="25"/>
  <c r="G277" i="14" s="1"/>
  <c r="K171" i="25"/>
  <c r="J277" i="14" s="1"/>
  <c r="H170" i="25"/>
  <c r="D252" i="14"/>
  <c r="G252"/>
  <c r="G257" s="1"/>
  <c r="K167" i="25"/>
  <c r="J252" i="14" s="1"/>
  <c r="G238"/>
  <c r="G242" s="1"/>
  <c r="K162" i="25"/>
  <c r="J238" i="14" s="1"/>
  <c r="J242" s="1"/>
  <c r="D216"/>
  <c r="C216" s="1"/>
  <c r="D209"/>
  <c r="D213" s="1"/>
  <c r="G209"/>
  <c r="G213" s="1"/>
  <c r="F213" s="1"/>
  <c r="K155" i="25"/>
  <c r="J209" i="14" s="1"/>
  <c r="J213" s="1"/>
  <c r="I183" i="25"/>
  <c r="J183"/>
  <c r="K183"/>
  <c r="I184"/>
  <c r="I274" s="1"/>
  <c r="I371" s="1"/>
  <c r="J184"/>
  <c r="J274" s="1"/>
  <c r="J371" s="1"/>
  <c r="K184"/>
  <c r="K274" s="1"/>
  <c r="K371" s="1"/>
  <c r="I144"/>
  <c r="I297" s="1"/>
  <c r="I405" s="1"/>
  <c r="J106"/>
  <c r="K106"/>
  <c r="K144" s="1"/>
  <c r="K297" s="1"/>
  <c r="K405" s="1"/>
  <c r="I103"/>
  <c r="I141" s="1"/>
  <c r="I293" s="1"/>
  <c r="I399" s="1"/>
  <c r="J103"/>
  <c r="J141" s="1"/>
  <c r="J293" s="1"/>
  <c r="J399" s="1"/>
  <c r="I102"/>
  <c r="I140" s="1"/>
  <c r="I292" s="1"/>
  <c r="I398" s="1"/>
  <c r="J102"/>
  <c r="J140" s="1"/>
  <c r="J292" s="1"/>
  <c r="J398" s="1"/>
  <c r="K102"/>
  <c r="K140" s="1"/>
  <c r="K292" s="1"/>
  <c r="K398" s="1"/>
  <c r="I99"/>
  <c r="I137" s="1"/>
  <c r="I288" s="1"/>
  <c r="I392" s="1"/>
  <c r="J99"/>
  <c r="J137" s="1"/>
  <c r="K99"/>
  <c r="K137" s="1"/>
  <c r="K288" s="1"/>
  <c r="K392" s="1"/>
  <c r="I96"/>
  <c r="I133" s="1"/>
  <c r="I284" s="1"/>
  <c r="I386" s="1"/>
  <c r="J96"/>
  <c r="J133" s="1"/>
  <c r="J284" s="1"/>
  <c r="J386" s="1"/>
  <c r="K96"/>
  <c r="K133" s="1"/>
  <c r="K284" s="1"/>
  <c r="K386" s="1"/>
  <c r="I95"/>
  <c r="I132" s="1"/>
  <c r="J95"/>
  <c r="J132" s="1"/>
  <c r="K95"/>
  <c r="K132" s="1"/>
  <c r="I94"/>
  <c r="I134" s="1"/>
  <c r="I281" s="1"/>
  <c r="I383" s="1"/>
  <c r="J94"/>
  <c r="J134" s="1"/>
  <c r="J281" s="1"/>
  <c r="K94"/>
  <c r="K134" s="1"/>
  <c r="K281" s="1"/>
  <c r="K383" s="1"/>
  <c r="I90"/>
  <c r="I129" s="1"/>
  <c r="I278" s="1"/>
  <c r="I373" s="1"/>
  <c r="J129"/>
  <c r="J278" s="1"/>
  <c r="J373" s="1"/>
  <c r="K129"/>
  <c r="K278" s="1"/>
  <c r="K373" s="1"/>
  <c r="I89"/>
  <c r="I128" s="1"/>
  <c r="J128"/>
  <c r="D60" i="14"/>
  <c r="K43" i="25"/>
  <c r="J60" i="14" s="1"/>
  <c r="K31" i="25"/>
  <c r="I38"/>
  <c r="K38"/>
  <c r="K88" s="1"/>
  <c r="I124"/>
  <c r="I150" s="1"/>
  <c r="I307" s="1"/>
  <c r="I421" s="1"/>
  <c r="J124"/>
  <c r="J150" s="1"/>
  <c r="J307" s="1"/>
  <c r="J421" s="1"/>
  <c r="K124"/>
  <c r="K150" s="1"/>
  <c r="K307" s="1"/>
  <c r="K421" s="1"/>
  <c r="J123"/>
  <c r="J149" s="1"/>
  <c r="K123"/>
  <c r="K149" s="1"/>
  <c r="I117"/>
  <c r="I147" s="1"/>
  <c r="I302" s="1"/>
  <c r="I415" s="1"/>
  <c r="J117"/>
  <c r="J147" s="1"/>
  <c r="J302" s="1"/>
  <c r="J415" s="1"/>
  <c r="K117"/>
  <c r="K147" s="1"/>
  <c r="K302" s="1"/>
  <c r="K415" s="1"/>
  <c r="J122"/>
  <c r="G201" i="14" s="1"/>
  <c r="K122" i="25"/>
  <c r="J201" i="14" s="1"/>
  <c r="I152" i="25"/>
  <c r="D164" i="14"/>
  <c r="I60" i="25"/>
  <c r="D111" i="14" s="1"/>
  <c r="D116" s="1"/>
  <c r="C122"/>
  <c r="M334" l="1"/>
  <c r="M337" s="1"/>
  <c r="H333"/>
  <c r="F333" s="1"/>
  <c r="F343"/>
  <c r="F277"/>
  <c r="G282"/>
  <c r="J203"/>
  <c r="I203" s="1"/>
  <c r="I201"/>
  <c r="B343"/>
  <c r="J316" i="25"/>
  <c r="L345" i="14"/>
  <c r="L349"/>
  <c r="M349" s="1"/>
  <c r="F201"/>
  <c r="G203"/>
  <c r="F203" s="1"/>
  <c r="I62"/>
  <c r="I60"/>
  <c r="J383" i="25"/>
  <c r="J144"/>
  <c r="J297" s="1"/>
  <c r="J405" s="1"/>
  <c r="J104"/>
  <c r="F345" i="14"/>
  <c r="C164"/>
  <c r="C168" s="1"/>
  <c r="D168"/>
  <c r="C60"/>
  <c r="B60" s="1"/>
  <c r="D62"/>
  <c r="J288" i="25"/>
  <c r="J135"/>
  <c r="I88"/>
  <c r="I30"/>
  <c r="C126" i="14"/>
  <c r="I313" i="25"/>
  <c r="I316"/>
  <c r="I434" s="1"/>
  <c r="D205" i="14"/>
  <c r="K148" i="25"/>
  <c r="K306"/>
  <c r="K420" s="1"/>
  <c r="I275"/>
  <c r="I370" s="1"/>
  <c r="J282"/>
  <c r="J384" s="1"/>
  <c r="J148"/>
  <c r="J275"/>
  <c r="J370" s="1"/>
  <c r="K282"/>
  <c r="K384" s="1"/>
  <c r="I282"/>
  <c r="I384" s="1"/>
  <c r="K194"/>
  <c r="I194"/>
  <c r="I185"/>
  <c r="J194"/>
  <c r="I181"/>
  <c r="J127"/>
  <c r="J273" s="1"/>
  <c r="J369" s="1"/>
  <c r="K127"/>
  <c r="K273" s="1"/>
  <c r="K369" s="1"/>
  <c r="I127"/>
  <c r="I273" s="1"/>
  <c r="I369" s="1"/>
  <c r="K30"/>
  <c r="H111"/>
  <c r="H50"/>
  <c r="I49"/>
  <c r="C62" i="14" l="1"/>
  <c r="J434" i="25"/>
  <c r="I93"/>
  <c r="I48"/>
  <c r="J392"/>
  <c r="I312"/>
  <c r="I430"/>
  <c r="I429" s="1"/>
  <c r="D65" i="14"/>
  <c r="I358" i="25"/>
  <c r="J341"/>
  <c r="K341"/>
  <c r="I341"/>
  <c r="J337"/>
  <c r="K337"/>
  <c r="I217"/>
  <c r="J206"/>
  <c r="J214" s="1"/>
  <c r="J217" s="1"/>
  <c r="K206"/>
  <c r="K214" s="1"/>
  <c r="K217" s="1"/>
  <c r="H212"/>
  <c r="H226" s="1"/>
  <c r="H211"/>
  <c r="H225" s="1"/>
  <c r="H210"/>
  <c r="H224" s="1"/>
  <c r="H208"/>
  <c r="H223" s="1"/>
  <c r="H207"/>
  <c r="H205"/>
  <c r="H174"/>
  <c r="H197" s="1"/>
  <c r="H173"/>
  <c r="H172"/>
  <c r="H195" s="1"/>
  <c r="H169"/>
  <c r="H191" s="1"/>
  <c r="H168"/>
  <c r="H166"/>
  <c r="H165"/>
  <c r="H164"/>
  <c r="H163"/>
  <c r="H161"/>
  <c r="H157"/>
  <c r="H156"/>
  <c r="H121"/>
  <c r="H123" s="1"/>
  <c r="I380" l="1"/>
  <c r="C65" i="14"/>
  <c r="C67" s="1"/>
  <c r="D67"/>
  <c r="H221" i="25"/>
  <c r="H206"/>
  <c r="H204" s="1"/>
  <c r="H213" s="1"/>
  <c r="H318"/>
  <c r="H435" s="1"/>
  <c r="H218"/>
  <c r="H215"/>
  <c r="H162"/>
  <c r="H220"/>
  <c r="H311" s="1"/>
  <c r="K204"/>
  <c r="K213" s="1"/>
  <c r="K216" s="1"/>
  <c r="I204"/>
  <c r="D327" i="14" s="1"/>
  <c r="D331" s="1"/>
  <c r="J204" i="25"/>
  <c r="H184"/>
  <c r="H274" s="1"/>
  <c r="H196"/>
  <c r="H317" s="1"/>
  <c r="K160"/>
  <c r="J193"/>
  <c r="H155"/>
  <c r="J158"/>
  <c r="H167"/>
  <c r="H171"/>
  <c r="H53"/>
  <c r="H52"/>
  <c r="H51"/>
  <c r="K192"/>
  <c r="H45"/>
  <c r="H46"/>
  <c r="H47"/>
  <c r="H44"/>
  <c r="H42"/>
  <c r="I15"/>
  <c r="D24" i="14" s="1"/>
  <c r="K15" i="25"/>
  <c r="J24" i="14" s="1"/>
  <c r="H16" i="25"/>
  <c r="H17"/>
  <c r="I13"/>
  <c r="I28" s="1"/>
  <c r="J152"/>
  <c r="J313" s="1"/>
  <c r="J151"/>
  <c r="J310" s="1"/>
  <c r="I18"/>
  <c r="D29" i="14" s="1"/>
  <c r="C29" s="1"/>
  <c r="I115" i="25"/>
  <c r="C188" i="14" s="1"/>
  <c r="H74" i="25"/>
  <c r="G154" i="14"/>
  <c r="G142"/>
  <c r="F142" s="1"/>
  <c r="H69" i="25"/>
  <c r="K108"/>
  <c r="J188" i="14" s="1"/>
  <c r="J190" s="1"/>
  <c r="H66" i="25"/>
  <c r="G70" i="14"/>
  <c r="G75" s="1"/>
  <c r="J418" i="25"/>
  <c r="J402"/>
  <c r="J395"/>
  <c r="J389"/>
  <c r="J431"/>
  <c r="I347"/>
  <c r="I379" s="1"/>
  <c r="J422"/>
  <c r="J407"/>
  <c r="J400"/>
  <c r="J393"/>
  <c r="J348"/>
  <c r="J387" s="1"/>
  <c r="H338"/>
  <c r="H337" s="1"/>
  <c r="H336"/>
  <c r="H335"/>
  <c r="H334"/>
  <c r="H333"/>
  <c r="K269"/>
  <c r="J269"/>
  <c r="I269"/>
  <c r="K266"/>
  <c r="K308" s="1"/>
  <c r="J266"/>
  <c r="J308" s="1"/>
  <c r="I266"/>
  <c r="I308" s="1"/>
  <c r="I423" s="1"/>
  <c r="K265"/>
  <c r="K303" s="1"/>
  <c r="K414" s="1"/>
  <c r="J265"/>
  <c r="J303" s="1"/>
  <c r="J414" s="1"/>
  <c r="I265"/>
  <c r="I303" s="1"/>
  <c r="I414" s="1"/>
  <c r="K264"/>
  <c r="K304" s="1"/>
  <c r="K417" s="1"/>
  <c r="J264"/>
  <c r="J304" s="1"/>
  <c r="J417" s="1"/>
  <c r="I264"/>
  <c r="I304" s="1"/>
  <c r="I417" s="1"/>
  <c r="K262"/>
  <c r="K298" s="1"/>
  <c r="K406" s="1"/>
  <c r="J262"/>
  <c r="J298" s="1"/>
  <c r="J406" s="1"/>
  <c r="I262"/>
  <c r="I298" s="1"/>
  <c r="I406" s="1"/>
  <c r="K259"/>
  <c r="K294" s="1"/>
  <c r="K401" s="1"/>
  <c r="J259"/>
  <c r="J294" s="1"/>
  <c r="J401" s="1"/>
  <c r="I294"/>
  <c r="I401" s="1"/>
  <c r="K258"/>
  <c r="K289" s="1"/>
  <c r="K394" s="1"/>
  <c r="J289"/>
  <c r="J394" s="1"/>
  <c r="I289"/>
  <c r="I394" s="1"/>
  <c r="K257"/>
  <c r="J257"/>
  <c r="I257"/>
  <c r="H250"/>
  <c r="H268" s="1"/>
  <c r="H248"/>
  <c r="H247"/>
  <c r="H246"/>
  <c r="H245"/>
  <c r="H243"/>
  <c r="H240"/>
  <c r="H239"/>
  <c r="H238"/>
  <c r="H252" s="1"/>
  <c r="H236"/>
  <c r="H266" s="1"/>
  <c r="H308" s="1"/>
  <c r="H235"/>
  <c r="H234"/>
  <c r="H233"/>
  <c r="H232"/>
  <c r="H231"/>
  <c r="H439"/>
  <c r="H202"/>
  <c r="H199"/>
  <c r="J190"/>
  <c r="H177"/>
  <c r="G132"/>
  <c r="G282" s="1"/>
  <c r="H14"/>
  <c r="H29" s="1"/>
  <c r="K12"/>
  <c r="H120"/>
  <c r="H110"/>
  <c r="H41"/>
  <c r="H40"/>
  <c r="H39"/>
  <c r="H94" s="1"/>
  <c r="H37"/>
  <c r="I6"/>
  <c r="J213" l="1"/>
  <c r="J216" s="1"/>
  <c r="G327" i="14"/>
  <c r="J26"/>
  <c r="I24"/>
  <c r="I26" s="1"/>
  <c r="C24"/>
  <c r="D26"/>
  <c r="F154"/>
  <c r="F161" s="1"/>
  <c r="G161"/>
  <c r="F70"/>
  <c r="F75" s="1"/>
  <c r="H259" i="25"/>
  <c r="H294" s="1"/>
  <c r="H264"/>
  <c r="H261"/>
  <c r="H299" s="1"/>
  <c r="I151"/>
  <c r="I310" s="1"/>
  <c r="I12"/>
  <c r="I27" s="1"/>
  <c r="G216" i="14"/>
  <c r="H118" i="25"/>
  <c r="H122" s="1"/>
  <c r="H229"/>
  <c r="H257"/>
  <c r="H283" s="1"/>
  <c r="H237"/>
  <c r="H328"/>
  <c r="I213"/>
  <c r="I216" s="1"/>
  <c r="H242"/>
  <c r="H256"/>
  <c r="G65" i="14"/>
  <c r="G67" s="1"/>
  <c r="H49" i="25"/>
  <c r="H48" s="1"/>
  <c r="H267"/>
  <c r="H437"/>
  <c r="H304"/>
  <c r="H417" s="1"/>
  <c r="H265"/>
  <c r="H303" s="1"/>
  <c r="H414" s="1"/>
  <c r="I320"/>
  <c r="I315" s="1"/>
  <c r="I267"/>
  <c r="K320"/>
  <c r="K439" s="1"/>
  <c r="K433" s="1"/>
  <c r="K267"/>
  <c r="H258"/>
  <c r="H289" s="1"/>
  <c r="H394" s="1"/>
  <c r="H262"/>
  <c r="H298" s="1"/>
  <c r="H406" s="1"/>
  <c r="J320"/>
  <c r="J315" s="1"/>
  <c r="J267"/>
  <c r="H222"/>
  <c r="H316" s="1"/>
  <c r="H434" s="1"/>
  <c r="H201"/>
  <c r="H216" s="1"/>
  <c r="I283"/>
  <c r="I385" s="1"/>
  <c r="I255"/>
  <c r="K283"/>
  <c r="K385" s="1"/>
  <c r="K255"/>
  <c r="H276"/>
  <c r="H372" s="1"/>
  <c r="H253"/>
  <c r="H277" s="1"/>
  <c r="J283"/>
  <c r="J255"/>
  <c r="H214"/>
  <c r="H401"/>
  <c r="H15"/>
  <c r="H371"/>
  <c r="J305"/>
  <c r="J423"/>
  <c r="H377"/>
  <c r="H410"/>
  <c r="K305"/>
  <c r="K423"/>
  <c r="H376"/>
  <c r="H409"/>
  <c r="H378"/>
  <c r="H411"/>
  <c r="K55"/>
  <c r="F79" i="14"/>
  <c r="I309" i="25"/>
  <c r="I426"/>
  <c r="I425" s="1"/>
  <c r="J94" i="14"/>
  <c r="I94" s="1"/>
  <c r="G94"/>
  <c r="C190"/>
  <c r="C26"/>
  <c r="J312" i="25"/>
  <c r="J430"/>
  <c r="J429" s="1"/>
  <c r="J309"/>
  <c r="J426"/>
  <c r="K352"/>
  <c r="K416" s="1"/>
  <c r="J416"/>
  <c r="K424"/>
  <c r="J424"/>
  <c r="H194"/>
  <c r="H219"/>
  <c r="H427"/>
  <c r="I260"/>
  <c r="K260"/>
  <c r="J263"/>
  <c r="J260"/>
  <c r="I263"/>
  <c r="K263"/>
  <c r="H160"/>
  <c r="H193" s="1"/>
  <c r="K193"/>
  <c r="J182"/>
  <c r="H186"/>
  <c r="H183"/>
  <c r="K179"/>
  <c r="K189" s="1"/>
  <c r="J189"/>
  <c r="K158"/>
  <c r="J216" i="14" s="1"/>
  <c r="J185" i="25"/>
  <c r="J175"/>
  <c r="J181" s="1"/>
  <c r="K188"/>
  <c r="J188"/>
  <c r="J287" s="1"/>
  <c r="F188" i="14"/>
  <c r="H134" i="25"/>
  <c r="H281" s="1"/>
  <c r="H35"/>
  <c r="I105"/>
  <c r="H106"/>
  <c r="H144" s="1"/>
  <c r="K48"/>
  <c r="H95"/>
  <c r="H132" s="1"/>
  <c r="H102"/>
  <c r="H140" s="1"/>
  <c r="H96"/>
  <c r="H133" s="1"/>
  <c r="H90"/>
  <c r="H129" s="1"/>
  <c r="H99"/>
  <c r="H137" s="1"/>
  <c r="I87"/>
  <c r="H34"/>
  <c r="I100"/>
  <c r="K103"/>
  <c r="K141" s="1"/>
  <c r="K293" s="1"/>
  <c r="K399" s="1"/>
  <c r="K128"/>
  <c r="K275" s="1"/>
  <c r="K370" s="1"/>
  <c r="H117"/>
  <c r="H147" s="1"/>
  <c r="I149"/>
  <c r="I122"/>
  <c r="D201" i="14" s="1"/>
  <c r="H38" i="25"/>
  <c r="H88" s="1"/>
  <c r="I146"/>
  <c r="I301" s="1"/>
  <c r="H43"/>
  <c r="H124"/>
  <c r="K359"/>
  <c r="J358"/>
  <c r="H159"/>
  <c r="H192" s="1"/>
  <c r="H113"/>
  <c r="H13"/>
  <c r="H423"/>
  <c r="H32"/>
  <c r="H33"/>
  <c r="H109"/>
  <c r="H108" s="1"/>
  <c r="J142" i="14"/>
  <c r="I142" s="1"/>
  <c r="I151" s="1"/>
  <c r="G164"/>
  <c r="K151" i="25"/>
  <c r="K310" s="1"/>
  <c r="K152"/>
  <c r="J154" i="14"/>
  <c r="J164"/>
  <c r="H75" i="25"/>
  <c r="H73" s="1"/>
  <c r="H65"/>
  <c r="H67"/>
  <c r="K357"/>
  <c r="K355" s="1"/>
  <c r="K431" s="1"/>
  <c r="H352"/>
  <c r="H416" s="1"/>
  <c r="H58"/>
  <c r="J70" i="14"/>
  <c r="I57" i="25"/>
  <c r="D103" i="14" s="1"/>
  <c r="J100" i="25"/>
  <c r="J60"/>
  <c r="H63"/>
  <c r="K407"/>
  <c r="K362"/>
  <c r="K418" s="1"/>
  <c r="K422"/>
  <c r="K356"/>
  <c r="H356" s="1"/>
  <c r="H363"/>
  <c r="H424" s="1"/>
  <c r="J354"/>
  <c r="K393"/>
  <c r="K361"/>
  <c r="K402" s="1"/>
  <c r="K400"/>
  <c r="K395"/>
  <c r="K348"/>
  <c r="K387" s="1"/>
  <c r="J380" l="1"/>
  <c r="B24" i="14"/>
  <c r="G111"/>
  <c r="J87" i="25"/>
  <c r="J126" s="1"/>
  <c r="J271" s="1"/>
  <c r="J391"/>
  <c r="J286"/>
  <c r="J385"/>
  <c r="J279"/>
  <c r="C201" i="14"/>
  <c r="C203" s="1"/>
  <c r="D203"/>
  <c r="C103"/>
  <c r="C108" s="1"/>
  <c r="D108"/>
  <c r="F327"/>
  <c r="G291"/>
  <c r="I164"/>
  <c r="I168" s="1"/>
  <c r="J168"/>
  <c r="F164"/>
  <c r="F168" s="1"/>
  <c r="G168"/>
  <c r="I154"/>
  <c r="I161" s="1"/>
  <c r="J161"/>
  <c r="I70"/>
  <c r="I75" s="1"/>
  <c r="J75"/>
  <c r="F94"/>
  <c r="F99" s="1"/>
  <c r="G99"/>
  <c r="B70"/>
  <c r="F216"/>
  <c r="F65"/>
  <c r="H12" i="25"/>
  <c r="J301"/>
  <c r="J79" i="14"/>
  <c r="I79" s="1"/>
  <c r="B79" s="1"/>
  <c r="K93" i="25"/>
  <c r="J419"/>
  <c r="K315"/>
  <c r="H255"/>
  <c r="J439"/>
  <c r="J433" s="1"/>
  <c r="H285"/>
  <c r="H388" s="1"/>
  <c r="H217"/>
  <c r="H55"/>
  <c r="J65" i="14"/>
  <c r="J67" s="1"/>
  <c r="I439" i="25"/>
  <c r="I433" s="1"/>
  <c r="H319"/>
  <c r="H315" s="1"/>
  <c r="H374"/>
  <c r="F190" i="14"/>
  <c r="H302" i="25"/>
  <c r="H415" s="1"/>
  <c r="H288"/>
  <c r="H392" s="1"/>
  <c r="H284"/>
  <c r="H386" s="1"/>
  <c r="H282"/>
  <c r="H384" s="1"/>
  <c r="H228"/>
  <c r="H251" s="1"/>
  <c r="H254"/>
  <c r="H272" s="1"/>
  <c r="H368" s="1"/>
  <c r="H260"/>
  <c r="H263"/>
  <c r="H278"/>
  <c r="H373" s="1"/>
  <c r="H292"/>
  <c r="H398" s="1"/>
  <c r="H297"/>
  <c r="H405" s="1"/>
  <c r="K313"/>
  <c r="H313" s="1"/>
  <c r="K115"/>
  <c r="G122" i="14"/>
  <c r="H31" i="25"/>
  <c r="H30" s="1"/>
  <c r="I300"/>
  <c r="I413"/>
  <c r="I412" s="1"/>
  <c r="B201" i="14"/>
  <c r="H436" i="25"/>
  <c r="H433" s="1"/>
  <c r="B164" i="14"/>
  <c r="D19"/>
  <c r="D21" s="1"/>
  <c r="G285"/>
  <c r="I216"/>
  <c r="C327"/>
  <c r="D291"/>
  <c r="B94"/>
  <c r="B154"/>
  <c r="H178" i="25"/>
  <c r="H188" s="1"/>
  <c r="H56"/>
  <c r="K419"/>
  <c r="B142" i="14"/>
  <c r="J347" i="25"/>
  <c r="J379" s="1"/>
  <c r="J428"/>
  <c r="J425" s="1"/>
  <c r="H359"/>
  <c r="H389" s="1"/>
  <c r="K389"/>
  <c r="K309"/>
  <c r="K426"/>
  <c r="H385"/>
  <c r="J145"/>
  <c r="H179"/>
  <c r="H189" s="1"/>
  <c r="I148"/>
  <c r="I306"/>
  <c r="H408"/>
  <c r="H383"/>
  <c r="H180"/>
  <c r="H190" s="1"/>
  <c r="K190"/>
  <c r="K187"/>
  <c r="K185" s="1"/>
  <c r="K175"/>
  <c r="H158"/>
  <c r="K182"/>
  <c r="I145"/>
  <c r="K60"/>
  <c r="J139"/>
  <c r="H150"/>
  <c r="H127"/>
  <c r="J92"/>
  <c r="I104"/>
  <c r="I143"/>
  <c r="I296" s="1"/>
  <c r="I97"/>
  <c r="I136"/>
  <c r="I287" s="1"/>
  <c r="I139"/>
  <c r="I92"/>
  <c r="I131"/>
  <c r="I280" s="1"/>
  <c r="J97"/>
  <c r="J143"/>
  <c r="J296" s="1"/>
  <c r="J404" s="1"/>
  <c r="I86"/>
  <c r="H62"/>
  <c r="H98" s="1"/>
  <c r="K98"/>
  <c r="H68"/>
  <c r="H64" s="1"/>
  <c r="K105"/>
  <c r="H103"/>
  <c r="H141" s="1"/>
  <c r="H89"/>
  <c r="H128" s="1"/>
  <c r="H112"/>
  <c r="H116" s="1"/>
  <c r="H146" s="1"/>
  <c r="H301" s="1"/>
  <c r="K116"/>
  <c r="K146" s="1"/>
  <c r="K301" s="1"/>
  <c r="H149"/>
  <c r="H306" s="1"/>
  <c r="H152"/>
  <c r="H19"/>
  <c r="H28" s="1"/>
  <c r="K358"/>
  <c r="H71"/>
  <c r="K18"/>
  <c r="H72"/>
  <c r="K64"/>
  <c r="H362"/>
  <c r="H418" s="1"/>
  <c r="H357"/>
  <c r="H351"/>
  <c r="H349"/>
  <c r="H393" s="1"/>
  <c r="H355"/>
  <c r="H61"/>
  <c r="K59"/>
  <c r="J57"/>
  <c r="J86" s="1"/>
  <c r="J125" s="1"/>
  <c r="J270" s="1"/>
  <c r="J366" s="1"/>
  <c r="H54"/>
  <c r="H353"/>
  <c r="H422" s="1"/>
  <c r="H348"/>
  <c r="H387" s="1"/>
  <c r="H350"/>
  <c r="H400" s="1"/>
  <c r="H361"/>
  <c r="H402" s="1"/>
  <c r="H360"/>
  <c r="H395" s="1"/>
  <c r="K354"/>
  <c r="H176"/>
  <c r="K380" l="1"/>
  <c r="J29" i="14"/>
  <c r="K27" i="25"/>
  <c r="J291"/>
  <c r="G205" i="14"/>
  <c r="G289"/>
  <c r="B216"/>
  <c r="F122"/>
  <c r="F126" s="1"/>
  <c r="G126"/>
  <c r="F67"/>
  <c r="J367" i="25"/>
  <c r="K312"/>
  <c r="J142"/>
  <c r="I65" i="14"/>
  <c r="I67" s="1"/>
  <c r="K87" i="25"/>
  <c r="H312"/>
  <c r="H93"/>
  <c r="H92" s="1"/>
  <c r="H300"/>
  <c r="H407"/>
  <c r="K430"/>
  <c r="K429" s="1"/>
  <c r="H275"/>
  <c r="H370" s="1"/>
  <c r="H307"/>
  <c r="H305" s="1"/>
  <c r="H293"/>
  <c r="H399" s="1"/>
  <c r="H273"/>
  <c r="H369" s="1"/>
  <c r="J122" i="14"/>
  <c r="I188"/>
  <c r="H175" i="25"/>
  <c r="H181" s="1"/>
  <c r="I126"/>
  <c r="I271" s="1"/>
  <c r="I367" s="1"/>
  <c r="H151"/>
  <c r="H310" s="1"/>
  <c r="H309" s="1"/>
  <c r="H18"/>
  <c r="H27" s="1"/>
  <c r="H60"/>
  <c r="H115"/>
  <c r="G103" i="14"/>
  <c r="G15" s="1"/>
  <c r="K300" i="25"/>
  <c r="K413"/>
  <c r="K412" s="1"/>
  <c r="I125"/>
  <c r="D55" i="14"/>
  <c r="D57" s="1"/>
  <c r="I305" i="25"/>
  <c r="I420"/>
  <c r="I419" s="1"/>
  <c r="C19" i="14"/>
  <c r="F29"/>
  <c r="H420" i="25"/>
  <c r="J295"/>
  <c r="J390"/>
  <c r="I286"/>
  <c r="I391"/>
  <c r="I390" s="1"/>
  <c r="I295"/>
  <c r="I404"/>
  <c r="I403" s="1"/>
  <c r="J397"/>
  <c r="K181"/>
  <c r="J285" i="14"/>
  <c r="J300" i="25"/>
  <c r="J413"/>
  <c r="J412" s="1"/>
  <c r="B327" i="14"/>
  <c r="C331"/>
  <c r="K347" i="25"/>
  <c r="K379" s="1"/>
  <c r="K428"/>
  <c r="K425" s="1"/>
  <c r="H430"/>
  <c r="H431"/>
  <c r="H145"/>
  <c r="I138"/>
  <c r="I291"/>
  <c r="J130"/>
  <c r="H148"/>
  <c r="H187"/>
  <c r="H185" s="1"/>
  <c r="H182"/>
  <c r="I130"/>
  <c r="I135"/>
  <c r="I142"/>
  <c r="J138"/>
  <c r="K145"/>
  <c r="K104"/>
  <c r="K143"/>
  <c r="K97"/>
  <c r="K136"/>
  <c r="H97"/>
  <c r="H136"/>
  <c r="H287" s="1"/>
  <c r="H286" s="1"/>
  <c r="K92"/>
  <c r="K131"/>
  <c r="K280" s="1"/>
  <c r="H105"/>
  <c r="H143" s="1"/>
  <c r="H296" s="1"/>
  <c r="H295" s="1"/>
  <c r="K57"/>
  <c r="K86" s="1"/>
  <c r="K101"/>
  <c r="K100" s="1"/>
  <c r="H358"/>
  <c r="H380" s="1"/>
  <c r="H59"/>
  <c r="H101" s="1"/>
  <c r="H354"/>
  <c r="H347" s="1"/>
  <c r="J205" i="14" l="1"/>
  <c r="J289"/>
  <c r="I122"/>
  <c r="B122" s="1"/>
  <c r="J126"/>
  <c r="B65"/>
  <c r="J403" i="25"/>
  <c r="J396"/>
  <c r="J290"/>
  <c r="F103" i="14"/>
  <c r="F15" s="1"/>
  <c r="B19"/>
  <c r="C21"/>
  <c r="I270" i="25"/>
  <c r="I366" s="1"/>
  <c r="I29" i="14"/>
  <c r="B29" s="1"/>
  <c r="I34"/>
  <c r="K126" i="25"/>
  <c r="K271" s="1"/>
  <c r="K367" s="1"/>
  <c r="H426"/>
  <c r="H87"/>
  <c r="H126" s="1"/>
  <c r="C55" i="14"/>
  <c r="B55" s="1"/>
  <c r="D15"/>
  <c r="I382" i="25"/>
  <c r="I381" s="1"/>
  <c r="I279"/>
  <c r="H421"/>
  <c r="H419" s="1"/>
  <c r="I126" i="14"/>
  <c r="I190"/>
  <c r="B188"/>
  <c r="K125" i="25"/>
  <c r="K270" s="1"/>
  <c r="K366" s="1"/>
  <c r="J103" i="14"/>
  <c r="J15" s="1"/>
  <c r="H404" i="25"/>
  <c r="H403" s="1"/>
  <c r="H391"/>
  <c r="H390" s="1"/>
  <c r="J382"/>
  <c r="I290"/>
  <c r="I397"/>
  <c r="H413"/>
  <c r="H412" s="1"/>
  <c r="H379"/>
  <c r="H428"/>
  <c r="H425" s="1"/>
  <c r="H429"/>
  <c r="K135"/>
  <c r="K287"/>
  <c r="K142"/>
  <c r="K296"/>
  <c r="K130"/>
  <c r="K279"/>
  <c r="H135"/>
  <c r="H104"/>
  <c r="H142"/>
  <c r="H131"/>
  <c r="H280" s="1"/>
  <c r="H279" s="1"/>
  <c r="K139"/>
  <c r="K291" s="1"/>
  <c r="H57"/>
  <c r="H86" s="1"/>
  <c r="H100"/>
  <c r="I396" l="1"/>
  <c r="J381"/>
  <c r="L16" i="14"/>
  <c r="L15"/>
  <c r="C57"/>
  <c r="H271" i="25"/>
  <c r="H367" s="1"/>
  <c r="K290"/>
  <c r="K397"/>
  <c r="K396" s="1"/>
  <c r="K382"/>
  <c r="K381" s="1"/>
  <c r="K295"/>
  <c r="K404"/>
  <c r="K403" s="1"/>
  <c r="K286"/>
  <c r="K391"/>
  <c r="K390" s="1"/>
  <c r="I103" i="14"/>
  <c r="I15" s="1"/>
  <c r="H130" i="25"/>
  <c r="K138"/>
  <c r="H139"/>
  <c r="H291" s="1"/>
  <c r="H290" s="1"/>
  <c r="G333" i="14"/>
  <c r="G12" s="1"/>
  <c r="H12"/>
  <c r="J333"/>
  <c r="I333" s="1"/>
  <c r="K12"/>
  <c r="D333"/>
  <c r="D12" s="1"/>
  <c r="H125" i="25" l="1"/>
  <c r="C333" i="14"/>
  <c r="B333" s="1"/>
  <c r="J12"/>
  <c r="H397" i="25"/>
  <c r="H396" s="1"/>
  <c r="B103" i="14"/>
  <c r="H382" i="25"/>
  <c r="H381" s="1"/>
  <c r="H138"/>
  <c r="H270" l="1"/>
  <c r="H366" s="1"/>
  <c r="F302" i="14"/>
  <c r="I302"/>
  <c r="F238" l="1"/>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B312"/>
  <c r="C316"/>
  <c r="C282"/>
  <c r="C323"/>
  <c r="B319"/>
  <c r="B295"/>
  <c r="F252"/>
  <c r="F257" s="1"/>
  <c r="I252"/>
  <c r="I257" s="1"/>
  <c r="F230"/>
  <c r="I230"/>
  <c r="B291" l="1"/>
  <c r="B230"/>
  <c r="C285"/>
  <c r="C289" s="1"/>
  <c r="C252"/>
  <c r="C257" s="1"/>
  <c r="C209"/>
  <c r="C213" l="1"/>
  <c r="C205"/>
  <c r="B252"/>
  <c r="C111"/>
  <c r="C15" s="1"/>
  <c r="I285"/>
  <c r="I289" s="1"/>
  <c r="F285"/>
  <c r="F289" s="1"/>
  <c r="C116" l="1"/>
  <c r="C12"/>
  <c r="B285"/>
  <c r="B111" l="1"/>
  <c r="B15" s="1"/>
  <c r="F209"/>
  <c r="F205" s="1"/>
  <c r="F12" s="1"/>
  <c r="I209" l="1"/>
  <c r="I213" s="1"/>
  <c r="I205" l="1"/>
  <c r="I12" s="1"/>
  <c r="B209"/>
  <c r="B205" s="1"/>
  <c r="B12" l="1"/>
  <c r="L12" s="1"/>
  <c r="L13" s="1"/>
</calcChain>
</file>

<file path=xl/sharedStrings.xml><?xml version="1.0" encoding="utf-8"?>
<sst xmlns="http://schemas.openxmlformats.org/spreadsheetml/2006/main" count="2194" uniqueCount="504">
  <si>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</si>
  <si>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</si>
  <si>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</si>
  <si>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</si>
  <si>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</si>
  <si>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</si>
  <si>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</si>
  <si>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</si>
  <si>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</si>
  <si>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</si>
  <si>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</si>
  <si>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</si>
  <si>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</si>
  <si>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</si>
  <si>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</si>
  <si>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</si>
  <si>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</si>
  <si>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Відділ охорони здоров’я Сумської міської ради</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</si>
  <si>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</si>
  <si>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</si>
  <si>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</si>
  <si>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</si>
  <si>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</si>
  <si>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</si>
  <si>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</si>
  <si>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</si>
  <si>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</si>
  <si>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</si>
  <si>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</si>
  <si>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</si>
  <si>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</si>
  <si>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</si>
  <si>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</si>
  <si>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</si>
  <si>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</si>
  <si>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</si>
  <si>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</si>
  <si>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</si>
  <si>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</si>
  <si>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</si>
  <si>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</si>
  <si>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</si>
  <si>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</si>
  <si>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</si>
  <si>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</si>
  <si>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</si>
  <si>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</si>
  <si>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</si>
  <si>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</si>
  <si>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</si>
  <si>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</si>
  <si>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</si>
  <si>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</si>
  <si>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</si>
  <si>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</si>
  <si>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</si>
  <si>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</si>
  <si>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</si>
  <si>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</si>
  <si>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</si>
  <si>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</si>
  <si>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</si>
  <si>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</si>
  <si>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</si>
  <si>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</si>
  <si>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</si>
  <si>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</si>
  <si>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</si>
  <si>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</si>
  <si>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</si>
  <si>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</si>
  <si>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</si>
  <si>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</si>
  <si>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</si>
  <si>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</si>
  <si>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</si>
  <si>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</si>
  <si>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</si>
  <si>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</si>
  <si>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</si>
  <si>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</si>
  <si>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</si>
  <si>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</si>
  <si>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</si>
  <si>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</si>
  <si>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</si>
  <si>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</si>
  <si>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</si>
  <si>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</si>
  <si>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</si>
  <si>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</si>
  <si>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</si>
  <si>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</si>
  <si>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</si>
  <si>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</si>
  <si>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</si>
  <si>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</si>
  <si>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</si>
  <si>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</si>
  <si>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</si>
  <si>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</si>
  <si>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</si>
  <si>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</si>
  <si>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</si>
  <si>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</si>
  <si>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</si>
  <si>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</si>
  <si>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</si>
  <si>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</si>
  <si>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</si>
  <si>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</si>
  <si>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</si>
  <si>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</si>
  <si>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</si>
  <si>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</si>
  <si>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</si>
  <si>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</si>
  <si>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</si>
  <si>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</si>
  <si>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</si>
  <si>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</si>
  <si>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</si>
  <si>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</si>
  <si>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</si>
  <si>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</si>
  <si>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</si>
  <si>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</si>
  <si>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</si>
  <si>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</si>
  <si>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</si>
  <si>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</si>
  <si>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</si>
  <si>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</si>
  <si>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</si>
  <si>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</si>
  <si>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</si>
  <si>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</si>
  <si>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</si>
  <si>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</si>
  <si>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</si>
  <si>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</si>
  <si>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</si>
  <si>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</si>
  <si>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</si>
  <si>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</si>
  <si>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</si>
  <si>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</si>
  <si>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</si>
  <si>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</si>
  <si>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</si>
  <si>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</si>
  <si>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</si>
  <si>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</si>
  <si>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</si>
  <si>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</si>
  <si>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</si>
  <si>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</si>
  <si>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</si>
  <si>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</si>
  <si>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</si>
  <si>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</si>
  <si>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</si>
  <si>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</si>
  <si>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</si>
  <si>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</si>
  <si>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</si>
  <si>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</si>
  <si>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</si>
  <si>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</si>
  <si>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</si>
  <si>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</si>
  <si>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</si>
  <si>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</si>
  <si>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</si>
  <si>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</si>
  <si>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</si>
  <si>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</si>
  <si>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</si>
  <si>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</si>
  <si>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</si>
  <si>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</si>
  <si>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</si>
  <si>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</si>
  <si>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</si>
  <si>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</si>
  <si>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</si>
  <si>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</si>
  <si>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</si>
  <si>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</si>
  <si>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</si>
  <si>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</si>
  <si>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</si>
  <si>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</si>
  <si>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</si>
  <si>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</si>
  <si>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</si>
  <si>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</si>
  <si>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</si>
  <si>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</si>
  <si>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</si>
  <si>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</si>
  <si>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</si>
  <si>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</si>
  <si>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</si>
  <si>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</si>
  <si>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</si>
  <si>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0712150</t>
  </si>
  <si>
    <t>0712140</t>
  </si>
  <si>
    <t>Розвиток первинної медико-санітарної допомоги</t>
  </si>
  <si>
    <t>Розвиток вторинної (спеціалізованої) медичної допомоги</t>
  </si>
  <si>
    <t>Відділ охорони здоров’я СМР</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</si>
  <si>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</si>
  <si>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</si>
  <si>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</si>
  <si>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</si>
  <si>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</si>
  <si>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</si>
  <si>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</si>
  <si>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</si>
  <si>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</si>
  <si>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</si>
  <si>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</si>
  <si>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</si>
  <si>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</si>
  <si>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</si>
  <si>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</si>
  <si>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</si>
  <si>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</si>
  <si>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</si>
  <si>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</si>
  <si>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</si>
  <si>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</si>
  <si>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</si>
  <si>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</si>
  <si>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</si>
  <si>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</si>
  <si>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</si>
  <si>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</si>
  <si>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</si>
  <si>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</si>
  <si>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</si>
  <si>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</si>
  <si>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</si>
  <si>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</si>
  <si>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</si>
  <si>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</si>
  <si>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</si>
  <si>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</si>
  <si>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</si>
  <si>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</si>
  <si>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</si>
  <si>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</si>
  <si>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</si>
  <si>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</si>
  <si>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</si>
  <si>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</si>
  <si>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</si>
  <si>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</si>
  <si>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</si>
  <si>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</si>
  <si>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</si>
  <si>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</si>
  <si>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</si>
  <si>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</si>
  <si>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</si>
  <si>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</si>
  <si>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</si>
  <si>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</si>
  <si>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</si>
  <si>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</si>
  <si>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</si>
  <si>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</si>
  <si>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</si>
  <si>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</si>
  <si>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</si>
  <si>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</si>
  <si>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</si>
  <si>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</si>
  <si>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</si>
  <si>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</si>
  <si>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</si>
  <si>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</si>
  <si>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</si>
  <si>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</si>
  <si>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</si>
  <si>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</si>
  <si>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</si>
  <si>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</si>
  <si>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</si>
  <si>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</si>
  <si>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</si>
  <si>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</si>
  <si>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</si>
  <si>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</si>
  <si>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</si>
  <si>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</si>
  <si>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</si>
  <si>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</si>
  <si>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</si>
  <si>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</si>
  <si>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</si>
  <si>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</si>
  <si>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</si>
  <si>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</si>
  <si>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</si>
  <si>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</si>
  <si>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</si>
  <si>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</si>
  <si>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</si>
  <si>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</si>
  <si>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</si>
  <si>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</si>
  <si>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</si>
  <si>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</si>
  <si>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</si>
  <si>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</si>
  <si>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</si>
  <si>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</si>
  <si>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</si>
  <si>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</si>
  <si>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</si>
  <si>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</si>
  <si>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</si>
  <si>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</si>
  <si>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</si>
  <si>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</si>
  <si>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</si>
  <si>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</si>
  <si>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</si>
  <si>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</si>
  <si>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</si>
  <si>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</si>
  <si>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</si>
  <si>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</si>
  <si>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</si>
  <si>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</si>
  <si>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</si>
  <si>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</si>
  <si>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</si>
  <si>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</si>
  <si>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</si>
  <si>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</si>
  <si>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</si>
  <si>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</si>
  <si>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</si>
  <si>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</si>
  <si>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</si>
  <si>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</si>
  <si>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</si>
  <si>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</si>
  <si>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</si>
  <si>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</si>
  <si>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</si>
  <si>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</si>
  <si>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</si>
  <si>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</si>
  <si>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</si>
  <si>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</si>
  <si>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</si>
  <si>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</si>
  <si>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</si>
  <si>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</si>
  <si>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</si>
  <si>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</si>
  <si>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</si>
  <si>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</si>
  <si>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</si>
  <si>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</si>
  <si>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</si>
  <si>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</si>
  <si>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</si>
  <si>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</si>
  <si>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</si>
  <si>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</si>
  <si>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</si>
  <si>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</si>
  <si>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</si>
  <si>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</si>
  <si>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</si>
  <si>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</si>
  <si>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</si>
  <si>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</si>
  <si>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</si>
  <si>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</si>
  <si>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</si>
  <si>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</si>
  <si>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</si>
  <si>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</si>
  <si>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</si>
  <si>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</si>
  <si>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</si>
  <si>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</si>
  <si>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</si>
  <si>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</si>
  <si>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</si>
  <si>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</si>
  <si>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</si>
  <si>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</si>
  <si>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Співфінансування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</si>
  <si>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</si>
  <si>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</si>
  <si>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</si>
  <si>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</si>
  <si>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</si>
  <si>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</si>
  <si>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</si>
  <si>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</si>
  <si>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</si>
  <si>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Разом по заходу 1.2.14</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</si>
  <si>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</si>
  <si>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</si>
  <si>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</si>
  <si>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2021 (прогноз)</t>
  </si>
  <si>
    <t>бюджетних програм до комплексної Програми Cумської міської територіальної громади «Охорона здоров'я» на 2020-2022 роки»</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</si>
  <si>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</si>
  <si>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</si>
  <si>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</si>
  <si>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</si>
  <si>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1.2.16. Закупівля реактивів для проведення ІФА обстежень  медичним працівникам</t>
  </si>
  <si>
    <t>1.2.15. Проведення ендопротезування великих суглобів</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</si>
  <si>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</si>
  <si>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</si>
  <si>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</si>
  <si>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</si>
  <si>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</si>
  <si>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</si>
  <si>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</si>
  <si>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</si>
  <si>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</si>
  <si>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</si>
  <si>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</si>
  <si>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 xml:space="preserve">Додаток 4   </t>
  </si>
  <si>
    <t>2020рік</t>
  </si>
  <si>
    <t>О.М.Рєзнік</t>
  </si>
  <si>
    <t xml:space="preserve">Додаток 3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</si>
  <si>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 xml:space="preserve">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</si>
  <si>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люфты накинула</t>
  </si>
  <si>
    <t>Затверджено з урахуванням змін станом на 24.12.20</t>
  </si>
  <si>
    <t>Додаткові обсяги коштів або зменшення коштів по програмі, тис.грн</t>
  </si>
  <si>
    <t>Пропонується затвердити_.__.2021, тис.грн</t>
  </si>
  <si>
    <t>2021рік</t>
  </si>
  <si>
    <t>Прогноз на 2021 рік станом на 24.12.20</t>
  </si>
  <si>
    <t>Порівняльна таблиця до комплексної Програми Cумської міської територіальної  громади "Охорона здоров'я" на 2020-2022 роки"</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</si>
  <si>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</si>
  <si>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</si>
  <si>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</si>
  <si>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</si>
  <si>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</si>
  <si>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</si>
  <si>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</si>
  <si>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</si>
  <si>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</si>
  <si>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</si>
  <si>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</si>
  <si>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</si>
  <si>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</si>
  <si>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</si>
  <si>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</si>
  <si>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</si>
  <si>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</si>
  <si>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</si>
  <si>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</si>
  <si>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</si>
  <si>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Управління охорони здоров'я Сумської міської ради                                                              Багатопрофільна стаціонарна медична допомога населенню</t>
  </si>
  <si>
    <t>Управління охорони здоров'я Сумської міської ради                                                              Спеціалізована стаціонарна медична допомога населенню</t>
  </si>
  <si>
    <t>Управління охорони здоров'я Сумської міської ради                                                                                 Лікарсько-акушерська допомога вагітним, породіллям та новонародженим</t>
  </si>
  <si>
    <t>Управління охорони здоров'я Сумської міської ради                                                          Стоматологічна допомога населенню</t>
  </si>
  <si>
    <t>Управління охорони здоров'я Сумської міської ради                                                                         Інші програми, заклади та заходи у сфері охорони здоров'я</t>
  </si>
  <si>
    <t>Управління охорони здоров'я Сумської міської ради                                                          Забезпечення діяльності інших закладів у сфері охорони здоров’я</t>
  </si>
  <si>
    <t>Управління охорони здоров'я Сумської міської ради                                                           Інші програми та  заходи у сфері охорони здоров'я</t>
  </si>
  <si>
    <t>Управління охорони здоров'я Сумської міської ради                                                                   Програми і централізовані заходи у галузі охорони здоров'я</t>
  </si>
  <si>
    <t>Управління охорони здоров'я Сумської міської ради                                            Централізовані заходи з лікування хворих на цукровий та нецукровий діабет</t>
  </si>
  <si>
    <t>Управління охорони здоров'я Сумської міської ради                                                            Первинна медична допомога населенню, що надається центрами первинної медичної (медико-санітарної) допомоги</t>
  </si>
  <si>
    <t>Управління охорони здоров'я Сумської міської ради                                                           Будівництво медичних установ та закладів</t>
  </si>
  <si>
    <t xml:space="preserve">Управління охорони здоров'я Сумської міської ради                                                           Співфінансування інвестиційних проєктів, що реалізуються за рахунок коштів державного фонду регіонального розвитку </t>
  </si>
  <si>
    <t>Управління охорони здоров'я Сумської міської ради                                                         Виконання інвестиційних проєктів в рамках здійснення заходів щодо соціально-економічного розвитку окремих територій</t>
  </si>
  <si>
    <t>Управління охорони здоров'я Сумської міської ради                                                         Інші субвенції з місцевого бюджету</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</si>
  <si>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</si>
  <si>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</si>
  <si>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</si>
  <si>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</si>
  <si>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</si>
  <si>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</si>
  <si>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</si>
  <si>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</si>
  <si>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</si>
  <si>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</si>
  <si>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</si>
  <si>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</si>
  <si>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</si>
  <si>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</si>
  <si>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 xml:space="preserve">Інвестиційні проєкти, що реалізуються за рахунок коштів державного фонду регіонального розвитку </t>
  </si>
  <si>
    <t>1.2.5. Забезпечення надання медичної допомоги хворим на інфаркт міокарда (придбання тромболітичних препаратів,                                                 медикаментів, витратних матеріалів для стентування коронарних судин)</t>
  </si>
  <si>
    <t>1.2.6. Забезпечення надання медичної допомоги хворим на інсульт (придбання препарату Актилізе)</t>
  </si>
  <si>
    <t xml:space="preserve">1.2.7. Забезпечення лікування хворих на хронічну ниркову недостатність методом гемодіалізу до 01.04.2020 (придбання медикаментів та витратних матеріалів) </t>
  </si>
  <si>
    <t>1.2.8. Забезпечення проведення обстеження пацієнтів методами КТ, МРТ (оплата послуг обстеження пацієнтів методами КТ, МРТ)</t>
  </si>
  <si>
    <t>КНП "Центр первинної медико-санітарної допомоги № 1" СМР (капітальні)</t>
  </si>
  <si>
    <t>КНП "Центр первинної медико-санітарної допомоги № 2" СМР (капітальні)</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</si>
  <si>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</si>
  <si>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</si>
  <si>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</si>
  <si>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О.М.Лисенко</t>
  </si>
  <si>
    <t xml:space="preserve">Додаток 2
до рішення «Про внесення змін до рішення Сумської міської ради від 21 жовтня                   2020 року № 7548 – МР «Про затвердження комплексної Програми територіальної громади «Охорона здоров’я» на 2020-2022 роки» (зі змінами)
від 24 лютого 2021 року № 248 -МР
</t>
  </si>
  <si>
    <t>від 24 лютого 2021 року № 248 -МР</t>
  </si>
</sst>
</file>

<file path=xl/styles.xml><?xml version="1.0" encoding="utf-8"?>
<styleSheet xmlns="http://schemas.openxmlformats.org/spreadsheetml/2006/main">
  <numFmts count="3">
    <numFmt numFmtId="164" formatCode="0.0"/>
    <numFmt numFmtId="165" formatCode="0.000"/>
    <numFmt numFmtId="166" formatCode="#,##0.0"/>
  </numFmts>
  <fonts count="45">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sz val="16"/>
      <name val="Arial"/>
      <family val="2"/>
      <charset val="204"/>
    </font>
    <font>
      <b/>
      <sz val="28"/>
      <name val="Times New Roman"/>
      <family val="1"/>
      <charset val="204"/>
    </font>
    <font>
      <sz val="20"/>
      <name val="Arial"/>
      <family val="2"/>
      <charset val="204"/>
    </font>
    <font>
      <sz val="28"/>
      <name val="Times New Roman"/>
      <family val="1"/>
      <charset val="204"/>
    </font>
    <font>
      <sz val="10"/>
      <name val="Arial Cyr"/>
      <charset val="204"/>
    </font>
    <font>
      <sz val="18"/>
      <color theme="1"/>
      <name val="Times New Roman"/>
      <family val="1"/>
      <charset val="204"/>
    </font>
    <font>
      <sz val="22"/>
      <color theme="0"/>
      <name val="Times New Roman"/>
      <family val="1"/>
      <charset val="204"/>
    </font>
    <font>
      <sz val="22"/>
      <color rgb="FFFF0000"/>
      <name val="Times New Roman"/>
      <family val="1"/>
      <charset val="204"/>
    </font>
    <font>
      <sz val="22"/>
      <color rgb="FF7030A0"/>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7030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5" fillId="0" borderId="0"/>
    <xf numFmtId="0" fontId="5" fillId="0" borderId="0"/>
  </cellStyleXfs>
  <cellXfs count="70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0" xfId="0" applyFont="1" applyAlignment="1">
      <alignment horizontal="right"/>
    </xf>
    <xf numFmtId="49" fontId="13"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0" fontId="9" fillId="0" borderId="0" xfId="0" applyFont="1"/>
    <xf numFmtId="0" fontId="31" fillId="0" borderId="0" xfId="0" applyFont="1"/>
    <xf numFmtId="3" fontId="22" fillId="2" borderId="0" xfId="0" applyNumberFormat="1" applyFont="1" applyFill="1" applyAlignment="1">
      <alignment horizontal="left"/>
    </xf>
    <xf numFmtId="3" fontId="22" fillId="2" borderId="0" xfId="0" applyNumberFormat="1" applyFont="1" applyFill="1"/>
    <xf numFmtId="0" fontId="17" fillId="0" borderId="0" xfId="0" applyFont="1"/>
    <xf numFmtId="0" fontId="33" fillId="0" borderId="0" xfId="0" applyFont="1"/>
    <xf numFmtId="0" fontId="17" fillId="0" borderId="0" xfId="0" applyFont="1" applyAlignment="1">
      <alignment horizontal="right"/>
    </xf>
    <xf numFmtId="0" fontId="9" fillId="0" borderId="0" xfId="0" applyFont="1" applyAlignment="1">
      <alignment horizontal="left"/>
    </xf>
    <xf numFmtId="49" fontId="3" fillId="0" borderId="1" xfId="0" applyNumberFormat="1" applyFont="1" applyFill="1" applyBorder="1" applyAlignment="1">
      <alignment horizontal="center" vertical="top" wrapText="1"/>
    </xf>
    <xf numFmtId="0" fontId="34" fillId="2" borderId="0" xfId="0" applyFont="1" applyFill="1"/>
    <xf numFmtId="0" fontId="34" fillId="2" borderId="0" xfId="0" applyFont="1" applyFill="1" applyAlignment="1">
      <alignment horizontal="right"/>
    </xf>
    <xf numFmtId="0" fontId="34" fillId="2" borderId="0" xfId="0" applyFont="1" applyFill="1" applyAlignment="1">
      <alignment horizontal="center" vertical="center"/>
    </xf>
    <xf numFmtId="0" fontId="34" fillId="2" borderId="0" xfId="0" applyFont="1" applyFill="1" applyAlignment="1">
      <alignment wrapText="1"/>
    </xf>
    <xf numFmtId="0" fontId="34" fillId="2" borderId="0" xfId="0" applyFont="1" applyFill="1" applyAlignment="1">
      <alignment horizontal="center"/>
    </xf>
    <xf numFmtId="0" fontId="22" fillId="2" borderId="0" xfId="0" applyFont="1" applyFill="1" applyAlignment="1">
      <alignment horizontal="left"/>
    </xf>
    <xf numFmtId="3" fontId="9" fillId="2" borderId="0" xfId="0" applyNumberFormat="1"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0" fontId="14" fillId="2" borderId="1" xfId="0" applyFont="1" applyFill="1" applyBorder="1" applyAlignment="1">
      <alignment horizontal="center" vertic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166" fontId="17" fillId="2" borderId="9" xfId="0" applyNumberFormat="1" applyFont="1" applyFill="1" applyBorder="1" applyAlignment="1">
      <alignment horizontal="center" vertical="top"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4"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wrapText="1"/>
    </xf>
    <xf numFmtId="0" fontId="1" fillId="2" borderId="0" xfId="0" applyFont="1" applyFill="1" applyAlignment="1">
      <alignment horizontal="center"/>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3" xfId="0" applyFont="1" applyFill="1" applyBorder="1" applyAlignment="1">
      <alignment horizontal="left" vertical="top" wrapText="1"/>
    </xf>
    <xf numFmtId="0" fontId="14" fillId="2" borderId="1" xfId="0" applyFont="1" applyFill="1" applyBorder="1" applyAlignment="1">
      <alignment horizontal="center" vertical="top"/>
    </xf>
    <xf numFmtId="0" fontId="23" fillId="2" borderId="0" xfId="0" applyFont="1" applyFill="1" applyBorder="1" applyAlignment="1">
      <alignment horizontal="left"/>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22" fillId="2" borderId="8" xfId="0" applyFont="1" applyFill="1" applyBorder="1" applyAlignment="1">
      <alignment horizontal="left" vertical="top" wrapText="1"/>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49" fontId="22" fillId="2" borderId="1" xfId="0" applyNumberFormat="1" applyFont="1" applyFill="1" applyBorder="1" applyAlignment="1">
      <alignment vertical="top" wrapText="1"/>
    </xf>
    <xf numFmtId="0" fontId="13" fillId="2" borderId="9" xfId="0" applyFont="1" applyFill="1" applyBorder="1" applyAlignment="1">
      <alignmen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166" fontId="17" fillId="2" borderId="0" xfId="0" applyNumberFormat="1" applyFont="1" applyFill="1" applyAlignment="1">
      <alignment horizontal="center" wrapText="1"/>
    </xf>
    <xf numFmtId="0" fontId="34"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6" fillId="2" borderId="1" xfId="0" applyFont="1" applyFill="1" applyBorder="1" applyAlignment="1">
      <alignment wrapText="1"/>
    </xf>
    <xf numFmtId="1" fontId="36"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6" fillId="2" borderId="1" xfId="7" applyFont="1" applyFill="1" applyBorder="1" applyAlignment="1">
      <alignment wrapText="1"/>
    </xf>
    <xf numFmtId="0" fontId="22" fillId="4" borderId="1" xfId="0" applyFont="1" applyFill="1" applyBorder="1" applyAlignment="1">
      <alignment horizontal="left" vertical="top" wrapText="1"/>
    </xf>
    <xf numFmtId="0" fontId="22" fillId="4" borderId="1" xfId="0" applyFont="1" applyFill="1" applyBorder="1" applyAlignment="1">
      <alignment horizontal="left" vertical="center"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0" fillId="2" borderId="0" xfId="0" applyNumberFormat="1" applyFont="1" applyFill="1" applyBorder="1" applyAlignment="1">
      <alignment vertical="top" wrapText="1"/>
    </xf>
    <xf numFmtId="0" fontId="13" fillId="2" borderId="0" xfId="7" applyFont="1" applyFill="1" applyBorder="1" applyAlignment="1">
      <alignment wrapText="1"/>
    </xf>
    <xf numFmtId="3" fontId="30" fillId="2" borderId="0" xfId="0" applyNumberFormat="1" applyFont="1" applyFill="1" applyBorder="1" applyAlignment="1">
      <alignment horizontal="justify" vertical="center" wrapText="1"/>
    </xf>
    <xf numFmtId="0" fontId="13" fillId="2" borderId="0" xfId="7" applyFont="1" applyFill="1" applyBorder="1" applyAlignment="1">
      <alignment vertical="top" wrapText="1"/>
    </xf>
    <xf numFmtId="0" fontId="22" fillId="2" borderId="3" xfId="0" applyFont="1" applyFill="1" applyBorder="1" applyAlignment="1">
      <alignment horizontal="left" vertical="center"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3"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22" fillId="2" borderId="1" xfId="3" applyFont="1" applyFill="1" applyBorder="1" applyAlignment="1">
      <alignment horizontal="left" vertical="top" wrapText="1"/>
    </xf>
    <xf numFmtId="0" fontId="22" fillId="2" borderId="10" xfId="0" applyFont="1" applyFill="1" applyBorder="1" applyAlignment="1">
      <alignment horizontal="left" vertical="top" wrapText="1"/>
    </xf>
    <xf numFmtId="49" fontId="22" fillId="2" borderId="1" xfId="0" applyNumberFormat="1" applyFont="1" applyFill="1" applyBorder="1" applyAlignment="1">
      <alignment horizontal="left" vertical="top" wrapText="1"/>
    </xf>
    <xf numFmtId="0" fontId="10" fillId="2" borderId="1" xfId="0" applyFont="1" applyFill="1" applyBorder="1" applyAlignment="1">
      <alignment horizontal="center" vertical="center" wrapText="1"/>
    </xf>
    <xf numFmtId="0" fontId="22" fillId="2" borderId="6" xfId="3" applyFont="1" applyFill="1" applyBorder="1" applyAlignment="1">
      <alignment horizontal="left" vertical="top" wrapText="1"/>
    </xf>
    <xf numFmtId="0" fontId="22" fillId="2" borderId="9" xfId="3" applyFont="1" applyFill="1" applyBorder="1" applyAlignment="1">
      <alignment horizontal="left"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6" xfId="0" applyFont="1" applyFill="1" applyBorder="1" applyAlignment="1">
      <alignment horizontal="left" wrapText="1"/>
    </xf>
    <xf numFmtId="49" fontId="22" fillId="2" borderId="2"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22" fillId="2" borderId="0" xfId="0" applyFont="1" applyFill="1" applyBorder="1" applyAlignment="1">
      <alignment horizontal="left"/>
    </xf>
    <xf numFmtId="0" fontId="22" fillId="2" borderId="0" xfId="0" applyFont="1" applyFill="1" applyBorder="1" applyAlignment="1">
      <alignment horizontal="left" vertical="center"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xf>
    <xf numFmtId="0" fontId="22" fillId="2" borderId="15" xfId="0" applyFont="1" applyFill="1" applyBorder="1" applyAlignment="1">
      <alignment horizontal="left" vertical="top"/>
    </xf>
    <xf numFmtId="0" fontId="22" fillId="2" borderId="0" xfId="0" applyFont="1" applyFill="1" applyAlignment="1">
      <alignment horizontal="left" vertical="top"/>
    </xf>
    <xf numFmtId="0" fontId="22" fillId="2" borderId="0" xfId="0" applyFont="1" applyFill="1" applyAlignment="1">
      <alignment horizontal="left" vertical="center"/>
    </xf>
    <xf numFmtId="0" fontId="22" fillId="2" borderId="0" xfId="0" applyFont="1" applyFill="1" applyAlignment="1">
      <alignment horizontal="left" vertical="top" wrapText="1"/>
    </xf>
    <xf numFmtId="0" fontId="37" fillId="2" borderId="0" xfId="0" applyFont="1" applyFill="1" applyAlignment="1">
      <alignment horizontal="left" wrapText="1"/>
    </xf>
    <xf numFmtId="165" fontId="37" fillId="2" borderId="0" xfId="0" applyNumberFormat="1" applyFont="1" applyFill="1" applyAlignment="1">
      <alignment horizontal="left" wrapText="1"/>
    </xf>
    <xf numFmtId="1" fontId="22" fillId="2" borderId="0" xfId="0" applyNumberFormat="1" applyFont="1" applyFill="1" applyAlignment="1">
      <alignment horizontal="left" vertical="center"/>
    </xf>
    <xf numFmtId="166" fontId="22" fillId="2" borderId="1" xfId="0" applyNumberFormat="1" applyFont="1" applyFill="1" applyBorder="1" applyAlignment="1">
      <alignment horizontal="left" vertical="top" wrapText="1"/>
    </xf>
    <xf numFmtId="166" fontId="22" fillId="2" borderId="6" xfId="0" applyNumberFormat="1" applyFont="1" applyFill="1" applyBorder="1" applyAlignment="1">
      <alignment horizontal="left" vertical="top" wrapText="1"/>
    </xf>
    <xf numFmtId="49" fontId="22" fillId="2" borderId="1" xfId="0" applyNumberFormat="1" applyFont="1" applyFill="1" applyBorder="1" applyAlignment="1">
      <alignment horizontal="left" vertical="center" wrapText="1"/>
    </xf>
    <xf numFmtId="166" fontId="22" fillId="2" borderId="12" xfId="0" applyNumberFormat="1" applyFont="1" applyFill="1" applyBorder="1" applyAlignment="1">
      <alignment horizontal="left" vertical="top" wrapText="1"/>
    </xf>
    <xf numFmtId="166" fontId="22" fillId="2" borderId="9" xfId="0" applyNumberFormat="1" applyFont="1" applyFill="1" applyBorder="1" applyAlignment="1">
      <alignment horizontal="left" vertical="top" wrapText="1"/>
    </xf>
    <xf numFmtId="166" fontId="22" fillId="2" borderId="1" xfId="0" applyNumberFormat="1" applyFont="1" applyFill="1" applyBorder="1" applyAlignment="1">
      <alignment horizontal="left" vertical="center" wrapText="1"/>
    </xf>
    <xf numFmtId="166" fontId="22" fillId="2" borderId="6" xfId="0" applyNumberFormat="1" applyFont="1" applyFill="1" applyBorder="1" applyAlignment="1">
      <alignment horizontal="left" vertical="center" wrapText="1"/>
    </xf>
    <xf numFmtId="49" fontId="22" fillId="2" borderId="14" xfId="0" applyNumberFormat="1" applyFont="1" applyFill="1" applyBorder="1" applyAlignment="1">
      <alignment horizontal="left" vertical="center" wrapText="1"/>
    </xf>
    <xf numFmtId="0" fontId="22" fillId="2" borderId="10" xfId="0" applyFont="1" applyFill="1" applyBorder="1" applyAlignment="1">
      <alignment horizontal="left" vertical="top"/>
    </xf>
    <xf numFmtId="0" fontId="22" fillId="2" borderId="14"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1" xfId="0" applyFont="1" applyFill="1" applyBorder="1" applyAlignment="1">
      <alignment horizontal="left" vertical="center"/>
    </xf>
    <xf numFmtId="166" fontId="22" fillId="3" borderId="1" xfId="0" applyNumberFormat="1" applyFont="1" applyFill="1" applyBorder="1" applyAlignment="1">
      <alignment horizontal="left" vertical="top" wrapText="1"/>
    </xf>
    <xf numFmtId="164" fontId="39" fillId="2" borderId="0" xfId="0" applyNumberFormat="1" applyFont="1" applyFill="1" applyBorder="1" applyAlignment="1">
      <alignment horizontal="left" wrapText="1"/>
    </xf>
    <xf numFmtId="164" fontId="22" fillId="2" borderId="0" xfId="0" applyNumberFormat="1" applyFont="1" applyFill="1" applyAlignment="1">
      <alignment horizontal="left"/>
    </xf>
    <xf numFmtId="166" fontId="22" fillId="2" borderId="1" xfId="0" applyNumberFormat="1" applyFont="1" applyFill="1" applyBorder="1" applyAlignment="1">
      <alignment horizontal="left" vertical="top"/>
    </xf>
    <xf numFmtId="0" fontId="39" fillId="2" borderId="0" xfId="0" applyFont="1" applyFill="1" applyAlignment="1">
      <alignment horizontal="left"/>
    </xf>
    <xf numFmtId="0" fontId="22" fillId="2" borderId="1" xfId="0" applyFont="1" applyFill="1" applyBorder="1" applyAlignment="1">
      <alignment horizontal="left" vertical="top"/>
    </xf>
    <xf numFmtId="0" fontId="22" fillId="2" borderId="1" xfId="0" applyFont="1" applyFill="1" applyBorder="1" applyAlignment="1">
      <alignment horizontal="left"/>
    </xf>
    <xf numFmtId="0" fontId="22" fillId="2" borderId="1" xfId="0" applyFont="1" applyFill="1" applyBorder="1" applyAlignment="1">
      <alignment horizontal="left" wrapText="1"/>
    </xf>
    <xf numFmtId="166" fontId="22" fillId="2" borderId="3" xfId="0" applyNumberFormat="1" applyFont="1" applyFill="1" applyBorder="1" applyAlignment="1">
      <alignment horizontal="left" vertical="top" wrapText="1"/>
    </xf>
    <xf numFmtId="166" fontId="22" fillId="2" borderId="10" xfId="0" applyNumberFormat="1" applyFont="1" applyFill="1" applyBorder="1" applyAlignment="1">
      <alignment horizontal="left" vertical="top" wrapText="1"/>
    </xf>
    <xf numFmtId="166" fontId="22" fillId="2" borderId="0" xfId="0" applyNumberFormat="1" applyFont="1" applyFill="1" applyAlignment="1">
      <alignment horizontal="left"/>
    </xf>
    <xf numFmtId="49" fontId="22" fillId="2" borderId="2" xfId="0" applyNumberFormat="1" applyFont="1" applyFill="1" applyBorder="1" applyAlignment="1">
      <alignment horizontal="left" vertical="center" wrapText="1"/>
    </xf>
    <xf numFmtId="166" fontId="22" fillId="2" borderId="0" xfId="0" applyNumberFormat="1" applyFont="1" applyFill="1" applyBorder="1" applyAlignment="1">
      <alignment horizontal="left" vertical="center" wrapText="1"/>
    </xf>
    <xf numFmtId="166" fontId="22" fillId="2" borderId="12" xfId="0" applyNumberFormat="1" applyFont="1" applyFill="1" applyBorder="1" applyAlignment="1">
      <alignment horizontal="left" vertical="center" wrapText="1"/>
    </xf>
    <xf numFmtId="0" fontId="22" fillId="2" borderId="12" xfId="0" applyFont="1" applyFill="1" applyBorder="1" applyAlignment="1">
      <alignment horizontal="left" vertical="top"/>
    </xf>
    <xf numFmtId="0" fontId="22" fillId="2" borderId="0" xfId="3" applyFont="1" applyFill="1" applyBorder="1" applyAlignment="1">
      <alignment horizontal="left" vertical="top" wrapText="1"/>
    </xf>
    <xf numFmtId="0" fontId="22" fillId="2" borderId="6" xfId="0" applyFont="1" applyFill="1" applyBorder="1" applyAlignment="1">
      <alignment horizontal="left" vertical="top"/>
    </xf>
    <xf numFmtId="166" fontId="22" fillId="2" borderId="8" xfId="0" applyNumberFormat="1" applyFont="1" applyFill="1" applyBorder="1" applyAlignment="1">
      <alignment horizontal="left" vertical="top" wrapText="1"/>
    </xf>
    <xf numFmtId="166" fontId="22" fillId="2" borderId="2" xfId="0" applyNumberFormat="1" applyFont="1" applyFill="1" applyBorder="1" applyAlignment="1">
      <alignment horizontal="left" vertical="top" wrapText="1"/>
    </xf>
    <xf numFmtId="4" fontId="22" fillId="2" borderId="1" xfId="0" applyNumberFormat="1" applyFont="1" applyFill="1" applyBorder="1" applyAlignment="1">
      <alignment horizontal="left" vertical="top" wrapText="1"/>
    </xf>
    <xf numFmtId="4" fontId="22" fillId="2" borderId="6" xfId="0" applyNumberFormat="1" applyFont="1" applyFill="1" applyBorder="1" applyAlignment="1">
      <alignment horizontal="left" vertical="top" wrapText="1"/>
    </xf>
    <xf numFmtId="4" fontId="22" fillId="2" borderId="12" xfId="0" applyNumberFormat="1" applyFont="1" applyFill="1" applyBorder="1" applyAlignment="1">
      <alignment horizontal="left" vertical="top" wrapText="1"/>
    </xf>
    <xf numFmtId="2" fontId="22" fillId="2" borderId="1" xfId="0" applyNumberFormat="1" applyFont="1" applyFill="1" applyBorder="1" applyAlignment="1">
      <alignment horizontal="left" vertical="top" wrapText="1"/>
    </xf>
    <xf numFmtId="2" fontId="22" fillId="2" borderId="9" xfId="0" applyNumberFormat="1" applyFont="1" applyFill="1" applyBorder="1" applyAlignment="1">
      <alignment horizontal="left" vertical="top" wrapText="1"/>
    </xf>
    <xf numFmtId="166" fontId="22" fillId="2" borderId="9" xfId="0" applyNumberFormat="1" applyFont="1" applyFill="1" applyBorder="1" applyAlignment="1">
      <alignment horizontal="left" vertical="center" wrapText="1"/>
    </xf>
    <xf numFmtId="166" fontId="22" fillId="2" borderId="1" xfId="0" applyNumberFormat="1" applyFont="1" applyFill="1" applyBorder="1" applyAlignment="1">
      <alignment horizontal="left"/>
    </xf>
    <xf numFmtId="164" fontId="38" fillId="2" borderId="0" xfId="0" applyNumberFormat="1" applyFont="1" applyFill="1" applyAlignment="1">
      <alignment horizontal="left"/>
    </xf>
    <xf numFmtId="164" fontId="22" fillId="2" borderId="1" xfId="0" applyNumberFormat="1" applyFont="1" applyFill="1" applyBorder="1" applyAlignment="1">
      <alignment horizontal="left"/>
    </xf>
    <xf numFmtId="166" fontId="22" fillId="2" borderId="1" xfId="0" applyNumberFormat="1" applyFont="1" applyFill="1" applyBorder="1" applyAlignment="1">
      <alignment horizontal="left" wrapText="1"/>
    </xf>
    <xf numFmtId="166" fontId="22" fillId="2" borderId="12" xfId="0" applyNumberFormat="1" applyFont="1" applyFill="1" applyBorder="1" applyAlignment="1">
      <alignment horizontal="left" wrapText="1"/>
    </xf>
    <xf numFmtId="164" fontId="22" fillId="2" borderId="1" xfId="0" applyNumberFormat="1" applyFont="1" applyFill="1" applyBorder="1" applyAlignment="1">
      <alignment horizontal="left" vertical="top" wrapText="1"/>
    </xf>
    <xf numFmtId="164" fontId="22" fillId="2" borderId="12" xfId="0" applyNumberFormat="1" applyFont="1" applyFill="1" applyBorder="1" applyAlignment="1">
      <alignment horizontal="left" vertical="top" wrapText="1"/>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22" fillId="2" borderId="9" xfId="0" applyFont="1" applyFill="1" applyBorder="1" applyAlignment="1">
      <alignment horizontal="left" vertical="center" wrapText="1"/>
    </xf>
    <xf numFmtId="166" fontId="22" fillId="3" borderId="9" xfId="0" applyNumberFormat="1" applyFont="1" applyFill="1" applyBorder="1" applyAlignment="1">
      <alignment horizontal="left" vertical="top" wrapText="1"/>
    </xf>
    <xf numFmtId="166" fontId="22" fillId="2" borderId="6" xfId="0" applyNumberFormat="1" applyFont="1" applyFill="1" applyBorder="1" applyAlignment="1">
      <alignment horizontal="left" vertical="top"/>
    </xf>
    <xf numFmtId="0" fontId="22" fillId="2" borderId="15" xfId="0" applyFont="1" applyFill="1" applyBorder="1" applyAlignment="1">
      <alignment horizontal="left" vertical="center"/>
    </xf>
    <xf numFmtId="166" fontId="22" fillId="2" borderId="0" xfId="0" applyNumberFormat="1" applyFont="1" applyFill="1" applyAlignment="1">
      <alignment horizontal="left"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0" fillId="2" borderId="9" xfId="0" applyFont="1" applyFill="1" applyBorder="1" applyAlignment="1">
      <alignment horizontal="center" vertical="center" wrapText="1"/>
    </xf>
    <xf numFmtId="0" fontId="19"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3" fillId="2" borderId="1" xfId="3"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7" fillId="2" borderId="12"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1" xfId="0" applyFont="1" applyFill="1" applyBorder="1" applyAlignment="1">
      <alignment horizontal="center" vertical="top" wrapText="1"/>
    </xf>
    <xf numFmtId="0" fontId="17" fillId="2" borderId="9" xfId="0" applyFont="1" applyFill="1" applyBorder="1" applyAlignment="1">
      <alignment horizontal="center" vertical="top" wrapText="1"/>
    </xf>
    <xf numFmtId="0" fontId="11" fillId="2" borderId="6" xfId="0" applyFont="1" applyFill="1" applyBorder="1" applyAlignment="1">
      <alignment vertical="top"/>
    </xf>
    <xf numFmtId="0" fontId="22" fillId="2" borderId="1" xfId="3" applyFont="1" applyFill="1" applyBorder="1" applyAlignment="1">
      <alignment horizontal="left" vertical="top" wrapText="1"/>
    </xf>
    <xf numFmtId="0" fontId="22" fillId="2" borderId="6"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4" fillId="2" borderId="1" xfId="0" applyFont="1" applyFill="1" applyBorder="1" applyAlignment="1">
      <alignment horizontal="center" vertical="top"/>
    </xf>
    <xf numFmtId="0" fontId="22" fillId="2" borderId="1" xfId="0" applyFont="1" applyFill="1" applyBorder="1" applyAlignment="1">
      <alignment horizontal="center" vertical="top" wrapText="1"/>
    </xf>
    <xf numFmtId="0" fontId="23" fillId="2" borderId="1" xfId="0" applyFont="1" applyFill="1" applyBorder="1"/>
    <xf numFmtId="0" fontId="14" fillId="2" borderId="12" xfId="0" applyFont="1" applyFill="1" applyBorder="1" applyAlignment="1">
      <alignment horizontal="center" vertical="top"/>
    </xf>
    <xf numFmtId="0" fontId="22" fillId="2" borderId="1" xfId="0" applyFont="1" applyFill="1" applyBorder="1" applyAlignment="1">
      <alignment vertical="top"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9" xfId="3" applyFont="1" applyFill="1" applyBorder="1" applyAlignment="1">
      <alignment horizontal="center" vertical="top" wrapText="1"/>
    </xf>
    <xf numFmtId="0" fontId="14" fillId="2" borderId="0" xfId="0" applyFont="1" applyFill="1" applyBorder="1" applyAlignment="1">
      <alignment horizontal="left" vertical="top" wrapText="1"/>
    </xf>
    <xf numFmtId="0" fontId="10" fillId="2" borderId="1"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13" fillId="2" borderId="1" xfId="0" applyFont="1" applyFill="1" applyBorder="1" applyAlignment="1">
      <alignment horizontal="center"/>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8" xfId="0"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22" fillId="0" borderId="0" xfId="0" applyFont="1" applyFill="1" applyAlignment="1">
      <alignment horizontal="justify" wrapText="1"/>
    </xf>
    <xf numFmtId="0" fontId="14" fillId="0" borderId="0" xfId="0" applyFont="1" applyAlignment="1">
      <alignment horizontal="center"/>
    </xf>
    <xf numFmtId="0" fontId="14" fillId="0" borderId="0" xfId="0" applyFont="1" applyAlignment="1">
      <alignment horizont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13" xfId="0" applyFont="1" applyBorder="1" applyAlignment="1">
      <alignment horizontal="center"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 fillId="0" borderId="9" xfId="0" applyFont="1" applyBorder="1" applyAlignment="1">
      <alignment horizontal="center"/>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22"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9" fillId="2" borderId="1"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1" xfId="3" applyFont="1" applyFill="1" applyBorder="1" applyAlignment="1">
      <alignment horizontal="center" vertical="top" wrapText="1"/>
    </xf>
    <xf numFmtId="0" fontId="19" fillId="2" borderId="1" xfId="0" applyFont="1" applyFill="1" applyBorder="1" applyAlignment="1">
      <alignment horizontal="left" vertical="center" wrapText="1"/>
    </xf>
    <xf numFmtId="0" fontId="17" fillId="2" borderId="1"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9" fillId="2" borderId="1" xfId="0" applyFont="1" applyFill="1" applyBorder="1" applyAlignment="1">
      <alignment horizontal="center" vertical="top" wrapText="1"/>
    </xf>
    <xf numFmtId="0" fontId="11" fillId="2" borderId="1" xfId="0" applyFont="1" applyFill="1" applyBorder="1" applyAlignment="1">
      <alignment horizontal="left" vertical="top"/>
    </xf>
    <xf numFmtId="0" fontId="17" fillId="2" borderId="1" xfId="0" applyFont="1" applyFill="1" applyBorder="1" applyAlignment="1">
      <alignment horizontal="left" vertical="top"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22" fillId="2" borderId="1" xfId="3" applyFont="1" applyFill="1" applyBorder="1" applyAlignment="1">
      <alignment horizontal="left" vertical="top" wrapText="1"/>
    </xf>
    <xf numFmtId="0" fontId="14" fillId="2" borderId="1" xfId="0" applyFont="1" applyFill="1" applyBorder="1" applyAlignment="1">
      <alignment horizontal="center"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10" fillId="2" borderId="1" xfId="0" applyFont="1" applyFill="1" applyBorder="1" applyAlignment="1">
      <alignment horizontal="center"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4" fillId="2" borderId="14"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8" xfId="0" applyFont="1" applyFill="1" applyBorder="1" applyAlignment="1">
      <alignment horizontal="left" vertical="top" wrapText="1"/>
    </xf>
    <xf numFmtId="0" fontId="13" fillId="2" borderId="9"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6" fillId="2" borderId="1" xfId="0" applyFont="1" applyFill="1" applyBorder="1"/>
    <xf numFmtId="0" fontId="0" fillId="2" borderId="1" xfId="0" applyFill="1" applyBorder="1"/>
    <xf numFmtId="49" fontId="22" fillId="2" borderId="1"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3" fillId="2" borderId="1" xfId="0" applyFont="1" applyFill="1" applyBorder="1"/>
    <xf numFmtId="0" fontId="32"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22" fillId="2" borderId="1" xfId="0" applyFont="1" applyFill="1" applyBorder="1" applyAlignment="1">
      <alignment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49" fontId="19" fillId="2" borderId="1" xfId="0" applyNumberFormat="1" applyFont="1" applyFill="1" applyBorder="1" applyAlignment="1">
      <alignment horizontal="left" vertical="center" wrapText="1"/>
    </xf>
    <xf numFmtId="0" fontId="22" fillId="2" borderId="1" xfId="0" applyFont="1" applyFill="1" applyBorder="1" applyAlignment="1">
      <alignment horizontal="center" vertical="top" wrapText="1"/>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23" fillId="2" borderId="12" xfId="0" applyFont="1" applyFill="1" applyBorder="1" applyAlignment="1">
      <alignment horizontal="left"/>
    </xf>
    <xf numFmtId="0" fontId="23" fillId="2" borderId="9" xfId="0" applyFont="1" applyFill="1" applyBorder="1" applyAlignment="1">
      <alignment horizontal="left"/>
    </xf>
    <xf numFmtId="0" fontId="13" fillId="2" borderId="9" xfId="3"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4" fillId="2" borderId="1" xfId="0" applyFont="1" applyFill="1" applyBorder="1" applyAlignment="1">
      <alignment horizontal="center" vertical="top"/>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3"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11"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4" fillId="2" borderId="8" xfId="0" applyFont="1" applyFill="1" applyBorder="1" applyAlignment="1">
      <alignment horizontal="center" vertical="top"/>
    </xf>
    <xf numFmtId="0" fontId="22" fillId="2" borderId="6" xfId="3" applyFont="1" applyFill="1" applyBorder="1" applyAlignment="1">
      <alignment horizontal="left" vertical="top" wrapText="1"/>
    </xf>
    <xf numFmtId="0" fontId="22" fillId="2" borderId="9" xfId="3"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7" xfId="0" applyFont="1" applyFill="1" applyBorder="1" applyAlignment="1">
      <alignment horizontal="left" vertical="top" wrapText="1"/>
    </xf>
    <xf numFmtId="0" fontId="11" fillId="2" borderId="1" xfId="0" applyFont="1" applyFill="1" applyBorder="1" applyAlignment="1">
      <alignment horizontal="center" vertical="top"/>
    </xf>
    <xf numFmtId="0" fontId="23" fillId="2" borderId="1" xfId="0" applyFont="1" applyFill="1" applyBorder="1" applyAlignment="1">
      <alignment horizontal="left"/>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22" fillId="2" borderId="12"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0" fillId="2" borderId="9"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49" fontId="19" fillId="2" borderId="6" xfId="0" applyNumberFormat="1" applyFont="1" applyFill="1" applyBorder="1" applyAlignment="1">
      <alignment horizontal="left" vertical="top" wrapText="1"/>
    </xf>
    <xf numFmtId="49" fontId="19" fillId="2" borderId="12" xfId="0" applyNumberFormat="1" applyFont="1" applyFill="1" applyBorder="1" applyAlignment="1">
      <alignment horizontal="left" vertical="top" wrapText="1"/>
    </xf>
    <xf numFmtId="49" fontId="19"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3" fillId="2" borderId="1" xfId="0" applyFont="1" applyFill="1" applyBorder="1" applyAlignment="1">
      <alignment horizontal="center"/>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1" xfId="0" applyNumberFormat="1" applyFont="1" applyFill="1" applyBorder="1" applyAlignment="1">
      <alignment horizontal="left" vertical="center"/>
    </xf>
    <xf numFmtId="3" fontId="10" fillId="2" borderId="1" xfId="0" applyNumberFormat="1" applyFont="1" applyFill="1" applyBorder="1" applyAlignment="1">
      <alignment horizontal="left" vertical="top"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0" fontId="22" fillId="2" borderId="1" xfId="0" applyFont="1" applyFill="1" applyBorder="1" applyAlignment="1">
      <alignment horizontal="left" vertical="center"/>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 xfId="0" applyFont="1" applyFill="1" applyBorder="1" applyAlignment="1">
      <alignment horizontal="left" vertical="top"/>
    </xf>
    <xf numFmtId="0" fontId="22" fillId="2" borderId="3" xfId="0" applyFont="1" applyFill="1" applyBorder="1" applyAlignment="1">
      <alignment horizontal="left" vertical="top"/>
    </xf>
    <xf numFmtId="0" fontId="22" fillId="2" borderId="4" xfId="0" applyFont="1" applyFill="1" applyBorder="1" applyAlignment="1">
      <alignment horizontal="left" vertical="top"/>
    </xf>
    <xf numFmtId="0" fontId="22" fillId="2" borderId="2" xfId="0" applyFont="1" applyFill="1" applyBorder="1" applyAlignment="1">
      <alignment horizontal="left" vertical="top"/>
    </xf>
    <xf numFmtId="0" fontId="22" fillId="2" borderId="14" xfId="0"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15" xfId="0" applyFont="1" applyFill="1" applyBorder="1" applyAlignment="1">
      <alignment horizontal="left" vertical="top" wrapText="1"/>
    </xf>
    <xf numFmtId="0" fontId="22" fillId="2" borderId="8" xfId="0" applyFont="1" applyFill="1" applyBorder="1" applyAlignment="1">
      <alignment horizontal="left" vertical="top" wrapText="1"/>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5" xfId="0" applyFont="1" applyFill="1" applyBorder="1" applyAlignment="1">
      <alignment horizontal="left" vertical="top"/>
    </xf>
    <xf numFmtId="0" fontId="22" fillId="2" borderId="14" xfId="0" applyFont="1" applyFill="1" applyBorder="1" applyAlignment="1">
      <alignment horizontal="left" vertical="top"/>
    </xf>
    <xf numFmtId="0" fontId="22" fillId="2" borderId="13" xfId="0" applyFont="1" applyFill="1" applyBorder="1" applyAlignment="1">
      <alignment horizontal="left" vertical="top"/>
    </xf>
    <xf numFmtId="0" fontId="22" fillId="2" borderId="10" xfId="0" applyFont="1" applyFill="1" applyBorder="1" applyAlignment="1">
      <alignment horizontal="left" vertical="top"/>
    </xf>
    <xf numFmtId="0" fontId="22" fillId="2" borderId="0" xfId="0" applyFont="1" applyFill="1" applyBorder="1" applyAlignment="1">
      <alignment horizontal="left" vertical="top"/>
    </xf>
    <xf numFmtId="0" fontId="22" fillId="2" borderId="11" xfId="0" applyFont="1" applyFill="1" applyBorder="1" applyAlignment="1">
      <alignment horizontal="left" vertical="top"/>
    </xf>
    <xf numFmtId="0" fontId="22" fillId="2" borderId="7" xfId="0" applyFont="1" applyFill="1" applyBorder="1" applyAlignment="1">
      <alignment horizontal="left" vertical="top"/>
    </xf>
    <xf numFmtId="0" fontId="22" fillId="2" borderId="15" xfId="0" applyFont="1" applyFill="1" applyBorder="1" applyAlignment="1">
      <alignment horizontal="left" vertical="top"/>
    </xf>
    <xf numFmtId="0" fontId="22" fillId="2" borderId="8" xfId="0" applyFont="1" applyFill="1" applyBorder="1" applyAlignment="1">
      <alignment horizontal="left" vertical="top"/>
    </xf>
    <xf numFmtId="0" fontId="22" fillId="2" borderId="6"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0"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6" xfId="0" applyFont="1" applyFill="1" applyBorder="1" applyAlignment="1">
      <alignment horizontal="left" vertical="top"/>
    </xf>
    <xf numFmtId="0" fontId="22" fillId="2" borderId="12" xfId="0" applyFont="1" applyFill="1" applyBorder="1" applyAlignment="1">
      <alignment horizontal="left" vertical="top"/>
    </xf>
    <xf numFmtId="0" fontId="22" fillId="2" borderId="9" xfId="0" applyFont="1" applyFill="1" applyBorder="1" applyAlignment="1">
      <alignment horizontal="left" vertical="top"/>
    </xf>
    <xf numFmtId="49" fontId="22" fillId="2" borderId="3" xfId="0" applyNumberFormat="1" applyFont="1" applyFill="1" applyBorder="1" applyAlignment="1">
      <alignment horizontal="left" vertical="top" wrapText="1"/>
    </xf>
    <xf numFmtId="49" fontId="22" fillId="2" borderId="4" xfId="0" applyNumberFormat="1"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22" fillId="2" borderId="1" xfId="0" applyNumberFormat="1" applyFont="1" applyFill="1" applyBorder="1" applyAlignment="1">
      <alignment horizontal="left" vertical="center" wrapText="1"/>
    </xf>
    <xf numFmtId="0" fontId="22" fillId="2" borderId="1" xfId="0" applyFont="1" applyFill="1" applyBorder="1" applyAlignment="1">
      <alignment horizontal="left"/>
    </xf>
    <xf numFmtId="49" fontId="22" fillId="2" borderId="6" xfId="0" applyNumberFormat="1" applyFont="1" applyFill="1" applyBorder="1" applyAlignment="1">
      <alignment horizontal="left" vertical="center" wrapText="1"/>
    </xf>
    <xf numFmtId="49" fontId="22" fillId="2" borderId="9" xfId="0" applyNumberFormat="1" applyFont="1" applyFill="1" applyBorder="1" applyAlignment="1">
      <alignment horizontal="left" vertical="center" wrapText="1"/>
    </xf>
    <xf numFmtId="49" fontId="22" fillId="2" borderId="3" xfId="0" applyNumberFormat="1" applyFont="1" applyFill="1" applyBorder="1" applyAlignment="1">
      <alignment horizontal="left" vertical="center" wrapText="1"/>
    </xf>
    <xf numFmtId="49" fontId="22" fillId="2" borderId="2" xfId="0" applyNumberFormat="1" applyFont="1" applyFill="1" applyBorder="1" applyAlignment="1">
      <alignment horizontal="left" vertical="center" wrapText="1"/>
    </xf>
    <xf numFmtId="0" fontId="22" fillId="2" borderId="12" xfId="0" applyFont="1" applyFill="1" applyBorder="1" applyAlignment="1">
      <alignment horizontal="left"/>
    </xf>
    <xf numFmtId="0" fontId="22" fillId="2" borderId="9" xfId="0" applyFont="1" applyFill="1" applyBorder="1" applyAlignment="1">
      <alignment horizontal="left"/>
    </xf>
    <xf numFmtId="49" fontId="22" fillId="2" borderId="12" xfId="0" applyNumberFormat="1" applyFont="1" applyFill="1" applyBorder="1" applyAlignment="1">
      <alignment horizontal="left" vertical="center" wrapText="1"/>
    </xf>
    <xf numFmtId="0" fontId="21" fillId="2" borderId="0" xfId="0" applyFont="1" applyFill="1" applyAlignment="1">
      <alignment horizontal="left" vertical="center"/>
    </xf>
    <xf numFmtId="0" fontId="22" fillId="2" borderId="3" xfId="0" applyFont="1" applyFill="1" applyBorder="1" applyAlignment="1">
      <alignment horizontal="left" wrapText="1"/>
    </xf>
    <xf numFmtId="0" fontId="22" fillId="2" borderId="4" xfId="0" applyFont="1" applyFill="1" applyBorder="1" applyAlignment="1">
      <alignment horizontal="left" wrapText="1"/>
    </xf>
    <xf numFmtId="0" fontId="22" fillId="2" borderId="2" xfId="0" applyFont="1" applyFill="1" applyBorder="1" applyAlignment="1">
      <alignment horizontal="left" wrapText="1"/>
    </xf>
    <xf numFmtId="0" fontId="22" fillId="2" borderId="1" xfId="0" applyFont="1" applyFill="1" applyBorder="1" applyAlignment="1">
      <alignment horizontal="left" wrapText="1"/>
    </xf>
    <xf numFmtId="0" fontId="41" fillId="2" borderId="0" xfId="0" applyFont="1" applyFill="1" applyAlignment="1">
      <alignment horizontal="center"/>
    </xf>
    <xf numFmtId="0" fontId="42" fillId="2" borderId="0" xfId="0" applyFont="1" applyFill="1"/>
    <xf numFmtId="0" fontId="40" fillId="2" borderId="0" xfId="0" applyFont="1" applyFill="1" applyAlignment="1">
      <alignment vertical="top"/>
    </xf>
    <xf numFmtId="0" fontId="43" fillId="2" borderId="0" xfId="0" applyFont="1" applyFill="1" applyAlignment="1">
      <alignment horizontal="center" vertical="center"/>
    </xf>
    <xf numFmtId="0" fontId="40" fillId="2" borderId="0" xfId="0" applyFont="1" applyFill="1" applyAlignment="1">
      <alignment horizontal="center" vertical="center"/>
    </xf>
    <xf numFmtId="0" fontId="43" fillId="2" borderId="0" xfId="0" applyFont="1" applyFill="1" applyAlignment="1">
      <alignment horizontal="center"/>
    </xf>
    <xf numFmtId="0" fontId="43" fillId="2" borderId="0" xfId="0" applyFont="1" applyFill="1" applyAlignment="1">
      <alignment horizontal="center" wrapText="1"/>
    </xf>
    <xf numFmtId="0" fontId="44" fillId="2" borderId="0" xfId="0" applyFont="1" applyFill="1" applyAlignment="1">
      <alignment horizontal="center" wrapText="1"/>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40</v>
      </c>
      <c r="F2" s="366"/>
      <c r="G2" s="366"/>
      <c r="H2" s="366"/>
      <c r="I2" s="2"/>
      <c r="J2" s="2"/>
      <c r="K2" s="2"/>
      <c r="L2" s="15"/>
      <c r="M2" s="15"/>
    </row>
    <row r="3" spans="1:13" ht="24" customHeight="1">
      <c r="C3" s="4" t="s">
        <v>43</v>
      </c>
      <c r="E3" s="17"/>
      <c r="F3" s="367"/>
      <c r="G3" s="367"/>
      <c r="H3" s="367"/>
      <c r="J3" s="15"/>
      <c r="K3" s="15"/>
      <c r="L3" s="15"/>
      <c r="M3" s="15"/>
    </row>
    <row r="4" spans="1:13" ht="30" customHeight="1">
      <c r="C4" s="4"/>
      <c r="E4" s="17"/>
      <c r="F4" s="16"/>
      <c r="G4" s="16"/>
      <c r="H4" s="16"/>
      <c r="J4" s="15"/>
      <c r="K4" s="15"/>
      <c r="L4" s="15"/>
      <c r="M4" s="15"/>
    </row>
    <row r="5" spans="1:13" ht="17.25" customHeight="1">
      <c r="A5" s="363" t="s">
        <v>7</v>
      </c>
      <c r="B5" s="363"/>
      <c r="C5" s="363"/>
      <c r="F5" s="368"/>
      <c r="G5" s="368"/>
      <c r="H5" s="368"/>
      <c r="I5" s="368"/>
      <c r="J5" s="368"/>
      <c r="K5" s="368"/>
      <c r="L5" s="368"/>
      <c r="M5" s="368"/>
    </row>
    <row r="6" spans="1:13" ht="17.25" customHeight="1">
      <c r="A6" s="363" t="s">
        <v>19</v>
      </c>
      <c r="B6" s="363"/>
      <c r="C6" s="363"/>
    </row>
    <row r="7" spans="1:13" ht="17.25" customHeight="1">
      <c r="A7" s="363" t="s">
        <v>14</v>
      </c>
      <c r="B7" s="363"/>
      <c r="C7" s="363"/>
    </row>
    <row r="8" spans="1:13" ht="22.5" customHeight="1"/>
    <row r="9" spans="1:13" ht="37.5" customHeight="1">
      <c r="A9" s="364" t="s">
        <v>6</v>
      </c>
      <c r="B9" s="371" t="s">
        <v>8</v>
      </c>
      <c r="C9" s="372"/>
    </row>
    <row r="10" spans="1:13" ht="37.5" customHeight="1">
      <c r="A10" s="365"/>
      <c r="B10" s="360" t="s">
        <v>9</v>
      </c>
      <c r="C10" s="361"/>
    </row>
    <row r="11" spans="1:13">
      <c r="A11" s="7">
        <v>1</v>
      </c>
      <c r="B11" s="369">
        <v>2</v>
      </c>
      <c r="C11" s="370"/>
    </row>
    <row r="12" spans="1:13" ht="49.5" customHeight="1">
      <c r="A12" s="20" t="s">
        <v>29</v>
      </c>
      <c r="B12" s="362" t="s">
        <v>10</v>
      </c>
      <c r="C12" s="362"/>
    </row>
    <row r="13" spans="1:13" ht="49.5" customHeight="1">
      <c r="A13" s="20" t="s">
        <v>30</v>
      </c>
      <c r="B13" s="362" t="s">
        <v>13</v>
      </c>
      <c r="C13" s="362"/>
    </row>
    <row r="14" spans="1:13" ht="49.5" customHeight="1">
      <c r="A14" s="20" t="s">
        <v>31</v>
      </c>
      <c r="B14" s="362" t="s">
        <v>11</v>
      </c>
      <c r="C14" s="362"/>
    </row>
    <row r="15" spans="1:13" ht="49.5" customHeight="1">
      <c r="A15" s="20" t="s">
        <v>32</v>
      </c>
      <c r="B15" s="362" t="s">
        <v>22</v>
      </c>
      <c r="C15" s="362"/>
    </row>
    <row r="16" spans="1:13" ht="49.5" customHeight="1">
      <c r="A16" s="20" t="s">
        <v>33</v>
      </c>
      <c r="B16" s="362" t="s">
        <v>21</v>
      </c>
      <c r="C16" s="362"/>
    </row>
    <row r="17" spans="1:11" ht="49.5" customHeight="1">
      <c r="A17" s="20" t="s">
        <v>34</v>
      </c>
      <c r="B17" s="359" t="s">
        <v>42</v>
      </c>
      <c r="C17" s="359"/>
    </row>
    <row r="18" spans="1:11" ht="55.5" customHeight="1">
      <c r="A18" s="20" t="s">
        <v>35</v>
      </c>
      <c r="B18" s="359" t="s">
        <v>41</v>
      </c>
      <c r="C18" s="359"/>
    </row>
    <row r="19" spans="1:11" ht="57" customHeight="1">
      <c r="A19" s="20" t="s">
        <v>36</v>
      </c>
      <c r="B19" s="362" t="s">
        <v>12</v>
      </c>
      <c r="C19" s="362"/>
    </row>
    <row r="20" spans="1:11" ht="41.25" customHeight="1">
      <c r="A20" s="20" t="s">
        <v>37</v>
      </c>
      <c r="B20" s="359" t="s">
        <v>23</v>
      </c>
      <c r="C20" s="359"/>
    </row>
    <row r="21" spans="1:11" ht="41.25" customHeight="1">
      <c r="A21" s="20" t="s">
        <v>38</v>
      </c>
      <c r="B21" s="359" t="s">
        <v>24</v>
      </c>
      <c r="C21" s="359"/>
    </row>
    <row r="22" spans="1:11" ht="41.25" customHeight="1">
      <c r="A22" s="20" t="s">
        <v>39</v>
      </c>
      <c r="B22" s="359" t="s">
        <v>25</v>
      </c>
      <c r="C22" s="359"/>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26</v>
      </c>
      <c r="B27" s="10"/>
      <c r="C27" s="9" t="s">
        <v>27</v>
      </c>
      <c r="D27" s="10"/>
      <c r="E27" s="12"/>
      <c r="F27" s="10"/>
      <c r="G27" s="13"/>
      <c r="H27" s="13"/>
      <c r="I27" s="13"/>
      <c r="J27" s="14"/>
      <c r="K27" s="13"/>
    </row>
    <row r="28" spans="1:11" ht="20.25" customHeight="1">
      <c r="A28" s="18" t="s">
        <v>28</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pageSetUpPr fitToPage="1"/>
  </sheetPr>
  <dimension ref="B1:I28"/>
  <sheetViews>
    <sheetView view="pageBreakPreview" zoomScale="50" zoomScaleSheetLayoutView="50" workbookViewId="0">
      <selection activeCell="D1" sqref="D1:I1"/>
    </sheetView>
  </sheetViews>
  <sheetFormatPr defaultRowHeight="18.75"/>
  <cols>
    <col min="1" max="1" width="9.140625" style="1"/>
    <col min="2" max="2" width="29.42578125" style="1" customWidth="1"/>
    <col min="3" max="3" width="38.85546875" style="1" customWidth="1"/>
    <col min="4" max="4" width="52.140625" style="1" customWidth="1"/>
    <col min="5" max="5" width="7.7109375" style="1" customWidth="1"/>
    <col min="6" max="6" width="1.7109375" style="1" customWidth="1"/>
    <col min="7" max="8" width="9.140625" style="1"/>
    <col min="9" max="9" width="1.7109375" style="1" customWidth="1"/>
    <col min="10" max="257" width="9.140625" style="1"/>
    <col min="258" max="258" width="32" style="1" customWidth="1"/>
    <col min="259" max="259" width="38.85546875" style="1" customWidth="1"/>
    <col min="260" max="260" width="52.140625" style="1" customWidth="1"/>
    <col min="261" max="513" width="9.140625" style="1"/>
    <col min="514" max="514" width="32" style="1" customWidth="1"/>
    <col min="515" max="515" width="38.85546875" style="1" customWidth="1"/>
    <col min="516" max="516" width="52.140625" style="1" customWidth="1"/>
    <col min="517" max="769" width="9.140625" style="1"/>
    <col min="770" max="770" width="32" style="1" customWidth="1"/>
    <col min="771" max="771" width="38.85546875" style="1" customWidth="1"/>
    <col min="772" max="772" width="52.140625" style="1" customWidth="1"/>
    <col min="773" max="1025" width="9.140625" style="1"/>
    <col min="1026" max="1026" width="32" style="1" customWidth="1"/>
    <col min="1027" max="1027" width="38.85546875" style="1" customWidth="1"/>
    <col min="1028" max="1028" width="52.140625" style="1" customWidth="1"/>
    <col min="1029" max="1281" width="9.140625" style="1"/>
    <col min="1282" max="1282" width="32" style="1" customWidth="1"/>
    <col min="1283" max="1283" width="38.85546875" style="1" customWidth="1"/>
    <col min="1284" max="1284" width="52.140625" style="1" customWidth="1"/>
    <col min="1285" max="1537" width="9.140625" style="1"/>
    <col min="1538" max="1538" width="32" style="1" customWidth="1"/>
    <col min="1539" max="1539" width="38.85546875" style="1" customWidth="1"/>
    <col min="1540" max="1540" width="52.140625" style="1" customWidth="1"/>
    <col min="1541" max="1793" width="9.140625" style="1"/>
    <col min="1794" max="1794" width="32" style="1" customWidth="1"/>
    <col min="1795" max="1795" width="38.85546875" style="1" customWidth="1"/>
    <col min="1796" max="1796" width="52.140625" style="1" customWidth="1"/>
    <col min="1797" max="2049" width="9.140625" style="1"/>
    <col min="2050" max="2050" width="32" style="1" customWidth="1"/>
    <col min="2051" max="2051" width="38.85546875" style="1" customWidth="1"/>
    <col min="2052" max="2052" width="52.140625" style="1" customWidth="1"/>
    <col min="2053" max="2305" width="9.140625" style="1"/>
    <col min="2306" max="2306" width="32" style="1" customWidth="1"/>
    <col min="2307" max="2307" width="38.85546875" style="1" customWidth="1"/>
    <col min="2308" max="2308" width="52.140625" style="1" customWidth="1"/>
    <col min="2309" max="2561" width="9.140625" style="1"/>
    <col min="2562" max="2562" width="32" style="1" customWidth="1"/>
    <col min="2563" max="2563" width="38.85546875" style="1" customWidth="1"/>
    <col min="2564" max="2564" width="52.140625" style="1" customWidth="1"/>
    <col min="2565" max="2817" width="9.140625" style="1"/>
    <col min="2818" max="2818" width="32" style="1" customWidth="1"/>
    <col min="2819" max="2819" width="38.85546875" style="1" customWidth="1"/>
    <col min="2820" max="2820" width="52.140625" style="1" customWidth="1"/>
    <col min="2821" max="3073" width="9.140625" style="1"/>
    <col min="3074" max="3074" width="32" style="1" customWidth="1"/>
    <col min="3075" max="3075" width="38.85546875" style="1" customWidth="1"/>
    <col min="3076" max="3076" width="52.140625" style="1" customWidth="1"/>
    <col min="3077" max="3329" width="9.140625" style="1"/>
    <col min="3330" max="3330" width="32" style="1" customWidth="1"/>
    <col min="3331" max="3331" width="38.85546875" style="1" customWidth="1"/>
    <col min="3332" max="3332" width="52.140625" style="1" customWidth="1"/>
    <col min="3333" max="3585" width="9.140625" style="1"/>
    <col min="3586" max="3586" width="32" style="1" customWidth="1"/>
    <col min="3587" max="3587" width="38.85546875" style="1" customWidth="1"/>
    <col min="3588" max="3588" width="52.140625" style="1" customWidth="1"/>
    <col min="3589" max="3841" width="9.140625" style="1"/>
    <col min="3842" max="3842" width="32" style="1" customWidth="1"/>
    <col min="3843" max="3843" width="38.85546875" style="1" customWidth="1"/>
    <col min="3844" max="3844" width="52.140625" style="1" customWidth="1"/>
    <col min="3845" max="4097" width="9.140625" style="1"/>
    <col min="4098" max="4098" width="32" style="1" customWidth="1"/>
    <col min="4099" max="4099" width="38.85546875" style="1" customWidth="1"/>
    <col min="4100" max="4100" width="52.140625" style="1" customWidth="1"/>
    <col min="4101" max="4353" width="9.140625" style="1"/>
    <col min="4354" max="4354" width="32" style="1" customWidth="1"/>
    <col min="4355" max="4355" width="38.85546875" style="1" customWidth="1"/>
    <col min="4356" max="4356" width="52.140625" style="1" customWidth="1"/>
    <col min="4357" max="4609" width="9.140625" style="1"/>
    <col min="4610" max="4610" width="32" style="1" customWidth="1"/>
    <col min="4611" max="4611" width="38.85546875" style="1" customWidth="1"/>
    <col min="4612" max="4612" width="52.140625" style="1" customWidth="1"/>
    <col min="4613" max="4865" width="9.140625" style="1"/>
    <col min="4866" max="4866" width="32" style="1" customWidth="1"/>
    <col min="4867" max="4867" width="38.85546875" style="1" customWidth="1"/>
    <col min="4868" max="4868" width="52.140625" style="1" customWidth="1"/>
    <col min="4869" max="5121" width="9.140625" style="1"/>
    <col min="5122" max="5122" width="32" style="1" customWidth="1"/>
    <col min="5123" max="5123" width="38.85546875" style="1" customWidth="1"/>
    <col min="5124" max="5124" width="52.140625" style="1" customWidth="1"/>
    <col min="5125" max="5377" width="9.140625" style="1"/>
    <col min="5378" max="5378" width="32" style="1" customWidth="1"/>
    <col min="5379" max="5379" width="38.85546875" style="1" customWidth="1"/>
    <col min="5380" max="5380" width="52.140625" style="1" customWidth="1"/>
    <col min="5381" max="5633" width="9.140625" style="1"/>
    <col min="5634" max="5634" width="32" style="1" customWidth="1"/>
    <col min="5635" max="5635" width="38.85546875" style="1" customWidth="1"/>
    <col min="5636" max="5636" width="52.140625" style="1" customWidth="1"/>
    <col min="5637" max="5889" width="9.140625" style="1"/>
    <col min="5890" max="5890" width="32" style="1" customWidth="1"/>
    <col min="5891" max="5891" width="38.85546875" style="1" customWidth="1"/>
    <col min="5892" max="5892" width="52.140625" style="1" customWidth="1"/>
    <col min="5893" max="6145" width="9.140625" style="1"/>
    <col min="6146" max="6146" width="32" style="1" customWidth="1"/>
    <col min="6147" max="6147" width="38.85546875" style="1" customWidth="1"/>
    <col min="6148" max="6148" width="52.140625" style="1" customWidth="1"/>
    <col min="6149" max="6401" width="9.140625" style="1"/>
    <col min="6402" max="6402" width="32" style="1" customWidth="1"/>
    <col min="6403" max="6403" width="38.85546875" style="1" customWidth="1"/>
    <col min="6404" max="6404" width="52.140625" style="1" customWidth="1"/>
    <col min="6405" max="6657" width="9.140625" style="1"/>
    <col min="6658" max="6658" width="32" style="1" customWidth="1"/>
    <col min="6659" max="6659" width="38.85546875" style="1" customWidth="1"/>
    <col min="6660" max="6660" width="52.140625" style="1" customWidth="1"/>
    <col min="6661" max="6913" width="9.140625" style="1"/>
    <col min="6914" max="6914" width="32" style="1" customWidth="1"/>
    <col min="6915" max="6915" width="38.85546875" style="1" customWidth="1"/>
    <col min="6916" max="6916" width="52.140625" style="1" customWidth="1"/>
    <col min="6917" max="7169" width="9.140625" style="1"/>
    <col min="7170" max="7170" width="32" style="1" customWidth="1"/>
    <col min="7171" max="7171" width="38.85546875" style="1" customWidth="1"/>
    <col min="7172" max="7172" width="52.140625" style="1" customWidth="1"/>
    <col min="7173" max="7425" width="9.140625" style="1"/>
    <col min="7426" max="7426" width="32" style="1" customWidth="1"/>
    <col min="7427" max="7427" width="38.85546875" style="1" customWidth="1"/>
    <col min="7428" max="7428" width="52.140625" style="1" customWidth="1"/>
    <col min="7429" max="7681" width="9.140625" style="1"/>
    <col min="7682" max="7682" width="32" style="1" customWidth="1"/>
    <col min="7683" max="7683" width="38.85546875" style="1" customWidth="1"/>
    <col min="7684" max="7684" width="52.140625" style="1" customWidth="1"/>
    <col min="7685" max="7937" width="9.140625" style="1"/>
    <col min="7938" max="7938" width="32" style="1" customWidth="1"/>
    <col min="7939" max="7939" width="38.85546875" style="1" customWidth="1"/>
    <col min="7940" max="7940" width="52.140625" style="1" customWidth="1"/>
    <col min="7941" max="8193" width="9.140625" style="1"/>
    <col min="8194" max="8194" width="32" style="1" customWidth="1"/>
    <col min="8195" max="8195" width="38.85546875" style="1" customWidth="1"/>
    <col min="8196" max="8196" width="52.140625" style="1" customWidth="1"/>
    <col min="8197" max="8449" width="9.140625" style="1"/>
    <col min="8450" max="8450" width="32" style="1" customWidth="1"/>
    <col min="8451" max="8451" width="38.85546875" style="1" customWidth="1"/>
    <col min="8452" max="8452" width="52.140625" style="1" customWidth="1"/>
    <col min="8453" max="8705" width="9.140625" style="1"/>
    <col min="8706" max="8706" width="32" style="1" customWidth="1"/>
    <col min="8707" max="8707" width="38.85546875" style="1" customWidth="1"/>
    <col min="8708" max="8708" width="52.140625" style="1" customWidth="1"/>
    <col min="8709" max="8961" width="9.140625" style="1"/>
    <col min="8962" max="8962" width="32" style="1" customWidth="1"/>
    <col min="8963" max="8963" width="38.85546875" style="1" customWidth="1"/>
    <col min="8964" max="8964" width="52.140625" style="1" customWidth="1"/>
    <col min="8965" max="9217" width="9.140625" style="1"/>
    <col min="9218" max="9218" width="32" style="1" customWidth="1"/>
    <col min="9219" max="9219" width="38.85546875" style="1" customWidth="1"/>
    <col min="9220" max="9220" width="52.140625" style="1" customWidth="1"/>
    <col min="9221" max="9473" width="9.140625" style="1"/>
    <col min="9474" max="9474" width="32" style="1" customWidth="1"/>
    <col min="9475" max="9475" width="38.85546875" style="1" customWidth="1"/>
    <col min="9476" max="9476" width="52.140625" style="1" customWidth="1"/>
    <col min="9477" max="9729" width="9.140625" style="1"/>
    <col min="9730" max="9730" width="32" style="1" customWidth="1"/>
    <col min="9731" max="9731" width="38.85546875" style="1" customWidth="1"/>
    <col min="9732" max="9732" width="52.140625" style="1" customWidth="1"/>
    <col min="9733" max="9985" width="9.140625" style="1"/>
    <col min="9986" max="9986" width="32" style="1" customWidth="1"/>
    <col min="9987" max="9987" width="38.85546875" style="1" customWidth="1"/>
    <col min="9988" max="9988" width="52.140625" style="1" customWidth="1"/>
    <col min="9989" max="10241" width="9.140625" style="1"/>
    <col min="10242" max="10242" width="32" style="1" customWidth="1"/>
    <col min="10243" max="10243" width="38.85546875" style="1" customWidth="1"/>
    <col min="10244" max="10244" width="52.140625" style="1" customWidth="1"/>
    <col min="10245" max="10497" width="9.140625" style="1"/>
    <col min="10498" max="10498" width="32" style="1" customWidth="1"/>
    <col min="10499" max="10499" width="38.85546875" style="1" customWidth="1"/>
    <col min="10500" max="10500" width="52.140625" style="1" customWidth="1"/>
    <col min="10501" max="10753" width="9.140625" style="1"/>
    <col min="10754" max="10754" width="32" style="1" customWidth="1"/>
    <col min="10755" max="10755" width="38.85546875" style="1" customWidth="1"/>
    <col min="10756" max="10756" width="52.140625" style="1" customWidth="1"/>
    <col min="10757" max="11009" width="9.140625" style="1"/>
    <col min="11010" max="11010" width="32" style="1" customWidth="1"/>
    <col min="11011" max="11011" width="38.85546875" style="1" customWidth="1"/>
    <col min="11012" max="11012" width="52.140625" style="1" customWidth="1"/>
    <col min="11013" max="11265" width="9.140625" style="1"/>
    <col min="11266" max="11266" width="32" style="1" customWidth="1"/>
    <col min="11267" max="11267" width="38.85546875" style="1" customWidth="1"/>
    <col min="11268" max="11268" width="52.140625" style="1" customWidth="1"/>
    <col min="11269" max="11521" width="9.140625" style="1"/>
    <col min="11522" max="11522" width="32" style="1" customWidth="1"/>
    <col min="11523" max="11523" width="38.85546875" style="1" customWidth="1"/>
    <col min="11524" max="11524" width="52.140625" style="1" customWidth="1"/>
    <col min="11525" max="11777" width="9.140625" style="1"/>
    <col min="11778" max="11778" width="32" style="1" customWidth="1"/>
    <col min="11779" max="11779" width="38.85546875" style="1" customWidth="1"/>
    <col min="11780" max="11780" width="52.140625" style="1" customWidth="1"/>
    <col min="11781" max="12033" width="9.140625" style="1"/>
    <col min="12034" max="12034" width="32" style="1" customWidth="1"/>
    <col min="12035" max="12035" width="38.85546875" style="1" customWidth="1"/>
    <col min="12036" max="12036" width="52.140625" style="1" customWidth="1"/>
    <col min="12037" max="12289" width="9.140625" style="1"/>
    <col min="12290" max="12290" width="32" style="1" customWidth="1"/>
    <col min="12291" max="12291" width="38.85546875" style="1" customWidth="1"/>
    <col min="12292" max="12292" width="52.140625" style="1" customWidth="1"/>
    <col min="12293" max="12545" width="9.140625" style="1"/>
    <col min="12546" max="12546" width="32" style="1" customWidth="1"/>
    <col min="12547" max="12547" width="38.85546875" style="1" customWidth="1"/>
    <col min="12548" max="12548" width="52.140625" style="1" customWidth="1"/>
    <col min="12549" max="12801" width="9.140625" style="1"/>
    <col min="12802" max="12802" width="32" style="1" customWidth="1"/>
    <col min="12803" max="12803" width="38.85546875" style="1" customWidth="1"/>
    <col min="12804" max="12804" width="52.140625" style="1" customWidth="1"/>
    <col min="12805" max="13057" width="9.140625" style="1"/>
    <col min="13058" max="13058" width="32" style="1" customWidth="1"/>
    <col min="13059" max="13059" width="38.85546875" style="1" customWidth="1"/>
    <col min="13060" max="13060" width="52.140625" style="1" customWidth="1"/>
    <col min="13061" max="13313" width="9.140625" style="1"/>
    <col min="13314" max="13314" width="32" style="1" customWidth="1"/>
    <col min="13315" max="13315" width="38.85546875" style="1" customWidth="1"/>
    <col min="13316" max="13316" width="52.140625" style="1" customWidth="1"/>
    <col min="13317" max="13569" width="9.140625" style="1"/>
    <col min="13570" max="13570" width="32" style="1" customWidth="1"/>
    <col min="13571" max="13571" width="38.85546875" style="1" customWidth="1"/>
    <col min="13572" max="13572" width="52.140625" style="1" customWidth="1"/>
    <col min="13573" max="13825" width="9.140625" style="1"/>
    <col min="13826" max="13826" width="32" style="1" customWidth="1"/>
    <col min="13827" max="13827" width="38.85546875" style="1" customWidth="1"/>
    <col min="13828" max="13828" width="52.140625" style="1" customWidth="1"/>
    <col min="13829" max="14081" width="9.140625" style="1"/>
    <col min="14082" max="14082" width="32" style="1" customWidth="1"/>
    <col min="14083" max="14083" width="38.85546875" style="1" customWidth="1"/>
    <col min="14084" max="14084" width="52.140625" style="1" customWidth="1"/>
    <col min="14085" max="14337" width="9.140625" style="1"/>
    <col min="14338" max="14338" width="32" style="1" customWidth="1"/>
    <col min="14339" max="14339" width="38.85546875" style="1" customWidth="1"/>
    <col min="14340" max="14340" width="52.140625" style="1" customWidth="1"/>
    <col min="14341" max="14593" width="9.140625" style="1"/>
    <col min="14594" max="14594" width="32" style="1" customWidth="1"/>
    <col min="14595" max="14595" width="38.85546875" style="1" customWidth="1"/>
    <col min="14596" max="14596" width="52.140625" style="1" customWidth="1"/>
    <col min="14597" max="14849" width="9.140625" style="1"/>
    <col min="14850" max="14850" width="32" style="1" customWidth="1"/>
    <col min="14851" max="14851" width="38.85546875" style="1" customWidth="1"/>
    <col min="14852" max="14852" width="52.140625" style="1" customWidth="1"/>
    <col min="14853" max="15105" width="9.140625" style="1"/>
    <col min="15106" max="15106" width="32" style="1" customWidth="1"/>
    <col min="15107" max="15107" width="38.85546875" style="1" customWidth="1"/>
    <col min="15108" max="15108" width="52.140625" style="1" customWidth="1"/>
    <col min="15109" max="15361" width="9.140625" style="1"/>
    <col min="15362" max="15362" width="32" style="1" customWidth="1"/>
    <col min="15363" max="15363" width="38.85546875" style="1" customWidth="1"/>
    <col min="15364" max="15364" width="52.140625" style="1" customWidth="1"/>
    <col min="15365" max="15617" width="9.140625" style="1"/>
    <col min="15618" max="15618" width="32" style="1" customWidth="1"/>
    <col min="15619" max="15619" width="38.85546875" style="1" customWidth="1"/>
    <col min="15620" max="15620" width="52.140625" style="1" customWidth="1"/>
    <col min="15621" max="15873" width="9.140625" style="1"/>
    <col min="15874" max="15874" width="32" style="1" customWidth="1"/>
    <col min="15875" max="15875" width="38.85546875" style="1" customWidth="1"/>
    <col min="15876" max="15876" width="52.140625" style="1" customWidth="1"/>
    <col min="15877" max="16129" width="9.140625" style="1"/>
    <col min="16130" max="16130" width="32" style="1" customWidth="1"/>
    <col min="16131" max="16131" width="38.85546875" style="1" customWidth="1"/>
    <col min="16132" max="16132" width="52.140625" style="1" customWidth="1"/>
    <col min="16133" max="16384" width="9.140625" style="1"/>
  </cols>
  <sheetData>
    <row r="1" spans="2:9" ht="268.5" customHeight="1">
      <c r="D1" s="373" t="s">
        <v>502</v>
      </c>
      <c r="E1" s="373"/>
      <c r="F1" s="373"/>
      <c r="G1" s="373"/>
      <c r="H1" s="373"/>
      <c r="I1" s="373"/>
    </row>
    <row r="2" spans="2:9" ht="15.75" customHeight="1">
      <c r="D2" s="4"/>
    </row>
    <row r="3" spans="2:9" ht="25.5">
      <c r="B3" s="374" t="s">
        <v>7</v>
      </c>
      <c r="C3" s="374"/>
      <c r="D3" s="374"/>
    </row>
    <row r="4" spans="2:9" ht="49.5" customHeight="1">
      <c r="B4" s="375" t="s">
        <v>413</v>
      </c>
      <c r="C4" s="375"/>
      <c r="D4" s="375"/>
    </row>
    <row r="5" spans="2:9" ht="17.25" customHeight="1"/>
    <row r="6" spans="2:9" ht="66" customHeight="1">
      <c r="B6" s="376" t="s">
        <v>6</v>
      </c>
      <c r="C6" s="377" t="s">
        <v>8</v>
      </c>
      <c r="D6" s="378"/>
    </row>
    <row r="7" spans="2:9" ht="87" customHeight="1">
      <c r="B7" s="376"/>
      <c r="C7" s="379" t="s">
        <v>9</v>
      </c>
      <c r="D7" s="380"/>
    </row>
    <row r="8" spans="2:9">
      <c r="B8" s="7">
        <v>1</v>
      </c>
      <c r="C8" s="381">
        <v>2</v>
      </c>
      <c r="D8" s="381"/>
    </row>
    <row r="9" spans="2:9" ht="45" customHeight="1">
      <c r="B9" s="21" t="s">
        <v>29</v>
      </c>
      <c r="C9" s="362" t="s">
        <v>463</v>
      </c>
      <c r="D9" s="362"/>
    </row>
    <row r="10" spans="2:9" ht="45" customHeight="1">
      <c r="B10" s="21" t="s">
        <v>402</v>
      </c>
      <c r="C10" s="362" t="s">
        <v>464</v>
      </c>
      <c r="D10" s="362"/>
    </row>
    <row r="11" spans="2:9" ht="43.5" customHeight="1">
      <c r="B11" s="21" t="s">
        <v>30</v>
      </c>
      <c r="C11" s="362" t="s">
        <v>465</v>
      </c>
      <c r="D11" s="362"/>
    </row>
    <row r="12" spans="2:9" ht="42.75" customHeight="1">
      <c r="B12" s="22" t="s">
        <v>31</v>
      </c>
      <c r="C12" s="362" t="s">
        <v>466</v>
      </c>
      <c r="D12" s="362"/>
    </row>
    <row r="13" spans="2:9" ht="41.25" customHeight="1">
      <c r="B13" s="22" t="s">
        <v>206</v>
      </c>
      <c r="C13" s="362" t="s">
        <v>467</v>
      </c>
      <c r="D13" s="362"/>
    </row>
    <row r="14" spans="2:9" ht="39.75" customHeight="1">
      <c r="B14" s="22" t="s">
        <v>32</v>
      </c>
      <c r="C14" s="362" t="s">
        <v>468</v>
      </c>
      <c r="D14" s="362"/>
    </row>
    <row r="15" spans="2:9" ht="42.75" customHeight="1">
      <c r="B15" s="22" t="s">
        <v>33</v>
      </c>
      <c r="C15" s="362" t="s">
        <v>469</v>
      </c>
      <c r="D15" s="362"/>
    </row>
    <row r="16" spans="2:9" ht="42" customHeight="1">
      <c r="B16" s="22" t="s">
        <v>207</v>
      </c>
      <c r="C16" s="359" t="s">
        <v>470</v>
      </c>
      <c r="D16" s="359"/>
    </row>
    <row r="17" spans="2:9" ht="42.75" customHeight="1">
      <c r="B17" s="22" t="s">
        <v>34</v>
      </c>
      <c r="C17" s="359" t="s">
        <v>471</v>
      </c>
      <c r="D17" s="359"/>
    </row>
    <row r="18" spans="2:9" ht="64.5" customHeight="1">
      <c r="B18" s="22" t="s">
        <v>36</v>
      </c>
      <c r="C18" s="362" t="s">
        <v>472</v>
      </c>
      <c r="D18" s="362"/>
    </row>
    <row r="19" spans="2:9" ht="42.75" customHeight="1">
      <c r="B19" s="90" t="s">
        <v>183</v>
      </c>
      <c r="C19" s="362" t="s">
        <v>473</v>
      </c>
      <c r="D19" s="362"/>
    </row>
    <row r="20" spans="2:9" ht="64.5" customHeight="1">
      <c r="B20" s="90" t="s">
        <v>68</v>
      </c>
      <c r="C20" s="362" t="s">
        <v>474</v>
      </c>
      <c r="D20" s="362"/>
    </row>
    <row r="21" spans="2:9" ht="63.75" customHeight="1">
      <c r="B21" s="90" t="s">
        <v>37</v>
      </c>
      <c r="C21" s="362" t="s">
        <v>475</v>
      </c>
      <c r="D21" s="362"/>
    </row>
    <row r="22" spans="2:9" ht="44.25" customHeight="1">
      <c r="B22" s="90" t="s">
        <v>400</v>
      </c>
      <c r="C22" s="362" t="s">
        <v>476</v>
      </c>
      <c r="D22" s="362"/>
    </row>
    <row r="23" spans="2:9" ht="9.75" customHeight="1"/>
    <row r="24" spans="2:9" ht="24" customHeight="1">
      <c r="B24" s="86" t="s">
        <v>500</v>
      </c>
      <c r="C24" s="87"/>
      <c r="D24" s="88" t="s">
        <v>501</v>
      </c>
      <c r="E24" s="3"/>
      <c r="G24" s="4"/>
      <c r="I24" s="6"/>
    </row>
    <row r="25" spans="2:9" ht="21" customHeight="1">
      <c r="C25"/>
      <c r="D25" s="23"/>
      <c r="E25" s="3"/>
      <c r="G25" s="4"/>
      <c r="I25" s="6"/>
    </row>
    <row r="26" spans="2:9" ht="20.25" customHeight="1">
      <c r="B26" s="89" t="s">
        <v>28</v>
      </c>
      <c r="C26" s="83"/>
      <c r="D26" s="5"/>
      <c r="E26" s="3"/>
      <c r="G26" s="4"/>
      <c r="I26" s="6"/>
    </row>
    <row r="27" spans="2:9" ht="20.25" customHeight="1">
      <c r="B27" s="89"/>
      <c r="C27" s="83"/>
      <c r="D27" s="5"/>
      <c r="E27" s="3"/>
      <c r="G27" s="4"/>
      <c r="I27" s="6"/>
    </row>
    <row r="28" spans="2:9" ht="20.25">
      <c r="B28" s="82"/>
      <c r="C28" s="82"/>
    </row>
  </sheetData>
  <mergeCells count="21">
    <mergeCell ref="D1:I1"/>
    <mergeCell ref="C16:D16"/>
    <mergeCell ref="C17:D17"/>
    <mergeCell ref="C18:D18"/>
    <mergeCell ref="C19:D19"/>
    <mergeCell ref="B3:D3"/>
    <mergeCell ref="B4:D4"/>
    <mergeCell ref="B6:B7"/>
    <mergeCell ref="C6:D6"/>
    <mergeCell ref="C7:D7"/>
    <mergeCell ref="C8:D8"/>
    <mergeCell ref="C9:D9"/>
    <mergeCell ref="C11:D11"/>
    <mergeCell ref="C12:D12"/>
    <mergeCell ref="C13:D13"/>
    <mergeCell ref="C10:D10"/>
    <mergeCell ref="C22:D22"/>
    <mergeCell ref="C20:D20"/>
    <mergeCell ref="C21:D21"/>
    <mergeCell ref="C15:D15"/>
    <mergeCell ref="C14:D14"/>
  </mergeCells>
  <pageMargins left="1.1811023622047245" right="0.42913385826771655" top="0.78740157480314965" bottom="0.78740157480314965"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sheetPr filterMode="1">
    <tabColor rgb="FF92D050"/>
  </sheetPr>
  <dimension ref="A1:L450"/>
  <sheetViews>
    <sheetView view="pageBreakPreview" zoomScale="36" zoomScaleSheetLayoutView="36" workbookViewId="0">
      <selection activeCell="A5" sqref="A5:L5"/>
    </sheetView>
  </sheetViews>
  <sheetFormatPr defaultColWidth="9.140625" defaultRowHeight="75" customHeight="1"/>
  <cols>
    <col min="1" max="1" width="8.42578125" style="124" customWidth="1"/>
    <col min="2" max="2" width="38.85546875" style="8" customWidth="1"/>
    <col min="3" max="3" width="51.28515625" style="32" customWidth="1"/>
    <col min="4" max="4" width="18.28515625" style="125" customWidth="1"/>
    <col min="5" max="5" width="69.42578125" style="126" customWidth="1"/>
    <col min="6" max="6" width="22.7109375" style="127" customWidth="1"/>
    <col min="7" max="7" width="43" style="129" customWidth="1"/>
    <col min="8" max="8" width="32.28515625" style="109" customWidth="1"/>
    <col min="9" max="9" width="25.140625" style="109" customWidth="1"/>
    <col min="10" max="10" width="21.7109375" style="109" customWidth="1"/>
    <col min="11" max="11" width="22.140625" style="109" customWidth="1"/>
    <col min="12" max="12" width="75.85546875" style="133" customWidth="1"/>
    <col min="13" max="16384" width="9.140625" style="8"/>
  </cols>
  <sheetData>
    <row r="1" spans="1:12" ht="33" customHeight="1">
      <c r="G1" s="128"/>
      <c r="H1" s="108"/>
      <c r="I1" s="108"/>
      <c r="J1" s="108"/>
      <c r="K1" s="108"/>
      <c r="L1" s="30"/>
    </row>
    <row r="2" spans="1:12" ht="218.25" customHeight="1">
      <c r="L2" s="130" t="s">
        <v>434</v>
      </c>
    </row>
    <row r="3" spans="1:12" s="697" customFormat="1" ht="28.5" customHeight="1">
      <c r="A3" s="696"/>
      <c r="C3" s="698"/>
      <c r="D3" s="699"/>
      <c r="E3" s="700"/>
      <c r="F3" s="701"/>
      <c r="G3" s="702"/>
      <c r="H3" s="703"/>
      <c r="I3" s="703"/>
      <c r="J3" s="703"/>
      <c r="K3" s="703"/>
      <c r="L3" s="132" t="s">
        <v>503</v>
      </c>
    </row>
    <row r="4" spans="1:12" ht="75" customHeight="1">
      <c r="A4" s="131"/>
    </row>
    <row r="5" spans="1:12" ht="75" customHeight="1">
      <c r="A5" s="522" t="s">
        <v>414</v>
      </c>
      <c r="B5" s="522"/>
      <c r="C5" s="522"/>
      <c r="D5" s="522"/>
      <c r="E5" s="522"/>
      <c r="F5" s="522"/>
      <c r="G5" s="522"/>
      <c r="H5" s="522"/>
      <c r="I5" s="522"/>
      <c r="J5" s="522"/>
      <c r="K5" s="522"/>
      <c r="L5" s="522"/>
    </row>
    <row r="6" spans="1:12" ht="75" customHeight="1">
      <c r="H6" s="134" t="s">
        <v>20</v>
      </c>
      <c r="I6" s="135" t="e">
        <f>#REF!+#REF!+#REF!+#REF!</f>
        <v>#REF!</v>
      </c>
    </row>
    <row r="7" spans="1:12" ht="75" customHeight="1">
      <c r="A7" s="523" t="s">
        <v>1</v>
      </c>
      <c r="B7" s="524" t="s">
        <v>2</v>
      </c>
      <c r="C7" s="524" t="s">
        <v>3</v>
      </c>
      <c r="D7" s="523" t="s">
        <v>50</v>
      </c>
      <c r="E7" s="525" t="s">
        <v>48</v>
      </c>
      <c r="F7" s="528" t="s">
        <v>45</v>
      </c>
      <c r="G7" s="524" t="s">
        <v>4</v>
      </c>
      <c r="H7" s="529" t="s">
        <v>15</v>
      </c>
      <c r="I7" s="530"/>
      <c r="J7" s="530"/>
      <c r="K7" s="531"/>
      <c r="L7" s="524" t="s">
        <v>5</v>
      </c>
    </row>
    <row r="8" spans="1:12" ht="75" customHeight="1">
      <c r="A8" s="523"/>
      <c r="B8" s="524"/>
      <c r="C8" s="524"/>
      <c r="D8" s="523"/>
      <c r="E8" s="526"/>
      <c r="F8" s="528"/>
      <c r="G8" s="524"/>
      <c r="H8" s="524" t="s">
        <v>85</v>
      </c>
      <c r="I8" s="532" t="s">
        <v>16</v>
      </c>
      <c r="J8" s="532"/>
      <c r="K8" s="532"/>
      <c r="L8" s="524"/>
    </row>
    <row r="9" spans="1:12" s="136" customFormat="1" ht="75" customHeight="1">
      <c r="A9" s="523"/>
      <c r="B9" s="524"/>
      <c r="C9" s="524"/>
      <c r="D9" s="523"/>
      <c r="E9" s="527"/>
      <c r="F9" s="528"/>
      <c r="G9" s="524"/>
      <c r="H9" s="524"/>
      <c r="I9" s="343" t="s">
        <v>44</v>
      </c>
      <c r="J9" s="343" t="s">
        <v>459</v>
      </c>
      <c r="K9" s="343" t="s">
        <v>49</v>
      </c>
      <c r="L9" s="524"/>
    </row>
    <row r="10" spans="1:12" s="136" customFormat="1" ht="75" customHeight="1">
      <c r="A10" s="25">
        <v>1</v>
      </c>
      <c r="B10" s="25">
        <v>2</v>
      </c>
      <c r="C10" s="342">
        <v>3</v>
      </c>
      <c r="D10" s="344">
        <v>4</v>
      </c>
      <c r="E10" s="342">
        <v>5</v>
      </c>
      <c r="F10" s="344">
        <v>6</v>
      </c>
      <c r="G10" s="344">
        <v>7</v>
      </c>
      <c r="H10" s="110">
        <v>8</v>
      </c>
      <c r="I10" s="110">
        <v>9</v>
      </c>
      <c r="J10" s="110">
        <v>10</v>
      </c>
      <c r="K10" s="110">
        <v>11</v>
      </c>
      <c r="L10" s="110">
        <v>12</v>
      </c>
    </row>
    <row r="11" spans="1:12" s="136" customFormat="1" ht="75" customHeight="1">
      <c r="A11" s="382" t="s">
        <v>266</v>
      </c>
      <c r="B11" s="383"/>
      <c r="C11" s="383"/>
      <c r="D11" s="383"/>
      <c r="E11" s="383"/>
      <c r="F11" s="383"/>
      <c r="G11" s="383"/>
      <c r="H11" s="383"/>
      <c r="I11" s="383"/>
      <c r="J11" s="383"/>
      <c r="K11" s="383"/>
      <c r="L11" s="384"/>
    </row>
    <row r="12" spans="1:12" s="10" customFormat="1" ht="75" customHeight="1">
      <c r="A12" s="572" t="s">
        <v>215</v>
      </c>
      <c r="B12" s="427" t="s">
        <v>208</v>
      </c>
      <c r="C12" s="535" t="s">
        <v>216</v>
      </c>
      <c r="D12" s="450" t="s">
        <v>329</v>
      </c>
      <c r="E12" s="451"/>
      <c r="F12" s="451"/>
      <c r="G12" s="452"/>
      <c r="H12" s="98">
        <f>H13+H14</f>
        <v>240</v>
      </c>
      <c r="I12" s="98">
        <f>I13+I14</f>
        <v>240</v>
      </c>
      <c r="J12" s="98">
        <f>J13+J14</f>
        <v>0</v>
      </c>
      <c r="K12" s="98">
        <f>K13+K14</f>
        <v>0</v>
      </c>
      <c r="L12" s="395" t="s">
        <v>260</v>
      </c>
    </row>
    <row r="13" spans="1:12" ht="75" customHeight="1">
      <c r="A13" s="572"/>
      <c r="B13" s="427"/>
      <c r="C13" s="535"/>
      <c r="D13" s="24" t="s">
        <v>36</v>
      </c>
      <c r="E13" s="322" t="s">
        <v>80</v>
      </c>
      <c r="F13" s="405" t="s">
        <v>460</v>
      </c>
      <c r="G13" s="405" t="s">
        <v>425</v>
      </c>
      <c r="H13" s="98">
        <f>I13+J13+K13</f>
        <v>60</v>
      </c>
      <c r="I13" s="99">
        <f>60</f>
        <v>60</v>
      </c>
      <c r="J13" s="99">
        <v>0</v>
      </c>
      <c r="K13" s="99">
        <v>0</v>
      </c>
      <c r="L13" s="396"/>
    </row>
    <row r="14" spans="1:12" ht="75" customHeight="1">
      <c r="A14" s="572"/>
      <c r="B14" s="427"/>
      <c r="C14" s="535"/>
      <c r="D14" s="24" t="s">
        <v>36</v>
      </c>
      <c r="E14" s="322" t="s">
        <v>81</v>
      </c>
      <c r="F14" s="405"/>
      <c r="G14" s="405"/>
      <c r="H14" s="98">
        <f>I14+J14+K14</f>
        <v>180</v>
      </c>
      <c r="I14" s="99">
        <f>150+30</f>
        <v>180</v>
      </c>
      <c r="J14" s="99">
        <v>0</v>
      </c>
      <c r="K14" s="99">
        <v>0</v>
      </c>
      <c r="L14" s="396"/>
    </row>
    <row r="15" spans="1:12" ht="75" customHeight="1">
      <c r="A15" s="572"/>
      <c r="B15" s="427"/>
      <c r="C15" s="535" t="s">
        <v>217</v>
      </c>
      <c r="D15" s="450" t="s">
        <v>337</v>
      </c>
      <c r="E15" s="451"/>
      <c r="F15" s="451"/>
      <c r="G15" s="452"/>
      <c r="H15" s="98">
        <f>H16+H17</f>
        <v>7016.41</v>
      </c>
      <c r="I15" s="98">
        <f>I16+I17</f>
        <v>1577.81</v>
      </c>
      <c r="J15" s="98">
        <f>J16+J17</f>
        <v>2614.6999999999998</v>
      </c>
      <c r="K15" s="98">
        <f>K16+K17</f>
        <v>2823.8999999999996</v>
      </c>
      <c r="L15" s="396"/>
    </row>
    <row r="16" spans="1:12" ht="75" customHeight="1">
      <c r="A16" s="572"/>
      <c r="B16" s="427"/>
      <c r="C16" s="535"/>
      <c r="D16" s="24" t="s">
        <v>36</v>
      </c>
      <c r="E16" s="322" t="s">
        <v>80</v>
      </c>
      <c r="F16" s="405" t="s">
        <v>460</v>
      </c>
      <c r="G16" s="405" t="s">
        <v>425</v>
      </c>
      <c r="H16" s="98">
        <f>I16+J16+K16</f>
        <v>3883.6000000000004</v>
      </c>
      <c r="I16" s="99">
        <v>919</v>
      </c>
      <c r="J16" s="99">
        <v>1425.3</v>
      </c>
      <c r="K16" s="99">
        <v>1539.3</v>
      </c>
      <c r="L16" s="396"/>
    </row>
    <row r="17" spans="1:12" ht="75" customHeight="1">
      <c r="A17" s="572"/>
      <c r="B17" s="427"/>
      <c r="C17" s="535"/>
      <c r="D17" s="24" t="s">
        <v>36</v>
      </c>
      <c r="E17" s="322" t="s">
        <v>81</v>
      </c>
      <c r="F17" s="405"/>
      <c r="G17" s="405"/>
      <c r="H17" s="98">
        <f>I17+J17+K17</f>
        <v>3132.81</v>
      </c>
      <c r="I17" s="99">
        <f>753.5-43.38-51.31</f>
        <v>658.81</v>
      </c>
      <c r="J17" s="99">
        <v>1189.4000000000001</v>
      </c>
      <c r="K17" s="99">
        <v>1284.5999999999999</v>
      </c>
      <c r="L17" s="397"/>
    </row>
    <row r="18" spans="1:12" ht="75" customHeight="1">
      <c r="A18" s="572"/>
      <c r="B18" s="427"/>
      <c r="C18" s="535" t="s">
        <v>218</v>
      </c>
      <c r="D18" s="450" t="s">
        <v>338</v>
      </c>
      <c r="E18" s="451"/>
      <c r="F18" s="451"/>
      <c r="G18" s="452"/>
      <c r="H18" s="103">
        <f>H19+H20</f>
        <v>3495.1</v>
      </c>
      <c r="I18" s="103">
        <f>I19+I20</f>
        <v>1081.8</v>
      </c>
      <c r="J18" s="103">
        <f>J19+J20</f>
        <v>1169.3</v>
      </c>
      <c r="K18" s="103">
        <f>K19+K20</f>
        <v>1244</v>
      </c>
      <c r="L18" s="394" t="s">
        <v>47</v>
      </c>
    </row>
    <row r="19" spans="1:12" ht="75" customHeight="1">
      <c r="A19" s="572"/>
      <c r="B19" s="427"/>
      <c r="C19" s="535"/>
      <c r="D19" s="24" t="s">
        <v>36</v>
      </c>
      <c r="E19" s="322" t="s">
        <v>80</v>
      </c>
      <c r="F19" s="405" t="s">
        <v>460</v>
      </c>
      <c r="G19" s="405" t="s">
        <v>425</v>
      </c>
      <c r="H19" s="98">
        <f t="shared" ref="H19:H26" si="0">I19+J19+K19</f>
        <v>1721.1</v>
      </c>
      <c r="I19" s="99">
        <v>532</v>
      </c>
      <c r="J19" s="99">
        <v>575.29999999999995</v>
      </c>
      <c r="K19" s="99">
        <v>613.79999999999995</v>
      </c>
      <c r="L19" s="394"/>
    </row>
    <row r="20" spans="1:12" ht="75" customHeight="1">
      <c r="A20" s="572"/>
      <c r="B20" s="427"/>
      <c r="C20" s="535"/>
      <c r="D20" s="24" t="s">
        <v>36</v>
      </c>
      <c r="E20" s="355" t="s">
        <v>81</v>
      </c>
      <c r="F20" s="405"/>
      <c r="G20" s="405"/>
      <c r="H20" s="98">
        <f t="shared" si="0"/>
        <v>1774</v>
      </c>
      <c r="I20" s="99">
        <v>549.79999999999995</v>
      </c>
      <c r="J20" s="99">
        <v>594</v>
      </c>
      <c r="K20" s="99">
        <v>630.20000000000005</v>
      </c>
      <c r="L20" s="394"/>
    </row>
    <row r="21" spans="1:12" ht="75" customHeight="1">
      <c r="A21" s="572"/>
      <c r="B21" s="427"/>
      <c r="C21" s="544" t="s">
        <v>424</v>
      </c>
      <c r="D21" s="450" t="s">
        <v>423</v>
      </c>
      <c r="E21" s="451"/>
      <c r="F21" s="451"/>
      <c r="G21" s="452"/>
      <c r="H21" s="98">
        <f t="shared" si="0"/>
        <v>1522</v>
      </c>
      <c r="I21" s="98">
        <f>I22+I23</f>
        <v>0</v>
      </c>
      <c r="J21" s="98">
        <f>J22+J23</f>
        <v>813.80000000000007</v>
      </c>
      <c r="K21" s="98">
        <f>K22+K23</f>
        <v>708.2</v>
      </c>
      <c r="L21" s="317"/>
    </row>
    <row r="22" spans="1:12" ht="75" customHeight="1">
      <c r="A22" s="572"/>
      <c r="B22" s="427"/>
      <c r="C22" s="544"/>
      <c r="D22" s="24" t="s">
        <v>36</v>
      </c>
      <c r="E22" s="322" t="s">
        <v>80</v>
      </c>
      <c r="F22" s="405" t="s">
        <v>460</v>
      </c>
      <c r="G22" s="405" t="s">
        <v>425</v>
      </c>
      <c r="H22" s="98">
        <f t="shared" si="0"/>
        <v>251.29999999999998</v>
      </c>
      <c r="I22" s="99"/>
      <c r="J22" s="99">
        <v>121.6</v>
      </c>
      <c r="K22" s="99">
        <v>129.69999999999999</v>
      </c>
      <c r="L22" s="317"/>
    </row>
    <row r="23" spans="1:12" ht="112.5" customHeight="1">
      <c r="A23" s="572"/>
      <c r="B23" s="427"/>
      <c r="C23" s="544"/>
      <c r="D23" s="24" t="s">
        <v>36</v>
      </c>
      <c r="E23" s="355" t="s">
        <v>81</v>
      </c>
      <c r="F23" s="405"/>
      <c r="G23" s="405"/>
      <c r="H23" s="98">
        <f t="shared" si="0"/>
        <v>1270.7</v>
      </c>
      <c r="I23" s="99"/>
      <c r="J23" s="99">
        <v>692.2</v>
      </c>
      <c r="K23" s="99">
        <v>578.5</v>
      </c>
      <c r="L23" s="322"/>
    </row>
    <row r="24" spans="1:12" ht="112.5" customHeight="1">
      <c r="A24" s="572"/>
      <c r="B24" s="427"/>
      <c r="C24" s="544" t="s">
        <v>458</v>
      </c>
      <c r="D24" s="534" t="s">
        <v>457</v>
      </c>
      <c r="E24" s="543"/>
      <c r="F24" s="543"/>
      <c r="G24" s="543"/>
      <c r="H24" s="98">
        <f t="shared" si="0"/>
        <v>101.3</v>
      </c>
      <c r="I24" s="99">
        <f>I25+I26</f>
        <v>0</v>
      </c>
      <c r="J24" s="98">
        <f>J25+J26</f>
        <v>101.3</v>
      </c>
      <c r="K24" s="99">
        <f t="shared" ref="K24" si="1">K25+K26</f>
        <v>0</v>
      </c>
      <c r="L24" s="317"/>
    </row>
    <row r="25" spans="1:12" ht="112.5" customHeight="1">
      <c r="A25" s="572"/>
      <c r="B25" s="427"/>
      <c r="C25" s="544"/>
      <c r="D25" s="24" t="s">
        <v>36</v>
      </c>
      <c r="E25" s="322" t="s">
        <v>80</v>
      </c>
      <c r="F25" s="405" t="s">
        <v>460</v>
      </c>
      <c r="G25" s="405" t="s">
        <v>425</v>
      </c>
      <c r="H25" s="98">
        <f t="shared" si="0"/>
        <v>48</v>
      </c>
      <c r="I25" s="105">
        <v>0</v>
      </c>
      <c r="J25" s="105">
        <v>48</v>
      </c>
      <c r="K25" s="105">
        <v>0</v>
      </c>
      <c r="L25" s="317"/>
    </row>
    <row r="26" spans="1:12" ht="112.5" customHeight="1">
      <c r="A26" s="572"/>
      <c r="B26" s="427"/>
      <c r="C26" s="544"/>
      <c r="D26" s="24" t="s">
        <v>36</v>
      </c>
      <c r="E26" s="355" t="s">
        <v>81</v>
      </c>
      <c r="F26" s="405"/>
      <c r="G26" s="405"/>
      <c r="H26" s="98">
        <f t="shared" si="0"/>
        <v>53.3</v>
      </c>
      <c r="I26" s="105">
        <v>0</v>
      </c>
      <c r="J26" s="105">
        <v>53.3</v>
      </c>
      <c r="K26" s="105">
        <v>0</v>
      </c>
      <c r="L26" s="317"/>
    </row>
    <row r="27" spans="1:12" s="136" customFormat="1" ht="75" customHeight="1">
      <c r="A27" s="536"/>
      <c r="B27" s="537"/>
      <c r="C27" s="537"/>
      <c r="D27" s="537"/>
      <c r="E27" s="540" t="s">
        <v>267</v>
      </c>
      <c r="F27" s="541"/>
      <c r="G27" s="542"/>
      <c r="H27" s="103">
        <f>H12+H15+H18+H21</f>
        <v>12273.51</v>
      </c>
      <c r="I27" s="103">
        <f t="shared" ref="I27:K29" si="2">I12+I15+I18+I21+I24</f>
        <v>2899.6099999999997</v>
      </c>
      <c r="J27" s="103">
        <f t="shared" si="2"/>
        <v>4699.1000000000004</v>
      </c>
      <c r="K27" s="103">
        <f t="shared" si="2"/>
        <v>4776.0999999999995</v>
      </c>
      <c r="L27" s="574"/>
    </row>
    <row r="28" spans="1:12" s="136" customFormat="1" ht="75" customHeight="1">
      <c r="A28" s="538"/>
      <c r="B28" s="539"/>
      <c r="C28" s="539"/>
      <c r="D28" s="539"/>
      <c r="E28" s="322" t="s">
        <v>80</v>
      </c>
      <c r="F28" s="405" t="s">
        <v>460</v>
      </c>
      <c r="G28" s="576" t="s">
        <v>425</v>
      </c>
      <c r="H28" s="103">
        <f>H13+H16+H19+H22</f>
        <v>5916.0000000000009</v>
      </c>
      <c r="I28" s="103">
        <f t="shared" si="2"/>
        <v>1511</v>
      </c>
      <c r="J28" s="103">
        <f t="shared" si="2"/>
        <v>2170.1999999999998</v>
      </c>
      <c r="K28" s="103">
        <f t="shared" si="2"/>
        <v>2282.7999999999997</v>
      </c>
      <c r="L28" s="575"/>
    </row>
    <row r="29" spans="1:12" s="136" customFormat="1" ht="75" customHeight="1">
      <c r="A29" s="538"/>
      <c r="B29" s="539"/>
      <c r="C29" s="539"/>
      <c r="D29" s="539"/>
      <c r="E29" s="356" t="s">
        <v>81</v>
      </c>
      <c r="F29" s="405"/>
      <c r="G29" s="577"/>
      <c r="H29" s="103">
        <f>H14+H17+H20+H23</f>
        <v>6357.5099999999993</v>
      </c>
      <c r="I29" s="103">
        <f t="shared" si="2"/>
        <v>1388.61</v>
      </c>
      <c r="J29" s="103">
        <f t="shared" si="2"/>
        <v>2528.9000000000005</v>
      </c>
      <c r="K29" s="103">
        <f t="shared" si="2"/>
        <v>2493.3000000000002</v>
      </c>
      <c r="L29" s="575"/>
    </row>
    <row r="30" spans="1:12" s="136" customFormat="1" ht="75" customHeight="1">
      <c r="A30" s="553" t="s">
        <v>221</v>
      </c>
      <c r="B30" s="439" t="s">
        <v>209</v>
      </c>
      <c r="C30" s="394" t="s">
        <v>219</v>
      </c>
      <c r="D30" s="450" t="s">
        <v>330</v>
      </c>
      <c r="E30" s="451"/>
      <c r="F30" s="451"/>
      <c r="G30" s="452"/>
      <c r="H30" s="103">
        <f>H31+H36+H37+H38</f>
        <v>73786.53</v>
      </c>
      <c r="I30" s="103">
        <f>I31+I36+I37+I38</f>
        <v>72386.53</v>
      </c>
      <c r="J30" s="103">
        <f>J31+J36+J37+J38</f>
        <v>1400</v>
      </c>
      <c r="K30" s="103">
        <f>K31+K36+K37+K38</f>
        <v>0</v>
      </c>
      <c r="L30" s="394" t="s">
        <v>331</v>
      </c>
    </row>
    <row r="31" spans="1:12" s="136" customFormat="1" ht="75" customHeight="1">
      <c r="A31" s="553"/>
      <c r="B31" s="547"/>
      <c r="C31" s="573"/>
      <c r="D31" s="139" t="s">
        <v>98</v>
      </c>
      <c r="E31" s="140"/>
      <c r="F31" s="140"/>
      <c r="G31" s="141"/>
      <c r="H31" s="103">
        <f>SUM(H32:H35)</f>
        <v>28222.03</v>
      </c>
      <c r="I31" s="103">
        <f>SUM(I32:I35)</f>
        <v>26822.03</v>
      </c>
      <c r="J31" s="103">
        <f>SUM(J32:J35)</f>
        <v>1400</v>
      </c>
      <c r="K31" s="103">
        <f>SUM(K32:K35)</f>
        <v>0</v>
      </c>
      <c r="L31" s="394"/>
    </row>
    <row r="32" spans="1:12" s="136" customFormat="1" ht="75" customHeight="1">
      <c r="A32" s="553"/>
      <c r="B32" s="547"/>
      <c r="C32" s="573"/>
      <c r="D32" s="24" t="s">
        <v>29</v>
      </c>
      <c r="E32" s="322" t="s">
        <v>82</v>
      </c>
      <c r="F32" s="406" t="s">
        <v>460</v>
      </c>
      <c r="G32" s="405" t="s">
        <v>425</v>
      </c>
      <c r="H32" s="99">
        <f t="shared" ref="H32:H37" si="3">I32+J32+K32</f>
        <v>7149.1299999999992</v>
      </c>
      <c r="I32" s="99">
        <f>8727.9-76-1021.1-481.67</f>
        <v>7149.1299999999992</v>
      </c>
      <c r="J32" s="99">
        <v>0</v>
      </c>
      <c r="K32" s="99">
        <v>0</v>
      </c>
      <c r="L32" s="394"/>
    </row>
    <row r="33" spans="1:12" s="136" customFormat="1" ht="75" customHeight="1">
      <c r="A33" s="553"/>
      <c r="B33" s="547"/>
      <c r="C33" s="573"/>
      <c r="D33" s="24" t="s">
        <v>29</v>
      </c>
      <c r="E33" s="322" t="s">
        <v>76</v>
      </c>
      <c r="F33" s="517"/>
      <c r="G33" s="516"/>
      <c r="H33" s="99">
        <f t="shared" si="3"/>
        <v>2664.9</v>
      </c>
      <c r="I33" s="99">
        <f>3419.9-800+45</f>
        <v>2664.9</v>
      </c>
      <c r="J33" s="99"/>
      <c r="K33" s="99">
        <v>0</v>
      </c>
      <c r="L33" s="394"/>
    </row>
    <row r="34" spans="1:12" s="136" customFormat="1" ht="75" customHeight="1">
      <c r="A34" s="553"/>
      <c r="B34" s="547"/>
      <c r="C34" s="573"/>
      <c r="D34" s="24" t="s">
        <v>29</v>
      </c>
      <c r="E34" s="322" t="s">
        <v>77</v>
      </c>
      <c r="F34" s="517"/>
      <c r="G34" s="516"/>
      <c r="H34" s="99">
        <f t="shared" si="3"/>
        <v>6691.2</v>
      </c>
      <c r="I34" s="99">
        <f>7232.7-41.5-500</f>
        <v>6691.2</v>
      </c>
      <c r="J34" s="99"/>
      <c r="K34" s="99">
        <v>0</v>
      </c>
      <c r="L34" s="394"/>
    </row>
    <row r="35" spans="1:12" s="136" customFormat="1" ht="75" customHeight="1">
      <c r="A35" s="553"/>
      <c r="B35" s="547"/>
      <c r="C35" s="573"/>
      <c r="D35" s="24" t="s">
        <v>29</v>
      </c>
      <c r="E35" s="322" t="s">
        <v>75</v>
      </c>
      <c r="F35" s="517"/>
      <c r="G35" s="516"/>
      <c r="H35" s="99">
        <f t="shared" si="3"/>
        <v>11716.8</v>
      </c>
      <c r="I35" s="99">
        <v>10316.799999999999</v>
      </c>
      <c r="J35" s="99">
        <f>1000+400</f>
        <v>1400</v>
      </c>
      <c r="K35" s="99">
        <v>0</v>
      </c>
      <c r="L35" s="394"/>
    </row>
    <row r="36" spans="1:12" s="136" customFormat="1" ht="170.25" customHeight="1">
      <c r="A36" s="553"/>
      <c r="B36" s="547"/>
      <c r="C36" s="573"/>
      <c r="D36" s="24" t="s">
        <v>29</v>
      </c>
      <c r="E36" s="322" t="s">
        <v>82</v>
      </c>
      <c r="F36" s="517"/>
      <c r="G36" s="331" t="s">
        <v>99</v>
      </c>
      <c r="H36" s="98">
        <f>I36+J36+K36</f>
        <v>144.6</v>
      </c>
      <c r="I36" s="98">
        <v>144.6</v>
      </c>
      <c r="J36" s="98">
        <v>0</v>
      </c>
      <c r="K36" s="98">
        <v>0</v>
      </c>
      <c r="L36" s="394"/>
    </row>
    <row r="37" spans="1:12" s="136" customFormat="1" ht="87.75" customHeight="1">
      <c r="A37" s="553"/>
      <c r="B37" s="547"/>
      <c r="C37" s="573"/>
      <c r="D37" s="24" t="s">
        <v>29</v>
      </c>
      <c r="E37" s="322" t="s">
        <v>82</v>
      </c>
      <c r="F37" s="517"/>
      <c r="G37" s="346" t="s">
        <v>328</v>
      </c>
      <c r="H37" s="98">
        <f t="shared" si="3"/>
        <v>60</v>
      </c>
      <c r="I37" s="98">
        <v>60</v>
      </c>
      <c r="J37" s="98">
        <v>0</v>
      </c>
      <c r="K37" s="98">
        <v>0</v>
      </c>
      <c r="L37" s="394"/>
    </row>
    <row r="38" spans="1:12" s="136" customFormat="1" ht="75" customHeight="1">
      <c r="A38" s="553"/>
      <c r="B38" s="547"/>
      <c r="C38" s="573"/>
      <c r="D38" s="533" t="s">
        <v>98</v>
      </c>
      <c r="E38" s="534"/>
      <c r="F38" s="517"/>
      <c r="G38" s="515" t="s">
        <v>96</v>
      </c>
      <c r="H38" s="98">
        <f>SUM(H39:H42)</f>
        <v>45359.9</v>
      </c>
      <c r="I38" s="98">
        <f>SUM(I39:I42)</f>
        <v>45359.9</v>
      </c>
      <c r="J38" s="98">
        <f>SUM(J39:J42)</f>
        <v>0</v>
      </c>
      <c r="K38" s="98">
        <f>SUM(K39:K42)</f>
        <v>0</v>
      </c>
      <c r="L38" s="394"/>
    </row>
    <row r="39" spans="1:12" s="136" customFormat="1" ht="75" customHeight="1">
      <c r="A39" s="553"/>
      <c r="B39" s="547"/>
      <c r="C39" s="573"/>
      <c r="D39" s="24" t="s">
        <v>29</v>
      </c>
      <c r="E39" s="322" t="s">
        <v>82</v>
      </c>
      <c r="F39" s="517"/>
      <c r="G39" s="516"/>
      <c r="H39" s="99">
        <f>I39+J39+K39</f>
        <v>12485.6</v>
      </c>
      <c r="I39" s="99">
        <v>12485.6</v>
      </c>
      <c r="J39" s="99">
        <v>0</v>
      </c>
      <c r="K39" s="99">
        <v>0</v>
      </c>
      <c r="L39" s="394"/>
    </row>
    <row r="40" spans="1:12" s="136" customFormat="1" ht="75" customHeight="1">
      <c r="A40" s="553"/>
      <c r="B40" s="547"/>
      <c r="C40" s="573"/>
      <c r="D40" s="24" t="s">
        <v>29</v>
      </c>
      <c r="E40" s="322" t="s">
        <v>76</v>
      </c>
      <c r="F40" s="517"/>
      <c r="G40" s="516"/>
      <c r="H40" s="99">
        <f>I40+J40+K40</f>
        <v>8160.1</v>
      </c>
      <c r="I40" s="99">
        <v>8160.1</v>
      </c>
      <c r="J40" s="99">
        <v>0</v>
      </c>
      <c r="K40" s="99">
        <v>0</v>
      </c>
      <c r="L40" s="394"/>
    </row>
    <row r="41" spans="1:12" s="136" customFormat="1" ht="75" customHeight="1">
      <c r="A41" s="553"/>
      <c r="B41" s="547"/>
      <c r="C41" s="573"/>
      <c r="D41" s="24" t="s">
        <v>29</v>
      </c>
      <c r="E41" s="322" t="s">
        <v>77</v>
      </c>
      <c r="F41" s="517"/>
      <c r="G41" s="516"/>
      <c r="H41" s="99">
        <f>I41+J41+K41</f>
        <v>12866.2</v>
      </c>
      <c r="I41" s="99">
        <v>12866.2</v>
      </c>
      <c r="J41" s="99">
        <v>0</v>
      </c>
      <c r="K41" s="99">
        <v>0</v>
      </c>
      <c r="L41" s="394"/>
    </row>
    <row r="42" spans="1:12" s="136" customFormat="1" ht="75" customHeight="1">
      <c r="A42" s="553"/>
      <c r="B42" s="547"/>
      <c r="C42" s="573"/>
      <c r="D42" s="24" t="s">
        <v>29</v>
      </c>
      <c r="E42" s="322" t="s">
        <v>75</v>
      </c>
      <c r="F42" s="517"/>
      <c r="G42" s="516"/>
      <c r="H42" s="99">
        <f>I42+J42+K42</f>
        <v>11848</v>
      </c>
      <c r="I42" s="99">
        <v>11848</v>
      </c>
      <c r="J42" s="99">
        <v>0</v>
      </c>
      <c r="K42" s="99">
        <v>0</v>
      </c>
      <c r="L42" s="394"/>
    </row>
    <row r="43" spans="1:12" s="142" customFormat="1" ht="75" customHeight="1">
      <c r="A43" s="553"/>
      <c r="B43" s="547"/>
      <c r="C43" s="394" t="s">
        <v>222</v>
      </c>
      <c r="D43" s="450" t="s">
        <v>339</v>
      </c>
      <c r="E43" s="451"/>
      <c r="F43" s="451"/>
      <c r="G43" s="452"/>
      <c r="H43" s="98">
        <f>SUM(H44:H47)</f>
        <v>54849.512000000002</v>
      </c>
      <c r="I43" s="98">
        <f>SUM(I44:I47)</f>
        <v>18275.899999999998</v>
      </c>
      <c r="J43" s="98">
        <f>SUM(J44:J47)</f>
        <v>17583.48</v>
      </c>
      <c r="K43" s="98">
        <f>SUM(K44:K47)</f>
        <v>18990.131999999998</v>
      </c>
      <c r="L43" s="394" t="s">
        <v>260</v>
      </c>
    </row>
    <row r="44" spans="1:12" ht="75" customHeight="1">
      <c r="A44" s="553"/>
      <c r="B44" s="547"/>
      <c r="C44" s="394"/>
      <c r="D44" s="24" t="s">
        <v>29</v>
      </c>
      <c r="E44" s="322" t="s">
        <v>82</v>
      </c>
      <c r="F44" s="405" t="s">
        <v>460</v>
      </c>
      <c r="G44" s="405" t="s">
        <v>425</v>
      </c>
      <c r="H44" s="99">
        <f t="shared" ref="H44:H56" si="4">I44+J44+K44</f>
        <v>10965.8</v>
      </c>
      <c r="I44" s="99">
        <v>3629.9</v>
      </c>
      <c r="J44" s="99">
        <v>3526.9</v>
      </c>
      <c r="K44" s="99">
        <v>3809</v>
      </c>
      <c r="L44" s="394"/>
    </row>
    <row r="45" spans="1:12" ht="75" customHeight="1">
      <c r="A45" s="553"/>
      <c r="B45" s="547"/>
      <c r="C45" s="394"/>
      <c r="D45" s="24" t="s">
        <v>29</v>
      </c>
      <c r="E45" s="322" t="s">
        <v>76</v>
      </c>
      <c r="F45" s="517"/>
      <c r="G45" s="516"/>
      <c r="H45" s="99">
        <f t="shared" si="4"/>
        <v>13403.4</v>
      </c>
      <c r="I45" s="99">
        <v>4524.8999999999996</v>
      </c>
      <c r="J45" s="99">
        <v>4268.5</v>
      </c>
      <c r="K45" s="99">
        <v>4610</v>
      </c>
      <c r="L45" s="394"/>
    </row>
    <row r="46" spans="1:12" s="136" customFormat="1" ht="75" customHeight="1">
      <c r="A46" s="553"/>
      <c r="B46" s="547"/>
      <c r="C46" s="394"/>
      <c r="D46" s="24" t="s">
        <v>29</v>
      </c>
      <c r="E46" s="322" t="s">
        <v>77</v>
      </c>
      <c r="F46" s="517"/>
      <c r="G46" s="516"/>
      <c r="H46" s="99">
        <f t="shared" si="4"/>
        <v>17340.150000000001</v>
      </c>
      <c r="I46" s="99">
        <f>5671.7+326.2+422.4-412.1</f>
        <v>6008.1999999999989</v>
      </c>
      <c r="J46" s="99">
        <v>5448.05</v>
      </c>
      <c r="K46" s="99">
        <v>5883.9</v>
      </c>
      <c r="L46" s="394"/>
    </row>
    <row r="47" spans="1:12" s="136" customFormat="1" ht="75" customHeight="1">
      <c r="A47" s="553"/>
      <c r="B47" s="547"/>
      <c r="C47" s="394"/>
      <c r="D47" s="24" t="s">
        <v>29</v>
      </c>
      <c r="E47" s="322" t="s">
        <v>75</v>
      </c>
      <c r="F47" s="517"/>
      <c r="G47" s="516"/>
      <c r="H47" s="99">
        <f t="shared" si="4"/>
        <v>13140.162</v>
      </c>
      <c r="I47" s="99">
        <v>4112.8999999999996</v>
      </c>
      <c r="J47" s="99">
        <v>4340.03</v>
      </c>
      <c r="K47" s="99">
        <v>4687.232</v>
      </c>
      <c r="L47" s="394"/>
    </row>
    <row r="48" spans="1:12" s="136" customFormat="1" ht="75" customHeight="1">
      <c r="A48" s="553"/>
      <c r="B48" s="547"/>
      <c r="C48" s="442" t="s">
        <v>268</v>
      </c>
      <c r="D48" s="450" t="s">
        <v>340</v>
      </c>
      <c r="E48" s="451"/>
      <c r="F48" s="451"/>
      <c r="G48" s="452"/>
      <c r="H48" s="98">
        <f>SUM(H49:H53)</f>
        <v>9972.6550000000007</v>
      </c>
      <c r="I48" s="98">
        <f>SUM(I49:I53)</f>
        <v>4584.2129999999997</v>
      </c>
      <c r="J48" s="98">
        <f>SUM(J49:J53)</f>
        <v>2606.9</v>
      </c>
      <c r="K48" s="98">
        <f>SUM(K49:K53)</f>
        <v>2781.5419999999999</v>
      </c>
      <c r="L48" s="395" t="s">
        <v>261</v>
      </c>
    </row>
    <row r="49" spans="1:12" ht="75" customHeight="1">
      <c r="A49" s="553"/>
      <c r="B49" s="547"/>
      <c r="C49" s="442"/>
      <c r="D49" s="514" t="s">
        <v>29</v>
      </c>
      <c r="E49" s="394" t="s">
        <v>82</v>
      </c>
      <c r="F49" s="406" t="s">
        <v>460</v>
      </c>
      <c r="G49" s="331" t="s">
        <v>425</v>
      </c>
      <c r="H49" s="98">
        <f>I49+J49+K49</f>
        <v>2156</v>
      </c>
      <c r="I49" s="99">
        <f>1060.5</f>
        <v>1060.5</v>
      </c>
      <c r="J49" s="99">
        <v>530</v>
      </c>
      <c r="K49" s="99">
        <v>565.5</v>
      </c>
      <c r="L49" s="396"/>
    </row>
    <row r="50" spans="1:12" ht="172.5" customHeight="1">
      <c r="A50" s="553"/>
      <c r="B50" s="547"/>
      <c r="C50" s="442"/>
      <c r="D50" s="514"/>
      <c r="E50" s="394"/>
      <c r="F50" s="406"/>
      <c r="G50" s="331" t="s">
        <v>99</v>
      </c>
      <c r="H50" s="98">
        <f t="shared" si="4"/>
        <v>2.6</v>
      </c>
      <c r="I50" s="99">
        <v>2.6</v>
      </c>
      <c r="J50" s="99">
        <v>0</v>
      </c>
      <c r="K50" s="99">
        <v>0</v>
      </c>
      <c r="L50" s="396"/>
    </row>
    <row r="51" spans="1:12" s="136" customFormat="1" ht="75" customHeight="1">
      <c r="A51" s="553"/>
      <c r="B51" s="547"/>
      <c r="C51" s="442"/>
      <c r="D51" s="24" t="s">
        <v>29</v>
      </c>
      <c r="E51" s="322" t="s">
        <v>76</v>
      </c>
      <c r="F51" s="406"/>
      <c r="G51" s="405" t="s">
        <v>425</v>
      </c>
      <c r="H51" s="98">
        <f>I51+J51+K51</f>
        <v>1349.4</v>
      </c>
      <c r="I51" s="99">
        <v>667.3</v>
      </c>
      <c r="J51" s="99">
        <v>330</v>
      </c>
      <c r="K51" s="99">
        <v>352.1</v>
      </c>
      <c r="L51" s="396"/>
    </row>
    <row r="52" spans="1:12" s="136" customFormat="1" ht="75" customHeight="1">
      <c r="A52" s="553"/>
      <c r="B52" s="547"/>
      <c r="C52" s="442"/>
      <c r="D52" s="24" t="s">
        <v>29</v>
      </c>
      <c r="E52" s="322" t="s">
        <v>77</v>
      </c>
      <c r="F52" s="406"/>
      <c r="G52" s="405"/>
      <c r="H52" s="98">
        <f t="shared" si="4"/>
        <v>2322.19</v>
      </c>
      <c r="I52" s="99">
        <v>1144</v>
      </c>
      <c r="J52" s="99">
        <v>570</v>
      </c>
      <c r="K52" s="99">
        <v>608.19000000000005</v>
      </c>
      <c r="L52" s="396"/>
    </row>
    <row r="53" spans="1:12" s="136" customFormat="1" ht="75" customHeight="1">
      <c r="A53" s="553"/>
      <c r="B53" s="547"/>
      <c r="C53" s="442"/>
      <c r="D53" s="24" t="s">
        <v>29</v>
      </c>
      <c r="E53" s="322" t="s">
        <v>75</v>
      </c>
      <c r="F53" s="406"/>
      <c r="G53" s="405"/>
      <c r="H53" s="98">
        <f t="shared" si="4"/>
        <v>4142.4650000000001</v>
      </c>
      <c r="I53" s="99">
        <f>2748.919-253.468-420-365.638</f>
        <v>1709.8130000000001</v>
      </c>
      <c r="J53" s="99">
        <v>1176.9000000000001</v>
      </c>
      <c r="K53" s="99">
        <v>1255.752</v>
      </c>
      <c r="L53" s="397"/>
    </row>
    <row r="54" spans="1:12" ht="108" customHeight="1">
      <c r="A54" s="553"/>
      <c r="B54" s="547"/>
      <c r="C54" s="322" t="s">
        <v>262</v>
      </c>
      <c r="D54" s="345" t="s">
        <v>29</v>
      </c>
      <c r="E54" s="322" t="s">
        <v>82</v>
      </c>
      <c r="F54" s="331" t="s">
        <v>460</v>
      </c>
      <c r="G54" s="331" t="s">
        <v>425</v>
      </c>
      <c r="H54" s="98">
        <f t="shared" si="4"/>
        <v>1307.3</v>
      </c>
      <c r="I54" s="99">
        <v>690</v>
      </c>
      <c r="J54" s="99">
        <v>300</v>
      </c>
      <c r="K54" s="99">
        <v>317.3</v>
      </c>
      <c r="L54" s="341" t="s">
        <v>59</v>
      </c>
    </row>
    <row r="55" spans="1:12" ht="312.75" customHeight="1">
      <c r="A55" s="553"/>
      <c r="B55" s="547"/>
      <c r="C55" s="322" t="s">
        <v>333</v>
      </c>
      <c r="D55" s="345" t="s">
        <v>29</v>
      </c>
      <c r="E55" s="322" t="s">
        <v>82</v>
      </c>
      <c r="F55" s="331" t="s">
        <v>460</v>
      </c>
      <c r="G55" s="331" t="s">
        <v>425</v>
      </c>
      <c r="H55" s="98">
        <f t="shared" si="4"/>
        <v>1200</v>
      </c>
      <c r="I55" s="99">
        <v>1200</v>
      </c>
      <c r="J55" s="99"/>
      <c r="K55" s="99">
        <f>J55*1.051</f>
        <v>0</v>
      </c>
      <c r="L55" s="341" t="s">
        <v>60</v>
      </c>
    </row>
    <row r="56" spans="1:12" ht="156.75" customHeight="1">
      <c r="A56" s="553"/>
      <c r="B56" s="547"/>
      <c r="C56" s="322" t="s">
        <v>334</v>
      </c>
      <c r="D56" s="345" t="s">
        <v>29</v>
      </c>
      <c r="E56" s="322" t="s">
        <v>82</v>
      </c>
      <c r="F56" s="331" t="s">
        <v>460</v>
      </c>
      <c r="G56" s="331" t="s">
        <v>425</v>
      </c>
      <c r="H56" s="98">
        <f t="shared" si="4"/>
        <v>1300</v>
      </c>
      <c r="I56" s="99">
        <v>1000</v>
      </c>
      <c r="J56" s="99">
        <v>300</v>
      </c>
      <c r="K56" s="99"/>
      <c r="L56" s="341" t="s">
        <v>62</v>
      </c>
    </row>
    <row r="57" spans="1:12" ht="75" customHeight="1">
      <c r="A57" s="553"/>
      <c r="B57" s="547"/>
      <c r="C57" s="442" t="s">
        <v>341</v>
      </c>
      <c r="D57" s="401" t="s">
        <v>342</v>
      </c>
      <c r="E57" s="401"/>
      <c r="F57" s="401"/>
      <c r="G57" s="401"/>
      <c r="H57" s="98">
        <f>H58+H59</f>
        <v>3883</v>
      </c>
      <c r="I57" s="98">
        <f>I58+I59</f>
        <v>3883</v>
      </c>
      <c r="J57" s="98">
        <f>J58+J59</f>
        <v>0</v>
      </c>
      <c r="K57" s="98">
        <f>K58+K59</f>
        <v>0</v>
      </c>
      <c r="L57" s="322"/>
    </row>
    <row r="58" spans="1:12" ht="178.5" customHeight="1">
      <c r="A58" s="553"/>
      <c r="B58" s="547"/>
      <c r="C58" s="442"/>
      <c r="D58" s="519" t="s">
        <v>29</v>
      </c>
      <c r="E58" s="396" t="s">
        <v>77</v>
      </c>
      <c r="F58" s="492" t="s">
        <v>460</v>
      </c>
      <c r="G58" s="330" t="s">
        <v>99</v>
      </c>
      <c r="H58" s="98">
        <f>I58+J58+K58</f>
        <v>2680.3</v>
      </c>
      <c r="I58" s="99">
        <v>2680.3</v>
      </c>
      <c r="J58" s="99">
        <v>0</v>
      </c>
      <c r="K58" s="99">
        <v>0</v>
      </c>
      <c r="L58" s="442" t="s">
        <v>347</v>
      </c>
    </row>
    <row r="59" spans="1:12" ht="75" customHeight="1">
      <c r="A59" s="553"/>
      <c r="B59" s="547"/>
      <c r="C59" s="442"/>
      <c r="D59" s="520"/>
      <c r="E59" s="397"/>
      <c r="F59" s="549"/>
      <c r="G59" s="331" t="s">
        <v>425</v>
      </c>
      <c r="H59" s="98">
        <f>I59+J59+K59</f>
        <v>1202.7</v>
      </c>
      <c r="I59" s="99">
        <v>1202.7</v>
      </c>
      <c r="J59" s="99">
        <v>0</v>
      </c>
      <c r="K59" s="99">
        <f>J59*1.051</f>
        <v>0</v>
      </c>
      <c r="L59" s="442"/>
    </row>
    <row r="60" spans="1:12" ht="75" customHeight="1">
      <c r="A60" s="553"/>
      <c r="B60" s="547"/>
      <c r="C60" s="518" t="s">
        <v>343</v>
      </c>
      <c r="D60" s="401" t="s">
        <v>344</v>
      </c>
      <c r="E60" s="401"/>
      <c r="F60" s="401"/>
      <c r="G60" s="401"/>
      <c r="H60" s="98">
        <f>H61+H62+H63</f>
        <v>850</v>
      </c>
      <c r="I60" s="98">
        <f>I61+I62+I63</f>
        <v>850</v>
      </c>
      <c r="J60" s="98">
        <f>J61+J62+J63</f>
        <v>0</v>
      </c>
      <c r="K60" s="98">
        <f>K61+K62+K63</f>
        <v>0</v>
      </c>
      <c r="L60" s="394" t="s">
        <v>67</v>
      </c>
    </row>
    <row r="61" spans="1:12" ht="102" customHeight="1">
      <c r="A61" s="553"/>
      <c r="B61" s="547"/>
      <c r="C61" s="518"/>
      <c r="D61" s="24" t="s">
        <v>29</v>
      </c>
      <c r="E61" s="322" t="s">
        <v>82</v>
      </c>
      <c r="F61" s="489" t="s">
        <v>460</v>
      </c>
      <c r="G61" s="405" t="s">
        <v>55</v>
      </c>
      <c r="H61" s="98">
        <f>I61+J61+K61</f>
        <v>400</v>
      </c>
      <c r="I61" s="99">
        <v>400</v>
      </c>
      <c r="J61" s="99">
        <v>0</v>
      </c>
      <c r="K61" s="99">
        <v>0</v>
      </c>
      <c r="L61" s="521"/>
    </row>
    <row r="62" spans="1:12" ht="93.75" customHeight="1">
      <c r="A62" s="553"/>
      <c r="B62" s="547"/>
      <c r="C62" s="518"/>
      <c r="D62" s="24" t="s">
        <v>29</v>
      </c>
      <c r="E62" s="322" t="s">
        <v>76</v>
      </c>
      <c r="F62" s="490"/>
      <c r="G62" s="516"/>
      <c r="H62" s="98">
        <f>I62+J62+K62</f>
        <v>150</v>
      </c>
      <c r="I62" s="99">
        <v>150</v>
      </c>
      <c r="J62" s="99">
        <v>0</v>
      </c>
      <c r="K62" s="99">
        <v>0</v>
      </c>
      <c r="L62" s="521"/>
    </row>
    <row r="63" spans="1:12" ht="75" customHeight="1">
      <c r="A63" s="553"/>
      <c r="B63" s="547"/>
      <c r="C63" s="518"/>
      <c r="D63" s="24" t="s">
        <v>29</v>
      </c>
      <c r="E63" s="322" t="s">
        <v>77</v>
      </c>
      <c r="F63" s="502"/>
      <c r="G63" s="516"/>
      <c r="H63" s="98">
        <f>I63+J63+K63</f>
        <v>300</v>
      </c>
      <c r="I63" s="99">
        <v>300</v>
      </c>
      <c r="J63" s="99">
        <v>0</v>
      </c>
      <c r="K63" s="99">
        <v>0</v>
      </c>
      <c r="L63" s="521"/>
    </row>
    <row r="64" spans="1:12" s="136" customFormat="1" ht="75" customHeight="1">
      <c r="A64" s="553"/>
      <c r="B64" s="547"/>
      <c r="C64" s="518" t="s">
        <v>223</v>
      </c>
      <c r="D64" s="401" t="s">
        <v>345</v>
      </c>
      <c r="E64" s="401"/>
      <c r="F64" s="401"/>
      <c r="G64" s="401"/>
      <c r="H64" s="98">
        <f>SUM(H65:H68)</f>
        <v>5412.3880000000008</v>
      </c>
      <c r="I64" s="98">
        <f>SUM(I65:I68)</f>
        <v>2536.1000000000004</v>
      </c>
      <c r="J64" s="98">
        <f>SUM(J65:J68)</f>
        <v>1388.8000000000002</v>
      </c>
      <c r="K64" s="98">
        <f>SUM(K65:K68)</f>
        <v>1487.4879999999998</v>
      </c>
      <c r="L64" s="394" t="s">
        <v>63</v>
      </c>
    </row>
    <row r="65" spans="1:12" s="136" customFormat="1" ht="75" customHeight="1">
      <c r="A65" s="553"/>
      <c r="B65" s="547"/>
      <c r="C65" s="518"/>
      <c r="D65" s="24" t="s">
        <v>29</v>
      </c>
      <c r="E65" s="322" t="s">
        <v>82</v>
      </c>
      <c r="F65" s="405" t="s">
        <v>460</v>
      </c>
      <c r="G65" s="405" t="s">
        <v>425</v>
      </c>
      <c r="H65" s="98">
        <f t="shared" ref="H65:H71" si="5">I65+J65+K65</f>
        <v>764.6</v>
      </c>
      <c r="I65" s="99">
        <v>324.10000000000002</v>
      </c>
      <c r="J65" s="99">
        <v>213.1</v>
      </c>
      <c r="K65" s="99">
        <v>227.4</v>
      </c>
      <c r="L65" s="521"/>
    </row>
    <row r="66" spans="1:12" s="136" customFormat="1" ht="75" customHeight="1">
      <c r="A66" s="553"/>
      <c r="B66" s="547"/>
      <c r="C66" s="518"/>
      <c r="D66" s="24" t="s">
        <v>29</v>
      </c>
      <c r="E66" s="322" t="s">
        <v>76</v>
      </c>
      <c r="F66" s="405"/>
      <c r="G66" s="405"/>
      <c r="H66" s="98">
        <f t="shared" si="5"/>
        <v>302.98</v>
      </c>
      <c r="I66" s="99">
        <v>125.3</v>
      </c>
      <c r="J66" s="99">
        <v>85.78</v>
      </c>
      <c r="K66" s="99">
        <v>91.9</v>
      </c>
      <c r="L66" s="521"/>
    </row>
    <row r="67" spans="1:12" s="136" customFormat="1" ht="75" customHeight="1">
      <c r="A67" s="553"/>
      <c r="B67" s="547"/>
      <c r="C67" s="518"/>
      <c r="D67" s="24" t="s">
        <v>29</v>
      </c>
      <c r="E67" s="322" t="s">
        <v>77</v>
      </c>
      <c r="F67" s="405"/>
      <c r="G67" s="405"/>
      <c r="H67" s="98">
        <f t="shared" si="5"/>
        <v>3348.27</v>
      </c>
      <c r="I67" s="99">
        <v>1528</v>
      </c>
      <c r="J67" s="99">
        <v>878.52</v>
      </c>
      <c r="K67" s="99">
        <v>941.75</v>
      </c>
      <c r="L67" s="521"/>
    </row>
    <row r="68" spans="1:12" s="136" customFormat="1" ht="75" customHeight="1">
      <c r="A68" s="553"/>
      <c r="B68" s="547"/>
      <c r="C68" s="518"/>
      <c r="D68" s="24" t="s">
        <v>29</v>
      </c>
      <c r="E68" s="322" t="s">
        <v>75</v>
      </c>
      <c r="F68" s="405"/>
      <c r="G68" s="405"/>
      <c r="H68" s="98">
        <f t="shared" si="5"/>
        <v>996.53800000000001</v>
      </c>
      <c r="I68" s="99">
        <v>558.70000000000005</v>
      </c>
      <c r="J68" s="99">
        <v>211.4</v>
      </c>
      <c r="K68" s="99">
        <v>226.43799999999999</v>
      </c>
      <c r="L68" s="521"/>
    </row>
    <row r="69" spans="1:12" ht="306.75" customHeight="1">
      <c r="A69" s="553"/>
      <c r="B69" s="547"/>
      <c r="C69" s="341" t="s">
        <v>224</v>
      </c>
      <c r="D69" s="345" t="s">
        <v>33</v>
      </c>
      <c r="E69" s="322" t="s">
        <v>76</v>
      </c>
      <c r="F69" s="331" t="s">
        <v>460</v>
      </c>
      <c r="G69" s="331" t="s">
        <v>426</v>
      </c>
      <c r="H69" s="98">
        <f t="shared" si="5"/>
        <v>5834</v>
      </c>
      <c r="I69" s="99">
        <f>2500-800</f>
        <v>1700</v>
      </c>
      <c r="J69" s="99">
        <v>2000</v>
      </c>
      <c r="K69" s="104">
        <v>2134</v>
      </c>
      <c r="L69" s="341" t="s">
        <v>346</v>
      </c>
    </row>
    <row r="70" spans="1:12" ht="158.25" customHeight="1">
      <c r="A70" s="553"/>
      <c r="B70" s="547"/>
      <c r="C70" s="341" t="s">
        <v>403</v>
      </c>
      <c r="D70" s="345" t="s">
        <v>402</v>
      </c>
      <c r="E70" s="322" t="s">
        <v>404</v>
      </c>
      <c r="F70" s="331" t="s">
        <v>460</v>
      </c>
      <c r="G70" s="331" t="s">
        <v>426</v>
      </c>
      <c r="H70" s="98">
        <f>I70+J70+K70</f>
        <v>3000</v>
      </c>
      <c r="I70" s="99">
        <v>3000</v>
      </c>
      <c r="J70" s="99">
        <v>0</v>
      </c>
      <c r="K70" s="104">
        <v>0</v>
      </c>
      <c r="L70" s="341" t="s">
        <v>409</v>
      </c>
    </row>
    <row r="71" spans="1:12" ht="123" customHeight="1">
      <c r="A71" s="553"/>
      <c r="B71" s="547"/>
      <c r="C71" s="334" t="s">
        <v>405</v>
      </c>
      <c r="D71" s="345" t="s">
        <v>29</v>
      </c>
      <c r="E71" s="322" t="s">
        <v>75</v>
      </c>
      <c r="F71" s="331" t="s">
        <v>460</v>
      </c>
      <c r="G71" s="331" t="s">
        <v>427</v>
      </c>
      <c r="H71" s="98">
        <f t="shared" si="5"/>
        <v>2173.5</v>
      </c>
      <c r="I71" s="99">
        <v>1867.7</v>
      </c>
      <c r="J71" s="99">
        <v>305.8</v>
      </c>
      <c r="K71" s="99"/>
      <c r="L71" s="334" t="s">
        <v>269</v>
      </c>
    </row>
    <row r="72" spans="1:12" ht="231.75" customHeight="1">
      <c r="A72" s="553"/>
      <c r="B72" s="547"/>
      <c r="C72" s="143" t="s">
        <v>406</v>
      </c>
      <c r="D72" s="345" t="s">
        <v>29</v>
      </c>
      <c r="E72" s="322" t="s">
        <v>75</v>
      </c>
      <c r="F72" s="331" t="s">
        <v>460</v>
      </c>
      <c r="G72" s="331" t="s">
        <v>427</v>
      </c>
      <c r="H72" s="98">
        <f>I72+J72+K72</f>
        <v>3716.54</v>
      </c>
      <c r="I72" s="99">
        <v>946.27</v>
      </c>
      <c r="J72" s="99">
        <f>11.3+1326</f>
        <v>1337.3</v>
      </c>
      <c r="K72" s="99">
        <v>1432.97</v>
      </c>
      <c r="L72" s="143" t="s">
        <v>106</v>
      </c>
    </row>
    <row r="73" spans="1:12" ht="114.75" customHeight="1">
      <c r="A73" s="553"/>
      <c r="B73" s="547"/>
      <c r="C73" s="442" t="s">
        <v>407</v>
      </c>
      <c r="D73" s="401" t="s">
        <v>408</v>
      </c>
      <c r="E73" s="401"/>
      <c r="F73" s="401"/>
      <c r="G73" s="401"/>
      <c r="H73" s="98">
        <f>H74+H75+H76</f>
        <v>6073.8</v>
      </c>
      <c r="I73" s="98">
        <f>I74+I75+I76</f>
        <v>1217.8</v>
      </c>
      <c r="J73" s="98">
        <f>J74+J75+J76</f>
        <v>2344</v>
      </c>
      <c r="K73" s="98">
        <f>K74+K75+K76</f>
        <v>2512</v>
      </c>
      <c r="L73" s="442" t="s">
        <v>74</v>
      </c>
    </row>
    <row r="74" spans="1:12" ht="75" customHeight="1">
      <c r="A74" s="553"/>
      <c r="B74" s="547"/>
      <c r="C74" s="442"/>
      <c r="D74" s="24" t="s">
        <v>29</v>
      </c>
      <c r="E74" s="354" t="s">
        <v>82</v>
      </c>
      <c r="F74" s="489" t="s">
        <v>460</v>
      </c>
      <c r="G74" s="489" t="s">
        <v>427</v>
      </c>
      <c r="H74" s="98">
        <f>I74+J74+K74</f>
        <v>144</v>
      </c>
      <c r="I74" s="99">
        <v>144</v>
      </c>
      <c r="J74" s="99"/>
      <c r="K74" s="99"/>
      <c r="L74" s="521"/>
    </row>
    <row r="75" spans="1:12" ht="75" customHeight="1">
      <c r="A75" s="553"/>
      <c r="B75" s="548"/>
      <c r="C75" s="442"/>
      <c r="D75" s="24" t="s">
        <v>29</v>
      </c>
      <c r="E75" s="354" t="s">
        <v>76</v>
      </c>
      <c r="F75" s="490"/>
      <c r="G75" s="490"/>
      <c r="H75" s="98">
        <f>I75+J75+K75</f>
        <v>5723.1</v>
      </c>
      <c r="I75" s="99">
        <v>1073.8</v>
      </c>
      <c r="J75" s="99">
        <v>2244</v>
      </c>
      <c r="K75" s="99">
        <v>2405.3000000000002</v>
      </c>
      <c r="L75" s="521"/>
    </row>
    <row r="76" spans="1:12" ht="75" customHeight="1">
      <c r="A76" s="337"/>
      <c r="B76" s="146"/>
      <c r="C76" s="335"/>
      <c r="D76" s="24" t="s">
        <v>33</v>
      </c>
      <c r="E76" s="354" t="s">
        <v>82</v>
      </c>
      <c r="F76" s="490"/>
      <c r="G76" s="490"/>
      <c r="H76" s="98">
        <f>I76+J76+K76</f>
        <v>206.7</v>
      </c>
      <c r="I76" s="99"/>
      <c r="J76" s="99">
        <v>100</v>
      </c>
      <c r="K76" s="99">
        <v>106.7</v>
      </c>
      <c r="L76" s="339"/>
    </row>
    <row r="77" spans="1:12" ht="133.5" customHeight="1">
      <c r="A77" s="337"/>
      <c r="B77" s="146"/>
      <c r="C77" s="143" t="s">
        <v>419</v>
      </c>
      <c r="D77" s="345" t="s">
        <v>29</v>
      </c>
      <c r="E77" s="354" t="s">
        <v>82</v>
      </c>
      <c r="F77" s="490"/>
      <c r="G77" s="490"/>
      <c r="H77" s="98">
        <f>I77+J77+K77</f>
        <v>1000</v>
      </c>
      <c r="I77" s="99">
        <v>0</v>
      </c>
      <c r="J77" s="99">
        <v>1000</v>
      </c>
      <c r="K77" s="99">
        <v>0</v>
      </c>
      <c r="L77" s="334" t="s">
        <v>420</v>
      </c>
    </row>
    <row r="78" spans="1:12" ht="75" customHeight="1">
      <c r="A78" s="337"/>
      <c r="B78" s="146"/>
      <c r="C78" s="565" t="s">
        <v>418</v>
      </c>
      <c r="D78" s="567" t="s">
        <v>422</v>
      </c>
      <c r="E78" s="568"/>
      <c r="F78" s="490"/>
      <c r="G78" s="490"/>
      <c r="H78" s="98">
        <f>H79+H80+H81+H82+H83</f>
        <v>339.9</v>
      </c>
      <c r="I78" s="98">
        <f>I79+I80+I81+I82+I83</f>
        <v>0</v>
      </c>
      <c r="J78" s="98">
        <f>J79+J80+J81+J82+J83</f>
        <v>339.9</v>
      </c>
      <c r="K78" s="98">
        <f>K79+K80+K81+K82+K83</f>
        <v>0</v>
      </c>
      <c r="L78" s="430" t="s">
        <v>421</v>
      </c>
    </row>
    <row r="79" spans="1:12" ht="75" customHeight="1">
      <c r="A79" s="337"/>
      <c r="B79" s="146"/>
      <c r="C79" s="566"/>
      <c r="D79" s="345" t="s">
        <v>29</v>
      </c>
      <c r="E79" s="354" t="s">
        <v>82</v>
      </c>
      <c r="F79" s="490"/>
      <c r="G79" s="490"/>
      <c r="H79" s="98">
        <f>I79+J79+K79</f>
        <v>101.2</v>
      </c>
      <c r="I79" s="105">
        <v>0</v>
      </c>
      <c r="J79" s="105">
        <v>101.2</v>
      </c>
      <c r="K79" s="105">
        <v>0</v>
      </c>
      <c r="L79" s="431"/>
    </row>
    <row r="80" spans="1:12" ht="75" customHeight="1">
      <c r="A80" s="337"/>
      <c r="B80" s="146"/>
      <c r="C80" s="147"/>
      <c r="D80" s="345" t="s">
        <v>29</v>
      </c>
      <c r="E80" s="354" t="s">
        <v>76</v>
      </c>
      <c r="F80" s="490"/>
      <c r="G80" s="490"/>
      <c r="H80" s="98">
        <f t="shared" ref="H80:H85" si="6">I80+J80+K80</f>
        <v>40.700000000000003</v>
      </c>
      <c r="I80" s="105">
        <v>0</v>
      </c>
      <c r="J80" s="105">
        <v>40.700000000000003</v>
      </c>
      <c r="K80" s="105">
        <v>0</v>
      </c>
      <c r="L80" s="431"/>
    </row>
    <row r="81" spans="1:12" ht="75" customHeight="1">
      <c r="A81" s="337"/>
      <c r="B81" s="146"/>
      <c r="C81" s="147"/>
      <c r="D81" s="345" t="s">
        <v>29</v>
      </c>
      <c r="E81" s="322" t="s">
        <v>77</v>
      </c>
      <c r="F81" s="490"/>
      <c r="G81" s="490"/>
      <c r="H81" s="98">
        <f t="shared" si="6"/>
        <v>99</v>
      </c>
      <c r="I81" s="105">
        <v>0</v>
      </c>
      <c r="J81" s="105">
        <v>99</v>
      </c>
      <c r="K81" s="105">
        <v>0</v>
      </c>
      <c r="L81" s="431"/>
    </row>
    <row r="82" spans="1:12" ht="75" customHeight="1">
      <c r="A82" s="337"/>
      <c r="B82" s="146"/>
      <c r="C82" s="147"/>
      <c r="D82" s="345" t="s">
        <v>29</v>
      </c>
      <c r="E82" s="322" t="s">
        <v>75</v>
      </c>
      <c r="F82" s="490"/>
      <c r="G82" s="490"/>
      <c r="H82" s="98">
        <f t="shared" si="6"/>
        <v>99</v>
      </c>
      <c r="I82" s="105">
        <v>0</v>
      </c>
      <c r="J82" s="105">
        <v>99</v>
      </c>
      <c r="K82" s="105">
        <v>0</v>
      </c>
      <c r="L82" s="431"/>
    </row>
    <row r="83" spans="1:12" ht="87.75" hidden="1" customHeight="1">
      <c r="A83" s="145"/>
      <c r="B83" s="146"/>
      <c r="C83" s="147"/>
      <c r="D83" s="148"/>
      <c r="E83" s="40"/>
      <c r="F83" s="490"/>
      <c r="G83" s="490"/>
      <c r="H83" s="98"/>
      <c r="I83" s="105"/>
      <c r="J83" s="105"/>
      <c r="K83" s="105"/>
      <c r="L83" s="431"/>
    </row>
    <row r="84" spans="1:12" ht="75" hidden="1" customHeight="1">
      <c r="A84" s="145"/>
      <c r="B84" s="146"/>
      <c r="C84" s="147"/>
      <c r="D84" s="24" t="s">
        <v>33</v>
      </c>
      <c r="E84" s="216" t="s">
        <v>80</v>
      </c>
      <c r="F84" s="490"/>
      <c r="G84" s="490"/>
      <c r="H84" s="98">
        <f t="shared" si="6"/>
        <v>0</v>
      </c>
      <c r="I84" s="105">
        <v>0</v>
      </c>
      <c r="J84" s="105"/>
      <c r="K84" s="105">
        <v>0</v>
      </c>
      <c r="L84" s="431"/>
    </row>
    <row r="85" spans="1:12" ht="79.5" hidden="1" customHeight="1">
      <c r="A85" s="145"/>
      <c r="B85" s="146"/>
      <c r="C85" s="147"/>
      <c r="D85" s="24" t="s">
        <v>33</v>
      </c>
      <c r="E85" s="217" t="s">
        <v>81</v>
      </c>
      <c r="F85" s="502"/>
      <c r="G85" s="502"/>
      <c r="H85" s="98">
        <f t="shared" si="6"/>
        <v>0</v>
      </c>
      <c r="I85" s="105">
        <v>0</v>
      </c>
      <c r="J85" s="105"/>
      <c r="K85" s="105">
        <v>0</v>
      </c>
      <c r="L85" s="432"/>
    </row>
    <row r="86" spans="1:12" ht="75" customHeight="1">
      <c r="A86" s="556"/>
      <c r="B86" s="557"/>
      <c r="C86" s="557"/>
      <c r="D86" s="558"/>
      <c r="E86" s="569" t="s">
        <v>273</v>
      </c>
      <c r="F86" s="497"/>
      <c r="G86" s="149"/>
      <c r="H86" s="121">
        <f>H30+H43+H48+H54+H55+H56+H57+H60+H64+H69+H71+H72+H73+H70+H77+H78</f>
        <v>174699.125</v>
      </c>
      <c r="I86" s="121">
        <f>I30+I43+I48+I54+I55+I56+I57+I60+I64+I69+I71+I72+I73+I70+I77+I78</f>
        <v>114137.51300000001</v>
      </c>
      <c r="J86" s="121">
        <f>J30+J43+J48+J54+J55+J56+J57+J60+J64+J69+J71+J72+J73+J70+J77+J78</f>
        <v>30906.18</v>
      </c>
      <c r="K86" s="121">
        <f>K30+K43+K48+K54+K55+K56+K57+K60+K64+K69+K71+K72+K73+K70+K77+K78</f>
        <v>29655.432000000001</v>
      </c>
      <c r="L86" s="430"/>
    </row>
    <row r="87" spans="1:12" ht="75" customHeight="1">
      <c r="A87" s="559"/>
      <c r="B87" s="560"/>
      <c r="C87" s="560"/>
      <c r="D87" s="561"/>
      <c r="E87" s="570"/>
      <c r="F87" s="499"/>
      <c r="G87" s="331" t="s">
        <v>427</v>
      </c>
      <c r="H87" s="98">
        <f>H31+H43+H49+H51+H52+H53+H54+H55+H56+H59+H60+H64+H69+H71+H72+H73+H70</f>
        <v>125111.825</v>
      </c>
      <c r="I87" s="98">
        <f>I31+I43+I49+I51+I52+I53+I54+I55+I56+I59+I60+I64+I69+I71+I72+I73+I70</f>
        <v>65890.112999999983</v>
      </c>
      <c r="J87" s="98">
        <f>J31+J43+J49+J51+J52+J53+J54+J55+J56+J59+J60+J64+J69+J71+J72+J73+J70+J77+J78</f>
        <v>30906.18</v>
      </c>
      <c r="K87" s="98">
        <f>K31+K43+K49+K51+K52+K53+K54+K55+K56+K59+K60+K64+K69+K71+K72+K73+K70</f>
        <v>29655.431999999997</v>
      </c>
      <c r="L87" s="431"/>
    </row>
    <row r="88" spans="1:12" ht="72.75" customHeight="1">
      <c r="A88" s="559"/>
      <c r="B88" s="560"/>
      <c r="C88" s="560"/>
      <c r="D88" s="561"/>
      <c r="E88" s="570"/>
      <c r="F88" s="499"/>
      <c r="G88" s="150" t="s">
        <v>96</v>
      </c>
      <c r="H88" s="98">
        <f>H38</f>
        <v>45359.9</v>
      </c>
      <c r="I88" s="98">
        <f>I38</f>
        <v>45359.9</v>
      </c>
      <c r="J88" s="98">
        <f>J38</f>
        <v>0</v>
      </c>
      <c r="K88" s="98">
        <f>K38</f>
        <v>0</v>
      </c>
      <c r="L88" s="431"/>
    </row>
    <row r="89" spans="1:12" ht="177.75" customHeight="1">
      <c r="A89" s="559"/>
      <c r="B89" s="560"/>
      <c r="C89" s="560"/>
      <c r="D89" s="561"/>
      <c r="E89" s="570"/>
      <c r="F89" s="499"/>
      <c r="G89" s="331" t="s">
        <v>99</v>
      </c>
      <c r="H89" s="98">
        <f>H36+H50+H58</f>
        <v>2827.5</v>
      </c>
      <c r="I89" s="98">
        <f>I36+I50+I58</f>
        <v>2827.5</v>
      </c>
      <c r="J89" s="98">
        <f>J36+J50+J58</f>
        <v>0</v>
      </c>
      <c r="K89" s="98">
        <f>K36+K50+K58</f>
        <v>0</v>
      </c>
      <c r="L89" s="431"/>
    </row>
    <row r="90" spans="1:12" ht="93.75" customHeight="1">
      <c r="A90" s="559"/>
      <c r="B90" s="560"/>
      <c r="C90" s="560"/>
      <c r="D90" s="561"/>
      <c r="E90" s="571"/>
      <c r="F90" s="501"/>
      <c r="G90" s="346" t="s">
        <v>328</v>
      </c>
      <c r="H90" s="98">
        <f>H37</f>
        <v>60</v>
      </c>
      <c r="I90" s="98">
        <f>I37</f>
        <v>60</v>
      </c>
      <c r="J90" s="98">
        <f>J37</f>
        <v>0</v>
      </c>
      <c r="K90" s="98">
        <f>K37</f>
        <v>0</v>
      </c>
      <c r="L90" s="431"/>
    </row>
    <row r="91" spans="1:12" ht="75" customHeight="1">
      <c r="A91" s="559"/>
      <c r="B91" s="560"/>
      <c r="C91" s="560"/>
      <c r="D91" s="561"/>
      <c r="E91" s="402" t="s">
        <v>274</v>
      </c>
      <c r="F91" s="404"/>
      <c r="G91" s="331"/>
      <c r="H91" s="98"/>
      <c r="I91" s="105"/>
      <c r="J91" s="99"/>
      <c r="K91" s="99"/>
      <c r="L91" s="431"/>
    </row>
    <row r="92" spans="1:12" ht="75" customHeight="1">
      <c r="A92" s="559"/>
      <c r="B92" s="560"/>
      <c r="C92" s="560"/>
      <c r="D92" s="561"/>
      <c r="E92" s="444" t="s">
        <v>82</v>
      </c>
      <c r="F92" s="445"/>
      <c r="G92" s="349" t="s">
        <v>98</v>
      </c>
      <c r="H92" s="98">
        <f>SUM(H93:H96)</f>
        <v>39387.53</v>
      </c>
      <c r="I92" s="98">
        <f>SUM(I93:I96)</f>
        <v>28290.43</v>
      </c>
      <c r="J92" s="98">
        <f>SUM(J93:J96)</f>
        <v>6071.2</v>
      </c>
      <c r="K92" s="98">
        <f>SUM(K93:K96)</f>
        <v>5025.8999999999996</v>
      </c>
      <c r="L92" s="431"/>
    </row>
    <row r="93" spans="1:12" ht="75" customHeight="1">
      <c r="A93" s="559"/>
      <c r="B93" s="560"/>
      <c r="C93" s="560"/>
      <c r="D93" s="561"/>
      <c r="E93" s="446"/>
      <c r="F93" s="447"/>
      <c r="G93" s="331" t="s">
        <v>427</v>
      </c>
      <c r="H93" s="98">
        <f>H32+H44+H49+H54+H55+H56+H61+H65+H74+H77+H79+H76</f>
        <v>26694.73</v>
      </c>
      <c r="I93" s="98">
        <f>I32+I44+I49+I54+I55+I56+I61+I65+I74+I77+I79</f>
        <v>15597.63</v>
      </c>
      <c r="J93" s="98">
        <f>J32+J44+J49+J54+J55+J56+J61+J65+J74+J77+J79+J76</f>
        <v>6071.2</v>
      </c>
      <c r="K93" s="98">
        <f>K32+K44+K49+K54+K55+K56+K61+K65+K74+K77+K79+K76</f>
        <v>5025.8999999999996</v>
      </c>
      <c r="L93" s="431"/>
    </row>
    <row r="94" spans="1:12" ht="91.5" customHeight="1">
      <c r="A94" s="559"/>
      <c r="B94" s="560"/>
      <c r="C94" s="560"/>
      <c r="D94" s="561"/>
      <c r="E94" s="446"/>
      <c r="F94" s="447"/>
      <c r="G94" s="150" t="s">
        <v>96</v>
      </c>
      <c r="H94" s="98">
        <f>H39</f>
        <v>12485.6</v>
      </c>
      <c r="I94" s="98">
        <f>I39</f>
        <v>12485.6</v>
      </c>
      <c r="J94" s="98">
        <f>J39</f>
        <v>0</v>
      </c>
      <c r="K94" s="98">
        <f>K39</f>
        <v>0</v>
      </c>
      <c r="L94" s="431"/>
    </row>
    <row r="95" spans="1:12" ht="174.75" customHeight="1">
      <c r="A95" s="559"/>
      <c r="B95" s="560"/>
      <c r="C95" s="560"/>
      <c r="D95" s="561"/>
      <c r="E95" s="446"/>
      <c r="F95" s="447"/>
      <c r="G95" s="331" t="s">
        <v>99</v>
      </c>
      <c r="H95" s="98">
        <f>H36+H50</f>
        <v>147.19999999999999</v>
      </c>
      <c r="I95" s="98">
        <f>I36+I50</f>
        <v>147.19999999999999</v>
      </c>
      <c r="J95" s="98">
        <f>J36+J50</f>
        <v>0</v>
      </c>
      <c r="K95" s="98">
        <f>K36+K50</f>
        <v>0</v>
      </c>
      <c r="L95" s="431"/>
    </row>
    <row r="96" spans="1:12" ht="75" customHeight="1">
      <c r="A96" s="559"/>
      <c r="B96" s="560"/>
      <c r="C96" s="560"/>
      <c r="D96" s="561"/>
      <c r="E96" s="448"/>
      <c r="F96" s="449"/>
      <c r="G96" s="346" t="s">
        <v>328</v>
      </c>
      <c r="H96" s="98">
        <f>H37</f>
        <v>60</v>
      </c>
      <c r="I96" s="98">
        <f>I37</f>
        <v>60</v>
      </c>
      <c r="J96" s="98">
        <f>J37</f>
        <v>0</v>
      </c>
      <c r="K96" s="98">
        <f>K37</f>
        <v>0</v>
      </c>
      <c r="L96" s="431"/>
    </row>
    <row r="97" spans="1:12" ht="75" customHeight="1">
      <c r="A97" s="559"/>
      <c r="B97" s="560"/>
      <c r="C97" s="560"/>
      <c r="D97" s="561"/>
      <c r="E97" s="444" t="s">
        <v>76</v>
      </c>
      <c r="F97" s="445"/>
      <c r="G97" s="349" t="s">
        <v>98</v>
      </c>
      <c r="H97" s="98">
        <f>SUM(H98:H99)</f>
        <v>37587.879999999997</v>
      </c>
      <c r="I97" s="98">
        <f>SUM(I98:I99)</f>
        <v>19066.3</v>
      </c>
      <c r="J97" s="98">
        <f>SUM(J98:J99)</f>
        <v>8968.98</v>
      </c>
      <c r="K97" s="98">
        <f>SUM(K98:K99)</f>
        <v>9593.2999999999993</v>
      </c>
      <c r="L97" s="431"/>
    </row>
    <row r="98" spans="1:12" ht="75" customHeight="1">
      <c r="A98" s="559"/>
      <c r="B98" s="560"/>
      <c r="C98" s="560"/>
      <c r="D98" s="561"/>
      <c r="E98" s="446"/>
      <c r="F98" s="447"/>
      <c r="G98" s="331" t="s">
        <v>427</v>
      </c>
      <c r="H98" s="98">
        <f>H33+H45+H51+H62+H66+H69+H75</f>
        <v>29427.78</v>
      </c>
      <c r="I98" s="98">
        <f>I33+I45+I51+I62+I66+I69+I75</f>
        <v>10906.199999999999</v>
      </c>
      <c r="J98" s="98">
        <f>J33+J45+J51+J62+J66+J69+J75+J80</f>
        <v>8968.98</v>
      </c>
      <c r="K98" s="98">
        <f>K33+K45+K51+K62+K66+K69+K75</f>
        <v>9593.2999999999993</v>
      </c>
      <c r="L98" s="431"/>
    </row>
    <row r="99" spans="1:12" ht="75" customHeight="1">
      <c r="A99" s="559"/>
      <c r="B99" s="560"/>
      <c r="C99" s="560"/>
      <c r="D99" s="561"/>
      <c r="E99" s="448"/>
      <c r="F99" s="449"/>
      <c r="G99" s="150" t="s">
        <v>96</v>
      </c>
      <c r="H99" s="98">
        <f>H40</f>
        <v>8160.1</v>
      </c>
      <c r="I99" s="98">
        <f>I40</f>
        <v>8160.1</v>
      </c>
      <c r="J99" s="98">
        <f>J40</f>
        <v>0</v>
      </c>
      <c r="K99" s="98">
        <f>K40</f>
        <v>0</v>
      </c>
      <c r="L99" s="431"/>
    </row>
    <row r="100" spans="1:12" ht="50.25" customHeight="1">
      <c r="A100" s="559"/>
      <c r="B100" s="560"/>
      <c r="C100" s="560"/>
      <c r="D100" s="561"/>
      <c r="E100" s="444" t="s">
        <v>77</v>
      </c>
      <c r="F100" s="445"/>
      <c r="G100" s="349" t="s">
        <v>98</v>
      </c>
      <c r="H100" s="98">
        <f>SUM(H101:H103)</f>
        <v>46751.010000000009</v>
      </c>
      <c r="I100" s="98">
        <f>SUM(I101:I103)</f>
        <v>32420.6</v>
      </c>
      <c r="J100" s="98">
        <f>SUM(J101:J103)</f>
        <v>6995.57</v>
      </c>
      <c r="K100" s="98">
        <f>SUM(K101:K103)</f>
        <v>7433.84</v>
      </c>
      <c r="L100" s="431"/>
    </row>
    <row r="101" spans="1:12" ht="75" customHeight="1">
      <c r="A101" s="559"/>
      <c r="B101" s="560"/>
      <c r="C101" s="560"/>
      <c r="D101" s="561"/>
      <c r="E101" s="446"/>
      <c r="F101" s="447"/>
      <c r="G101" s="331" t="s">
        <v>427</v>
      </c>
      <c r="H101" s="98">
        <f>H34+H46+H52+H59+H63+H67</f>
        <v>31204.510000000002</v>
      </c>
      <c r="I101" s="98">
        <f>I34+I46+I52+I59+I63+I67</f>
        <v>16874.099999999999</v>
      </c>
      <c r="J101" s="98">
        <f>J34+J46+J52+J59+J63+J67+J81</f>
        <v>6995.57</v>
      </c>
      <c r="K101" s="98">
        <f>K34+K46+K52+K59+K63+K67</f>
        <v>7433.84</v>
      </c>
      <c r="L101" s="431"/>
    </row>
    <row r="102" spans="1:12" ht="78.75" customHeight="1">
      <c r="A102" s="559"/>
      <c r="B102" s="560"/>
      <c r="C102" s="560"/>
      <c r="D102" s="561"/>
      <c r="E102" s="446"/>
      <c r="F102" s="447"/>
      <c r="G102" s="150" t="s">
        <v>96</v>
      </c>
      <c r="H102" s="98">
        <f>H41</f>
        <v>12866.2</v>
      </c>
      <c r="I102" s="98">
        <f>I41</f>
        <v>12866.2</v>
      </c>
      <c r="J102" s="98">
        <f>J41</f>
        <v>0</v>
      </c>
      <c r="K102" s="98">
        <f>K41</f>
        <v>0</v>
      </c>
      <c r="L102" s="431"/>
    </row>
    <row r="103" spans="1:12" ht="173.25" customHeight="1">
      <c r="A103" s="559"/>
      <c r="B103" s="560"/>
      <c r="C103" s="560"/>
      <c r="D103" s="561"/>
      <c r="E103" s="448"/>
      <c r="F103" s="449"/>
      <c r="G103" s="331" t="s">
        <v>99</v>
      </c>
      <c r="H103" s="98">
        <f>H58</f>
        <v>2680.3</v>
      </c>
      <c r="I103" s="98">
        <f>I58</f>
        <v>2680.3</v>
      </c>
      <c r="J103" s="98">
        <f>J58</f>
        <v>0</v>
      </c>
      <c r="K103" s="98">
        <f>K58</f>
        <v>0</v>
      </c>
      <c r="L103" s="431"/>
    </row>
    <row r="104" spans="1:12" ht="75" customHeight="1">
      <c r="A104" s="559"/>
      <c r="B104" s="560"/>
      <c r="C104" s="560"/>
      <c r="D104" s="561"/>
      <c r="E104" s="444" t="s">
        <v>75</v>
      </c>
      <c r="F104" s="445"/>
      <c r="G104" s="349" t="s">
        <v>98</v>
      </c>
      <c r="H104" s="98">
        <f>SUM(H105:H106)</f>
        <v>47734.004999999997</v>
      </c>
      <c r="I104" s="98">
        <f>SUM(I105:I106)</f>
        <v>31360.183000000001</v>
      </c>
      <c r="J104" s="98">
        <f>SUM(J105:J106)</f>
        <v>8870.43</v>
      </c>
      <c r="K104" s="98">
        <f>SUM(K105:K106)</f>
        <v>7602.3920000000007</v>
      </c>
      <c r="L104" s="431"/>
    </row>
    <row r="105" spans="1:12" ht="75" customHeight="1">
      <c r="A105" s="559"/>
      <c r="B105" s="560"/>
      <c r="C105" s="560"/>
      <c r="D105" s="561"/>
      <c r="E105" s="446"/>
      <c r="F105" s="447"/>
      <c r="G105" s="331" t="s">
        <v>427</v>
      </c>
      <c r="H105" s="98">
        <f>H35+H47+H53+H68+H71+H72</f>
        <v>35886.004999999997</v>
      </c>
      <c r="I105" s="98">
        <f>I35+I47+I53+I68+I71+I72</f>
        <v>19512.183000000001</v>
      </c>
      <c r="J105" s="98">
        <f>J35+J47+J53+J68+J71+J72+J82</f>
        <v>8870.43</v>
      </c>
      <c r="K105" s="98">
        <f>K35+K47+K53+K68+K71+K72</f>
        <v>7602.3920000000007</v>
      </c>
      <c r="L105" s="431"/>
    </row>
    <row r="106" spans="1:12" ht="75" customHeight="1">
      <c r="A106" s="559"/>
      <c r="B106" s="560"/>
      <c r="C106" s="560"/>
      <c r="D106" s="561"/>
      <c r="E106" s="448"/>
      <c r="F106" s="449"/>
      <c r="G106" s="150" t="s">
        <v>96</v>
      </c>
      <c r="H106" s="98">
        <f>H42</f>
        <v>11848</v>
      </c>
      <c r="I106" s="98">
        <f>I42</f>
        <v>11848</v>
      </c>
      <c r="J106" s="98">
        <f>J42</f>
        <v>0</v>
      </c>
      <c r="K106" s="98">
        <f>K42</f>
        <v>0</v>
      </c>
      <c r="L106" s="432"/>
    </row>
    <row r="107" spans="1:12" ht="96" customHeight="1">
      <c r="A107" s="562"/>
      <c r="B107" s="563"/>
      <c r="C107" s="563"/>
      <c r="D107" s="564"/>
      <c r="E107" s="554" t="s">
        <v>404</v>
      </c>
      <c r="F107" s="555"/>
      <c r="G107" s="331" t="s">
        <v>427</v>
      </c>
      <c r="H107" s="98">
        <f>H70</f>
        <v>3000</v>
      </c>
      <c r="I107" s="98">
        <f>I70</f>
        <v>3000</v>
      </c>
      <c r="J107" s="98">
        <f>J70</f>
        <v>0</v>
      </c>
      <c r="K107" s="98">
        <f>K70</f>
        <v>0</v>
      </c>
      <c r="L107" s="347"/>
    </row>
    <row r="108" spans="1:12" s="136" customFormat="1" ht="75" customHeight="1">
      <c r="A108" s="545" t="s">
        <v>225</v>
      </c>
      <c r="B108" s="550" t="s">
        <v>401</v>
      </c>
      <c r="C108" s="394" t="s">
        <v>227</v>
      </c>
      <c r="D108" s="450" t="s">
        <v>348</v>
      </c>
      <c r="E108" s="451"/>
      <c r="F108" s="451"/>
      <c r="G108" s="452"/>
      <c r="H108" s="98">
        <f>H109+H110</f>
        <v>8977.9000000000015</v>
      </c>
      <c r="I108" s="98">
        <f>I109+I110</f>
        <v>8977.9000000000015</v>
      </c>
      <c r="J108" s="98">
        <f>J109+J110</f>
        <v>0</v>
      </c>
      <c r="K108" s="98">
        <f>K109+K110</f>
        <v>0</v>
      </c>
      <c r="L108" s="429" t="s">
        <v>150</v>
      </c>
    </row>
    <row r="109" spans="1:12" s="136" customFormat="1" ht="75" customHeight="1">
      <c r="A109" s="546"/>
      <c r="B109" s="551"/>
      <c r="C109" s="394"/>
      <c r="D109" s="453" t="s">
        <v>30</v>
      </c>
      <c r="E109" s="395" t="s">
        <v>79</v>
      </c>
      <c r="F109" s="491" t="s">
        <v>460</v>
      </c>
      <c r="G109" s="331" t="s">
        <v>428</v>
      </c>
      <c r="H109" s="98">
        <f t="shared" ref="H109:H114" si="7">I109+J109+K109</f>
        <v>2630.3</v>
      </c>
      <c r="I109" s="99">
        <f>4309.8-9.5-1000-670</f>
        <v>2630.3</v>
      </c>
      <c r="J109" s="99">
        <v>0</v>
      </c>
      <c r="K109" s="99">
        <v>0</v>
      </c>
      <c r="L109" s="429"/>
    </row>
    <row r="110" spans="1:12" s="136" customFormat="1" ht="75" customHeight="1">
      <c r="A110" s="546"/>
      <c r="B110" s="551"/>
      <c r="C110" s="394"/>
      <c r="D110" s="454"/>
      <c r="E110" s="397"/>
      <c r="F110" s="492"/>
      <c r="G110" s="331" t="s">
        <v>96</v>
      </c>
      <c r="H110" s="98">
        <f t="shared" si="7"/>
        <v>6347.6</v>
      </c>
      <c r="I110" s="99">
        <v>6347.6</v>
      </c>
      <c r="J110" s="99">
        <v>0</v>
      </c>
      <c r="K110" s="99">
        <v>0</v>
      </c>
      <c r="L110" s="429"/>
    </row>
    <row r="111" spans="1:12" s="136" customFormat="1" ht="93.75" customHeight="1">
      <c r="A111" s="546"/>
      <c r="B111" s="551"/>
      <c r="C111" s="322" t="s">
        <v>263</v>
      </c>
      <c r="D111" s="148" t="s">
        <v>30</v>
      </c>
      <c r="E111" s="40" t="s">
        <v>79</v>
      </c>
      <c r="F111" s="492"/>
      <c r="G111" s="331" t="s">
        <v>425</v>
      </c>
      <c r="H111" s="98">
        <f t="shared" si="7"/>
        <v>8369.6</v>
      </c>
      <c r="I111" s="99">
        <f>3145.8-450</f>
        <v>2695.8</v>
      </c>
      <c r="J111" s="99">
        <v>2727.8</v>
      </c>
      <c r="K111" s="99">
        <v>2946</v>
      </c>
      <c r="L111" s="429"/>
    </row>
    <row r="112" spans="1:12" s="136" customFormat="1" ht="112.5" customHeight="1">
      <c r="A112" s="546"/>
      <c r="B112" s="551"/>
      <c r="C112" s="322" t="s">
        <v>264</v>
      </c>
      <c r="D112" s="148" t="s">
        <v>30</v>
      </c>
      <c r="E112" s="40" t="s">
        <v>79</v>
      </c>
      <c r="F112" s="492"/>
      <c r="G112" s="331" t="s">
        <v>425</v>
      </c>
      <c r="H112" s="98">
        <f t="shared" si="7"/>
        <v>1062.92</v>
      </c>
      <c r="I112" s="104">
        <v>525.5</v>
      </c>
      <c r="J112" s="99">
        <v>260</v>
      </c>
      <c r="K112" s="122">
        <v>277.42</v>
      </c>
      <c r="L112" s="429"/>
    </row>
    <row r="113" spans="1:12" s="136" customFormat="1" ht="162.75" customHeight="1">
      <c r="A113" s="546"/>
      <c r="B113" s="551"/>
      <c r="C113" s="322" t="s">
        <v>265</v>
      </c>
      <c r="D113" s="148" t="s">
        <v>30</v>
      </c>
      <c r="E113" s="40" t="s">
        <v>79</v>
      </c>
      <c r="F113" s="492"/>
      <c r="G113" s="331" t="s">
        <v>425</v>
      </c>
      <c r="H113" s="98">
        <f t="shared" si="7"/>
        <v>973.3</v>
      </c>
      <c r="I113" s="99">
        <v>411.8</v>
      </c>
      <c r="J113" s="99">
        <v>271</v>
      </c>
      <c r="K113" s="99">
        <v>290.5</v>
      </c>
      <c r="L113" s="429"/>
    </row>
    <row r="114" spans="1:12" s="136" customFormat="1" ht="87.75" customHeight="1">
      <c r="A114" s="340"/>
      <c r="B114" s="552"/>
      <c r="C114" s="322" t="s">
        <v>477</v>
      </c>
      <c r="D114" s="148" t="s">
        <v>30</v>
      </c>
      <c r="E114" s="40" t="s">
        <v>79</v>
      </c>
      <c r="F114" s="549"/>
      <c r="G114" s="331"/>
      <c r="H114" s="98">
        <f t="shared" si="7"/>
        <v>58.8</v>
      </c>
      <c r="I114" s="99"/>
      <c r="J114" s="99">
        <v>58.8</v>
      </c>
      <c r="K114" s="99"/>
      <c r="L114" s="352"/>
    </row>
    <row r="115" spans="1:12" s="136" customFormat="1" ht="75" customHeight="1">
      <c r="A115" s="553"/>
      <c r="B115" s="553"/>
      <c r="C115" s="553"/>
      <c r="D115" s="553"/>
      <c r="E115" s="439" t="s">
        <v>271</v>
      </c>
      <c r="F115" s="443"/>
      <c r="G115" s="331"/>
      <c r="H115" s="98">
        <f>H108+H111+H112+H113</f>
        <v>19383.719999999998</v>
      </c>
      <c r="I115" s="98">
        <f>I108+I111+I112+I113</f>
        <v>12611</v>
      </c>
      <c r="J115" s="98">
        <f>J108+J111+J112+J113+J114</f>
        <v>3317.6000000000004</v>
      </c>
      <c r="K115" s="98">
        <f>K108+K111+K112+K113</f>
        <v>3513.92</v>
      </c>
      <c r="L115" s="436"/>
    </row>
    <row r="116" spans="1:12" s="136" customFormat="1" ht="75" customHeight="1">
      <c r="A116" s="553"/>
      <c r="B116" s="553"/>
      <c r="C116" s="553"/>
      <c r="D116" s="553"/>
      <c r="E116" s="440"/>
      <c r="F116" s="443"/>
      <c r="G116" s="331" t="s">
        <v>425</v>
      </c>
      <c r="H116" s="98">
        <f>H109+H111+H112+H113</f>
        <v>13036.12</v>
      </c>
      <c r="I116" s="98">
        <f>I109+I111+I112+I113</f>
        <v>6263.4000000000005</v>
      </c>
      <c r="J116" s="98">
        <f>J109+J111+J112+J113+J114</f>
        <v>3317.6000000000004</v>
      </c>
      <c r="K116" s="98">
        <f>K109+K111+K112+K113</f>
        <v>3513.92</v>
      </c>
      <c r="L116" s="437"/>
    </row>
    <row r="117" spans="1:12" s="136" customFormat="1" ht="75" customHeight="1">
      <c r="A117" s="553"/>
      <c r="B117" s="553"/>
      <c r="C117" s="553"/>
      <c r="D117" s="553"/>
      <c r="E117" s="441"/>
      <c r="F117" s="443"/>
      <c r="G117" s="331" t="s">
        <v>96</v>
      </c>
      <c r="H117" s="98">
        <f>H110</f>
        <v>6347.6</v>
      </c>
      <c r="I117" s="98">
        <f>I110</f>
        <v>6347.6</v>
      </c>
      <c r="J117" s="98">
        <f>J110</f>
        <v>0</v>
      </c>
      <c r="K117" s="98">
        <f>K110</f>
        <v>0</v>
      </c>
      <c r="L117" s="438"/>
    </row>
    <row r="118" spans="1:12" s="136" customFormat="1" ht="75" customHeight="1">
      <c r="A118" s="553" t="s">
        <v>228</v>
      </c>
      <c r="B118" s="439" t="s">
        <v>270</v>
      </c>
      <c r="C118" s="395" t="s">
        <v>229</v>
      </c>
      <c r="D118" s="450" t="s">
        <v>349</v>
      </c>
      <c r="E118" s="451"/>
      <c r="F118" s="451"/>
      <c r="G118" s="452"/>
      <c r="H118" s="98">
        <f>H119+H120</f>
        <v>20902.575000000001</v>
      </c>
      <c r="I118" s="98">
        <f>I119+I120</f>
        <v>6210.2</v>
      </c>
      <c r="J118" s="98">
        <f>J119+J120</f>
        <v>7111.8</v>
      </c>
      <c r="K118" s="98">
        <f>K119+K120</f>
        <v>7580.5749999999998</v>
      </c>
      <c r="L118" s="433" t="s">
        <v>151</v>
      </c>
    </row>
    <row r="119" spans="1:12" s="136" customFormat="1" ht="75" customHeight="1">
      <c r="A119" s="553"/>
      <c r="B119" s="440"/>
      <c r="C119" s="396"/>
      <c r="D119" s="453" t="s">
        <v>31</v>
      </c>
      <c r="E119" s="395" t="s">
        <v>78</v>
      </c>
      <c r="F119" s="406" t="s">
        <v>460</v>
      </c>
      <c r="G119" s="331" t="s">
        <v>425</v>
      </c>
      <c r="H119" s="98">
        <f>I119+J119+K119</f>
        <v>19770.375</v>
      </c>
      <c r="I119" s="99">
        <f>4969+109</f>
        <v>5078</v>
      </c>
      <c r="J119" s="99">
        <f>7149.3-37.5</f>
        <v>7111.8</v>
      </c>
      <c r="K119" s="99">
        <f>7621.2-40.625</f>
        <v>7580.5749999999998</v>
      </c>
      <c r="L119" s="434"/>
    </row>
    <row r="120" spans="1:12" s="136" customFormat="1" ht="75" customHeight="1">
      <c r="A120" s="553"/>
      <c r="B120" s="440"/>
      <c r="C120" s="397"/>
      <c r="D120" s="454"/>
      <c r="E120" s="397"/>
      <c r="F120" s="406"/>
      <c r="G120" s="331" t="s">
        <v>96</v>
      </c>
      <c r="H120" s="98">
        <f>I120+J120+K120</f>
        <v>1132.2</v>
      </c>
      <c r="I120" s="99">
        <v>1132.2</v>
      </c>
      <c r="J120" s="99">
        <v>0</v>
      </c>
      <c r="K120" s="99">
        <v>0</v>
      </c>
      <c r="L120" s="434"/>
    </row>
    <row r="121" spans="1:12" s="136" customFormat="1" ht="89.25" customHeight="1">
      <c r="A121" s="553"/>
      <c r="B121" s="441"/>
      <c r="C121" s="322" t="s">
        <v>230</v>
      </c>
      <c r="D121" s="148" t="s">
        <v>31</v>
      </c>
      <c r="E121" s="40" t="s">
        <v>78</v>
      </c>
      <c r="F121" s="406"/>
      <c r="G121" s="331" t="s">
        <v>425</v>
      </c>
      <c r="H121" s="98">
        <f>I121+J121+K121</f>
        <v>1469.6</v>
      </c>
      <c r="I121" s="99">
        <v>527.79999999999995</v>
      </c>
      <c r="J121" s="99">
        <v>452.8</v>
      </c>
      <c r="K121" s="99">
        <v>489</v>
      </c>
      <c r="L121" s="435"/>
    </row>
    <row r="122" spans="1:12" s="136" customFormat="1" ht="75" customHeight="1">
      <c r="A122" s="572"/>
      <c r="B122" s="572"/>
      <c r="C122" s="572"/>
      <c r="D122" s="572"/>
      <c r="E122" s="439" t="s">
        <v>272</v>
      </c>
      <c r="F122" s="406"/>
      <c r="G122" s="331"/>
      <c r="H122" s="98">
        <f>H118+H121</f>
        <v>22372.174999999999</v>
      </c>
      <c r="I122" s="98">
        <f>I118+I121</f>
        <v>6738</v>
      </c>
      <c r="J122" s="98">
        <f>J118+J121</f>
        <v>7564.6</v>
      </c>
      <c r="K122" s="98">
        <f>K118+K121</f>
        <v>8069.5749999999998</v>
      </c>
      <c r="L122" s="436"/>
    </row>
    <row r="123" spans="1:12" s="136" customFormat="1" ht="75" customHeight="1">
      <c r="A123" s="572"/>
      <c r="B123" s="572"/>
      <c r="C123" s="572"/>
      <c r="D123" s="572"/>
      <c r="E123" s="440"/>
      <c r="F123" s="406"/>
      <c r="G123" s="331" t="s">
        <v>425</v>
      </c>
      <c r="H123" s="98">
        <f>H119+H121</f>
        <v>21239.974999999999</v>
      </c>
      <c r="I123" s="98">
        <f>I119+I121</f>
        <v>5605.8</v>
      </c>
      <c r="J123" s="98">
        <f>J119+J121</f>
        <v>7564.6</v>
      </c>
      <c r="K123" s="98">
        <f>K119+K121</f>
        <v>8069.5749999999998</v>
      </c>
      <c r="L123" s="437"/>
    </row>
    <row r="124" spans="1:12" s="136" customFormat="1" ht="75" customHeight="1">
      <c r="A124" s="572"/>
      <c r="B124" s="572"/>
      <c r="C124" s="572"/>
      <c r="D124" s="572"/>
      <c r="E124" s="441"/>
      <c r="F124" s="406"/>
      <c r="G124" s="331" t="s">
        <v>96</v>
      </c>
      <c r="H124" s="98">
        <f>H120</f>
        <v>1132.2</v>
      </c>
      <c r="I124" s="98">
        <f>I120</f>
        <v>1132.2</v>
      </c>
      <c r="J124" s="98">
        <f>J120</f>
        <v>0</v>
      </c>
      <c r="K124" s="98">
        <f>K120</f>
        <v>0</v>
      </c>
      <c r="L124" s="438"/>
    </row>
    <row r="125" spans="1:12" ht="75" customHeight="1">
      <c r="A125" s="382" t="s">
        <v>64</v>
      </c>
      <c r="B125" s="383"/>
      <c r="C125" s="383"/>
      <c r="D125" s="383"/>
      <c r="E125" s="383"/>
      <c r="F125" s="383"/>
      <c r="G125" s="384"/>
      <c r="H125" s="103">
        <f>H27+H86+H115+H122</f>
        <v>228728.53</v>
      </c>
      <c r="I125" s="103">
        <f>I27+I86+I115+I122</f>
        <v>136386.12300000002</v>
      </c>
      <c r="J125" s="103">
        <f>J27+J86+J115+J122</f>
        <v>46487.479999999996</v>
      </c>
      <c r="K125" s="103">
        <f>K27+K86+K115+K122</f>
        <v>46015.026999999995</v>
      </c>
      <c r="L125" s="455"/>
    </row>
    <row r="126" spans="1:12" s="136" customFormat="1" ht="75" customHeight="1">
      <c r="A126" s="388" t="s">
        <v>18</v>
      </c>
      <c r="B126" s="388"/>
      <c r="C126" s="388"/>
      <c r="D126" s="388"/>
      <c r="E126" s="388"/>
      <c r="F126" s="389"/>
      <c r="G126" s="151" t="s">
        <v>425</v>
      </c>
      <c r="H126" s="111">
        <f>H27+H87+H116+H123</f>
        <v>171661.43</v>
      </c>
      <c r="I126" s="111">
        <f>I27+I87+I116+I123</f>
        <v>80658.922999999981</v>
      </c>
      <c r="J126" s="111">
        <f>J27+J87+J116+J123</f>
        <v>46487.479999999996</v>
      </c>
      <c r="K126" s="111">
        <f>K27+K87+K116+K123</f>
        <v>46015.026999999995</v>
      </c>
      <c r="L126" s="456"/>
    </row>
    <row r="127" spans="1:12" s="136" customFormat="1" ht="112.5" customHeight="1">
      <c r="A127" s="390"/>
      <c r="B127" s="390"/>
      <c r="C127" s="390"/>
      <c r="D127" s="390"/>
      <c r="E127" s="390"/>
      <c r="F127" s="391"/>
      <c r="G127" s="151" t="s">
        <v>96</v>
      </c>
      <c r="H127" s="111">
        <f>H124+H117+H88</f>
        <v>52839.700000000004</v>
      </c>
      <c r="I127" s="111">
        <f>I124+I117+I88</f>
        <v>52839.700000000004</v>
      </c>
      <c r="J127" s="111">
        <f>J124+J117+J88</f>
        <v>0</v>
      </c>
      <c r="K127" s="111">
        <f>K124+K117+K88</f>
        <v>0</v>
      </c>
      <c r="L127" s="456"/>
    </row>
    <row r="128" spans="1:12" s="136" customFormat="1" ht="168.75" customHeight="1">
      <c r="A128" s="390"/>
      <c r="B128" s="390"/>
      <c r="C128" s="390"/>
      <c r="D128" s="390"/>
      <c r="E128" s="390"/>
      <c r="F128" s="391"/>
      <c r="G128" s="152" t="s">
        <v>99</v>
      </c>
      <c r="H128" s="111">
        <f t="shared" ref="H128:K129" si="8">H89</f>
        <v>2827.5</v>
      </c>
      <c r="I128" s="111">
        <f t="shared" si="8"/>
        <v>2827.5</v>
      </c>
      <c r="J128" s="111">
        <f t="shared" si="8"/>
        <v>0</v>
      </c>
      <c r="K128" s="111">
        <f t="shared" si="8"/>
        <v>0</v>
      </c>
      <c r="L128" s="456"/>
    </row>
    <row r="129" spans="1:12" s="136" customFormat="1" ht="75" customHeight="1">
      <c r="A129" s="392"/>
      <c r="B129" s="392"/>
      <c r="C129" s="392"/>
      <c r="D129" s="392"/>
      <c r="E129" s="392"/>
      <c r="F129" s="393"/>
      <c r="G129" s="153" t="s">
        <v>328</v>
      </c>
      <c r="H129" s="111">
        <f t="shared" si="8"/>
        <v>60</v>
      </c>
      <c r="I129" s="111">
        <f t="shared" si="8"/>
        <v>60</v>
      </c>
      <c r="J129" s="111">
        <f t="shared" si="8"/>
        <v>0</v>
      </c>
      <c r="K129" s="111">
        <f t="shared" si="8"/>
        <v>0</v>
      </c>
      <c r="L129" s="456"/>
    </row>
    <row r="130" spans="1:12" s="136" customFormat="1" ht="75" customHeight="1">
      <c r="A130" s="470" t="s">
        <v>278</v>
      </c>
      <c r="B130" s="471"/>
      <c r="C130" s="471"/>
      <c r="D130" s="472"/>
      <c r="E130" s="394" t="s">
        <v>82</v>
      </c>
      <c r="F130" s="385"/>
      <c r="G130" s="349" t="s">
        <v>97</v>
      </c>
      <c r="H130" s="103">
        <f>SUM(H131:H134)</f>
        <v>39387.53</v>
      </c>
      <c r="I130" s="103">
        <f>SUM(I131:I134)</f>
        <v>28290.43</v>
      </c>
      <c r="J130" s="103">
        <f>SUM(J131:J134)</f>
        <v>6071.2</v>
      </c>
      <c r="K130" s="103">
        <f>SUM(K131:K134)</f>
        <v>5025.8999999999996</v>
      </c>
      <c r="L130" s="456"/>
    </row>
    <row r="131" spans="1:12" ht="75" customHeight="1">
      <c r="A131" s="473"/>
      <c r="B131" s="474"/>
      <c r="C131" s="474"/>
      <c r="D131" s="475"/>
      <c r="E131" s="394"/>
      <c r="F131" s="386"/>
      <c r="G131" s="331" t="s">
        <v>425</v>
      </c>
      <c r="H131" s="112">
        <f>H93</f>
        <v>26694.73</v>
      </c>
      <c r="I131" s="112">
        <f>I93</f>
        <v>15597.63</v>
      </c>
      <c r="J131" s="112">
        <f>J93</f>
        <v>6071.2</v>
      </c>
      <c r="K131" s="112">
        <f>K93</f>
        <v>5025.8999999999996</v>
      </c>
      <c r="L131" s="456"/>
    </row>
    <row r="132" spans="1:12" ht="177.75" customHeight="1">
      <c r="A132" s="473"/>
      <c r="B132" s="474"/>
      <c r="C132" s="474"/>
      <c r="D132" s="475"/>
      <c r="E132" s="394"/>
      <c r="F132" s="386"/>
      <c r="G132" s="331"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32" s="99">
        <f t="shared" ref="H132:K133" si="9">H95</f>
        <v>147.19999999999999</v>
      </c>
      <c r="I132" s="99">
        <f t="shared" si="9"/>
        <v>147.19999999999999</v>
      </c>
      <c r="J132" s="99">
        <f t="shared" si="9"/>
        <v>0</v>
      </c>
      <c r="K132" s="99">
        <f t="shared" si="9"/>
        <v>0</v>
      </c>
      <c r="L132" s="456"/>
    </row>
    <row r="133" spans="1:12" ht="81" customHeight="1">
      <c r="A133" s="473"/>
      <c r="B133" s="474"/>
      <c r="C133" s="474"/>
      <c r="D133" s="475"/>
      <c r="E133" s="394"/>
      <c r="F133" s="386"/>
      <c r="G133" s="331" t="s">
        <v>328</v>
      </c>
      <c r="H133" s="112">
        <f t="shared" si="9"/>
        <v>60</v>
      </c>
      <c r="I133" s="112">
        <f t="shared" si="9"/>
        <v>60</v>
      </c>
      <c r="J133" s="112">
        <f t="shared" si="9"/>
        <v>0</v>
      </c>
      <c r="K133" s="112">
        <f t="shared" si="9"/>
        <v>0</v>
      </c>
      <c r="L133" s="456"/>
    </row>
    <row r="134" spans="1:12" ht="75" customHeight="1">
      <c r="A134" s="473"/>
      <c r="B134" s="474"/>
      <c r="C134" s="474"/>
      <c r="D134" s="475"/>
      <c r="E134" s="394"/>
      <c r="F134" s="386"/>
      <c r="G134" s="331" t="s">
        <v>96</v>
      </c>
      <c r="H134" s="112">
        <f>H94</f>
        <v>12485.6</v>
      </c>
      <c r="I134" s="112">
        <f>I94</f>
        <v>12485.6</v>
      </c>
      <c r="J134" s="112">
        <f>J94</f>
        <v>0</v>
      </c>
      <c r="K134" s="112">
        <f>K94</f>
        <v>0</v>
      </c>
      <c r="L134" s="456"/>
    </row>
    <row r="135" spans="1:12" ht="75" customHeight="1">
      <c r="A135" s="473"/>
      <c r="B135" s="474"/>
      <c r="C135" s="474"/>
      <c r="D135" s="475"/>
      <c r="E135" s="395" t="s">
        <v>76</v>
      </c>
      <c r="F135" s="386"/>
      <c r="G135" s="349" t="s">
        <v>97</v>
      </c>
      <c r="H135" s="103">
        <f>SUM(H136:H137)</f>
        <v>37587.879999999997</v>
      </c>
      <c r="I135" s="103">
        <f>SUM(I136:I137)</f>
        <v>19066.3</v>
      </c>
      <c r="J135" s="103">
        <f>SUM(J136:J137)</f>
        <v>8968.98</v>
      </c>
      <c r="K135" s="103">
        <f>SUM(K136:K137)</f>
        <v>9593.2999999999993</v>
      </c>
      <c r="L135" s="456"/>
    </row>
    <row r="136" spans="1:12" ht="75" customHeight="1">
      <c r="A136" s="473"/>
      <c r="B136" s="474"/>
      <c r="C136" s="474"/>
      <c r="D136" s="475"/>
      <c r="E136" s="396"/>
      <c r="F136" s="386"/>
      <c r="G136" s="331" t="s">
        <v>425</v>
      </c>
      <c r="H136" s="112">
        <f t="shared" ref="H136:K137" si="10">H98</f>
        <v>29427.78</v>
      </c>
      <c r="I136" s="112">
        <f t="shared" si="10"/>
        <v>10906.199999999999</v>
      </c>
      <c r="J136" s="112">
        <f t="shared" si="10"/>
        <v>8968.98</v>
      </c>
      <c r="K136" s="112">
        <f t="shared" si="10"/>
        <v>9593.2999999999993</v>
      </c>
      <c r="L136" s="456"/>
    </row>
    <row r="137" spans="1:12" ht="75" customHeight="1">
      <c r="A137" s="473"/>
      <c r="B137" s="474"/>
      <c r="C137" s="474"/>
      <c r="D137" s="475"/>
      <c r="E137" s="397"/>
      <c r="F137" s="386"/>
      <c r="G137" s="346" t="s">
        <v>96</v>
      </c>
      <c r="H137" s="112">
        <f t="shared" si="10"/>
        <v>8160.1</v>
      </c>
      <c r="I137" s="112">
        <f t="shared" si="10"/>
        <v>8160.1</v>
      </c>
      <c r="J137" s="112">
        <f t="shared" si="10"/>
        <v>0</v>
      </c>
      <c r="K137" s="112">
        <f t="shared" si="10"/>
        <v>0</v>
      </c>
      <c r="L137" s="456"/>
    </row>
    <row r="138" spans="1:12" ht="75" customHeight="1">
      <c r="A138" s="473"/>
      <c r="B138" s="474"/>
      <c r="C138" s="474"/>
      <c r="D138" s="475"/>
      <c r="E138" s="395" t="s">
        <v>77</v>
      </c>
      <c r="F138" s="386"/>
      <c r="G138" s="349" t="s">
        <v>97</v>
      </c>
      <c r="H138" s="103">
        <f>SUM(H139:H141)</f>
        <v>46751.010000000009</v>
      </c>
      <c r="I138" s="103">
        <f>SUM(I139:I141)</f>
        <v>32420.6</v>
      </c>
      <c r="J138" s="103">
        <f>SUM(J139:J141)</f>
        <v>6995.57</v>
      </c>
      <c r="K138" s="103">
        <f>SUM(K139:K141)</f>
        <v>7433.84</v>
      </c>
      <c r="L138" s="456"/>
    </row>
    <row r="139" spans="1:12" ht="75" customHeight="1">
      <c r="A139" s="473"/>
      <c r="B139" s="474"/>
      <c r="C139" s="474"/>
      <c r="D139" s="475"/>
      <c r="E139" s="396"/>
      <c r="F139" s="386"/>
      <c r="G139" s="331" t="s">
        <v>425</v>
      </c>
      <c r="H139" s="112">
        <f t="shared" ref="H139:K141" si="11">H101</f>
        <v>31204.510000000002</v>
      </c>
      <c r="I139" s="112">
        <f t="shared" si="11"/>
        <v>16874.099999999999</v>
      </c>
      <c r="J139" s="112">
        <f t="shared" si="11"/>
        <v>6995.57</v>
      </c>
      <c r="K139" s="112">
        <f t="shared" si="11"/>
        <v>7433.84</v>
      </c>
      <c r="L139" s="456"/>
    </row>
    <row r="140" spans="1:12" ht="75" customHeight="1">
      <c r="A140" s="473"/>
      <c r="B140" s="474"/>
      <c r="C140" s="474"/>
      <c r="D140" s="475"/>
      <c r="E140" s="396"/>
      <c r="F140" s="386"/>
      <c r="G140" s="346" t="s">
        <v>96</v>
      </c>
      <c r="H140" s="112">
        <f t="shared" si="11"/>
        <v>12866.2</v>
      </c>
      <c r="I140" s="112">
        <f t="shared" si="11"/>
        <v>12866.2</v>
      </c>
      <c r="J140" s="112">
        <f t="shared" si="11"/>
        <v>0</v>
      </c>
      <c r="K140" s="112">
        <f t="shared" si="11"/>
        <v>0</v>
      </c>
      <c r="L140" s="456"/>
    </row>
    <row r="141" spans="1:12" ht="168.75" customHeight="1">
      <c r="A141" s="473"/>
      <c r="B141" s="474"/>
      <c r="C141" s="474"/>
      <c r="D141" s="475"/>
      <c r="E141" s="397"/>
      <c r="F141" s="386"/>
      <c r="G141" s="329" t="s">
        <v>99</v>
      </c>
      <c r="H141" s="112">
        <f t="shared" si="11"/>
        <v>2680.3</v>
      </c>
      <c r="I141" s="112">
        <f t="shared" si="11"/>
        <v>2680.3</v>
      </c>
      <c r="J141" s="112">
        <f t="shared" si="11"/>
        <v>0</v>
      </c>
      <c r="K141" s="112">
        <f t="shared" si="11"/>
        <v>0</v>
      </c>
      <c r="L141" s="456"/>
    </row>
    <row r="142" spans="1:12" ht="75" customHeight="1">
      <c r="A142" s="473"/>
      <c r="B142" s="474"/>
      <c r="C142" s="474"/>
      <c r="D142" s="475"/>
      <c r="E142" s="395" t="s">
        <v>75</v>
      </c>
      <c r="F142" s="386"/>
      <c r="G142" s="349" t="s">
        <v>97</v>
      </c>
      <c r="H142" s="103">
        <f>SUM(H143:H144)</f>
        <v>47734.004999999997</v>
      </c>
      <c r="I142" s="103">
        <f>SUM(I143:I144)</f>
        <v>31360.183000000001</v>
      </c>
      <c r="J142" s="103">
        <f>SUM(J143:J144)</f>
        <v>8870.43</v>
      </c>
      <c r="K142" s="103">
        <f>SUM(K143:K144)</f>
        <v>7602.3920000000007</v>
      </c>
      <c r="L142" s="456"/>
    </row>
    <row r="143" spans="1:12" ht="75" customHeight="1">
      <c r="A143" s="473"/>
      <c r="B143" s="474"/>
      <c r="C143" s="474"/>
      <c r="D143" s="475"/>
      <c r="E143" s="396"/>
      <c r="F143" s="386"/>
      <c r="G143" s="346" t="s">
        <v>425</v>
      </c>
      <c r="H143" s="112">
        <f t="shared" ref="H143:K144" si="12">H105</f>
        <v>35886.004999999997</v>
      </c>
      <c r="I143" s="112">
        <f t="shared" si="12"/>
        <v>19512.183000000001</v>
      </c>
      <c r="J143" s="112">
        <f t="shared" si="12"/>
        <v>8870.43</v>
      </c>
      <c r="K143" s="112">
        <f t="shared" si="12"/>
        <v>7602.3920000000007</v>
      </c>
      <c r="L143" s="456"/>
    </row>
    <row r="144" spans="1:12" ht="75" customHeight="1">
      <c r="A144" s="473"/>
      <c r="B144" s="474"/>
      <c r="C144" s="474"/>
      <c r="D144" s="475"/>
      <c r="E144" s="397"/>
      <c r="F144" s="386"/>
      <c r="G144" s="346" t="s">
        <v>96</v>
      </c>
      <c r="H144" s="112">
        <f t="shared" si="12"/>
        <v>11848</v>
      </c>
      <c r="I144" s="112">
        <f t="shared" si="12"/>
        <v>11848</v>
      </c>
      <c r="J144" s="112">
        <f t="shared" si="12"/>
        <v>0</v>
      </c>
      <c r="K144" s="112">
        <f t="shared" si="12"/>
        <v>0</v>
      </c>
      <c r="L144" s="456"/>
    </row>
    <row r="145" spans="1:12" ht="75" customHeight="1">
      <c r="A145" s="473"/>
      <c r="B145" s="474"/>
      <c r="C145" s="474"/>
      <c r="D145" s="475"/>
      <c r="E145" s="395" t="s">
        <v>79</v>
      </c>
      <c r="F145" s="386"/>
      <c r="G145" s="349" t="s">
        <v>97</v>
      </c>
      <c r="H145" s="103">
        <f>SUM(H146:H147)</f>
        <v>19383.72</v>
      </c>
      <c r="I145" s="103">
        <f>SUM(I146:I147)</f>
        <v>12611</v>
      </c>
      <c r="J145" s="103">
        <f>SUM(J146:J147)</f>
        <v>3317.6000000000004</v>
      </c>
      <c r="K145" s="103">
        <f>SUM(K146:K147)</f>
        <v>3513.92</v>
      </c>
      <c r="L145" s="456"/>
    </row>
    <row r="146" spans="1:12" ht="75" customHeight="1">
      <c r="A146" s="473"/>
      <c r="B146" s="474"/>
      <c r="C146" s="474"/>
      <c r="D146" s="475"/>
      <c r="E146" s="396"/>
      <c r="F146" s="386"/>
      <c r="G146" s="346" t="s">
        <v>425</v>
      </c>
      <c r="H146" s="112">
        <f t="shared" ref="H146:K147" si="13">H116</f>
        <v>13036.12</v>
      </c>
      <c r="I146" s="112">
        <f t="shared" si="13"/>
        <v>6263.4000000000005</v>
      </c>
      <c r="J146" s="112">
        <f>J116</f>
        <v>3317.6000000000004</v>
      </c>
      <c r="K146" s="112">
        <f t="shared" si="13"/>
        <v>3513.92</v>
      </c>
      <c r="L146" s="456"/>
    </row>
    <row r="147" spans="1:12" ht="75" customHeight="1">
      <c r="A147" s="473"/>
      <c r="B147" s="474"/>
      <c r="C147" s="474"/>
      <c r="D147" s="475"/>
      <c r="E147" s="397"/>
      <c r="F147" s="386"/>
      <c r="G147" s="346" t="s">
        <v>96</v>
      </c>
      <c r="H147" s="112">
        <f t="shared" si="13"/>
        <v>6347.6</v>
      </c>
      <c r="I147" s="112">
        <f t="shared" si="13"/>
        <v>6347.6</v>
      </c>
      <c r="J147" s="112">
        <f t="shared" si="13"/>
        <v>0</v>
      </c>
      <c r="K147" s="112">
        <f t="shared" si="13"/>
        <v>0</v>
      </c>
      <c r="L147" s="456"/>
    </row>
    <row r="148" spans="1:12" ht="75" customHeight="1">
      <c r="A148" s="473"/>
      <c r="B148" s="474"/>
      <c r="C148" s="474"/>
      <c r="D148" s="475"/>
      <c r="E148" s="395" t="s">
        <v>78</v>
      </c>
      <c r="F148" s="386"/>
      <c r="G148" s="349" t="s">
        <v>97</v>
      </c>
      <c r="H148" s="103">
        <f>SUM(H149:H150)</f>
        <v>22372.174999999999</v>
      </c>
      <c r="I148" s="103">
        <f>SUM(I149:I150)</f>
        <v>6738</v>
      </c>
      <c r="J148" s="103">
        <f>SUM(J149:J150)</f>
        <v>7564.6</v>
      </c>
      <c r="K148" s="103">
        <f>SUM(K149:K150)</f>
        <v>8069.5749999999998</v>
      </c>
      <c r="L148" s="456"/>
    </row>
    <row r="149" spans="1:12" ht="75" customHeight="1">
      <c r="A149" s="473"/>
      <c r="B149" s="474"/>
      <c r="C149" s="474"/>
      <c r="D149" s="475"/>
      <c r="E149" s="396"/>
      <c r="F149" s="386"/>
      <c r="G149" s="346" t="s">
        <v>425</v>
      </c>
      <c r="H149" s="112">
        <f t="shared" ref="H149:K150" si="14">H123</f>
        <v>21239.974999999999</v>
      </c>
      <c r="I149" s="112">
        <f t="shared" si="14"/>
        <v>5605.8</v>
      </c>
      <c r="J149" s="112">
        <f t="shared" si="14"/>
        <v>7564.6</v>
      </c>
      <c r="K149" s="112">
        <f t="shared" si="14"/>
        <v>8069.5749999999998</v>
      </c>
      <c r="L149" s="456"/>
    </row>
    <row r="150" spans="1:12" ht="75" customHeight="1">
      <c r="A150" s="473"/>
      <c r="B150" s="474"/>
      <c r="C150" s="474"/>
      <c r="D150" s="475"/>
      <c r="E150" s="397"/>
      <c r="F150" s="386"/>
      <c r="G150" s="346" t="s">
        <v>96</v>
      </c>
      <c r="H150" s="112">
        <f t="shared" si="14"/>
        <v>1132.2</v>
      </c>
      <c r="I150" s="112">
        <f t="shared" si="14"/>
        <v>1132.2</v>
      </c>
      <c r="J150" s="112">
        <f t="shared" si="14"/>
        <v>0</v>
      </c>
      <c r="K150" s="112">
        <f t="shared" si="14"/>
        <v>0</v>
      </c>
      <c r="L150" s="456"/>
    </row>
    <row r="151" spans="1:12" ht="75" customHeight="1">
      <c r="A151" s="473"/>
      <c r="B151" s="474"/>
      <c r="C151" s="474"/>
      <c r="D151" s="475"/>
      <c r="E151" s="40" t="s">
        <v>80</v>
      </c>
      <c r="F151" s="386"/>
      <c r="G151" s="346" t="s">
        <v>425</v>
      </c>
      <c r="H151" s="103">
        <f t="shared" ref="H151:K152" si="15">H28</f>
        <v>5916.0000000000009</v>
      </c>
      <c r="I151" s="103">
        <f t="shared" si="15"/>
        <v>1511</v>
      </c>
      <c r="J151" s="103">
        <f t="shared" si="15"/>
        <v>2170.1999999999998</v>
      </c>
      <c r="K151" s="103">
        <f t="shared" si="15"/>
        <v>2282.7999999999997</v>
      </c>
      <c r="L151" s="456"/>
    </row>
    <row r="152" spans="1:12" ht="75" customHeight="1">
      <c r="A152" s="473"/>
      <c r="B152" s="474"/>
      <c r="C152" s="474"/>
      <c r="D152" s="475"/>
      <c r="E152" s="322" t="s">
        <v>81</v>
      </c>
      <c r="F152" s="386"/>
      <c r="G152" s="346" t="s">
        <v>425</v>
      </c>
      <c r="H152" s="103">
        <f t="shared" si="15"/>
        <v>6357.5099999999993</v>
      </c>
      <c r="I152" s="103">
        <f t="shared" si="15"/>
        <v>1388.61</v>
      </c>
      <c r="J152" s="103">
        <f t="shared" si="15"/>
        <v>2528.9000000000005</v>
      </c>
      <c r="K152" s="103">
        <f t="shared" si="15"/>
        <v>2493.3000000000002</v>
      </c>
      <c r="L152" s="456"/>
    </row>
    <row r="153" spans="1:12" ht="75" customHeight="1">
      <c r="A153" s="476"/>
      <c r="B153" s="477"/>
      <c r="C153" s="477"/>
      <c r="D153" s="478"/>
      <c r="E153" s="322" t="s">
        <v>404</v>
      </c>
      <c r="F153" s="387"/>
      <c r="G153" s="346" t="s">
        <v>425</v>
      </c>
      <c r="H153" s="103">
        <f>H107</f>
        <v>3000</v>
      </c>
      <c r="I153" s="103">
        <f>I107</f>
        <v>3000</v>
      </c>
      <c r="J153" s="103">
        <f>J107</f>
        <v>0</v>
      </c>
      <c r="K153" s="103">
        <f>K107</f>
        <v>0</v>
      </c>
      <c r="L153" s="457"/>
    </row>
    <row r="154" spans="1:12" ht="48" customHeight="1">
      <c r="A154" s="382" t="s">
        <v>211</v>
      </c>
      <c r="B154" s="383"/>
      <c r="C154" s="383"/>
      <c r="D154" s="383"/>
      <c r="E154" s="383"/>
      <c r="F154" s="383"/>
      <c r="G154" s="383"/>
      <c r="H154" s="383"/>
      <c r="I154" s="383"/>
      <c r="J154" s="383"/>
      <c r="K154" s="383"/>
      <c r="L154" s="384"/>
    </row>
    <row r="155" spans="1:12" ht="310.5" customHeight="1">
      <c r="A155" s="572" t="s">
        <v>220</v>
      </c>
      <c r="B155" s="401" t="s">
        <v>212</v>
      </c>
      <c r="C155" s="394" t="s">
        <v>231</v>
      </c>
      <c r="D155" s="382" t="s">
        <v>350</v>
      </c>
      <c r="E155" s="383"/>
      <c r="F155" s="383"/>
      <c r="G155" s="384"/>
      <c r="H155" s="103">
        <f>SUM(H156:H157)</f>
        <v>16126.574089599999</v>
      </c>
      <c r="I155" s="103">
        <f>SUM(I156:I157)</f>
        <v>5194</v>
      </c>
      <c r="J155" s="103">
        <f>SUM(J156:J157)</f>
        <v>5234.409599999999</v>
      </c>
      <c r="K155" s="103">
        <f>SUM(K156:K157)</f>
        <v>5698.1644895999998</v>
      </c>
      <c r="L155" s="442" t="s">
        <v>275</v>
      </c>
    </row>
    <row r="156" spans="1:12" ht="206.25" customHeight="1">
      <c r="A156" s="572"/>
      <c r="B156" s="401"/>
      <c r="C156" s="394"/>
      <c r="D156" s="24" t="s">
        <v>33</v>
      </c>
      <c r="E156" s="154" t="s">
        <v>80</v>
      </c>
      <c r="F156" s="405" t="s">
        <v>460</v>
      </c>
      <c r="G156" s="405" t="s">
        <v>425</v>
      </c>
      <c r="H156" s="98">
        <f>I156+J156+K156</f>
        <v>7318.1826335999995</v>
      </c>
      <c r="I156" s="99">
        <v>2331.3000000000002</v>
      </c>
      <c r="J156" s="99">
        <v>2387.7535999999996</v>
      </c>
      <c r="K156" s="99">
        <v>2599.1290335999997</v>
      </c>
      <c r="L156" s="442"/>
    </row>
    <row r="157" spans="1:12" ht="109.5" customHeight="1">
      <c r="A157" s="572"/>
      <c r="B157" s="401"/>
      <c r="C157" s="394"/>
      <c r="D157" s="24" t="s">
        <v>33</v>
      </c>
      <c r="E157" s="154" t="s">
        <v>81</v>
      </c>
      <c r="F157" s="405"/>
      <c r="G157" s="405"/>
      <c r="H157" s="98">
        <f>I157+J157+K157</f>
        <v>8808.3914559999994</v>
      </c>
      <c r="I157" s="99">
        <v>2862.7</v>
      </c>
      <c r="J157" s="99">
        <v>2846.6559999999999</v>
      </c>
      <c r="K157" s="99">
        <v>3099.0354559999996</v>
      </c>
      <c r="L157" s="442"/>
    </row>
    <row r="158" spans="1:12" s="136" customFormat="1" ht="75" customHeight="1">
      <c r="A158" s="572"/>
      <c r="B158" s="401"/>
      <c r="C158" s="580" t="s">
        <v>232</v>
      </c>
      <c r="D158" s="407" t="s">
        <v>351</v>
      </c>
      <c r="E158" s="407"/>
      <c r="F158" s="407"/>
      <c r="G158" s="407"/>
      <c r="H158" s="98">
        <f>H159+H160</f>
        <v>2688.9522999999999</v>
      </c>
      <c r="I158" s="98">
        <f>I159+I160</f>
        <v>833.40000000000009</v>
      </c>
      <c r="J158" s="98">
        <f>J159+J160</f>
        <v>900.7</v>
      </c>
      <c r="K158" s="98">
        <f>K159+K160</f>
        <v>954.85230000000001</v>
      </c>
      <c r="L158" s="394" t="s">
        <v>46</v>
      </c>
    </row>
    <row r="159" spans="1:12" ht="75" customHeight="1">
      <c r="A159" s="572"/>
      <c r="B159" s="401"/>
      <c r="C159" s="581"/>
      <c r="D159" s="24" t="s">
        <v>33</v>
      </c>
      <c r="E159" s="322" t="s">
        <v>80</v>
      </c>
      <c r="F159" s="405" t="s">
        <v>460</v>
      </c>
      <c r="G159" s="405" t="s">
        <v>425</v>
      </c>
      <c r="H159" s="98">
        <f>I159+J159+K159</f>
        <v>1540</v>
      </c>
      <c r="I159" s="99">
        <v>478.8</v>
      </c>
      <c r="J159" s="99">
        <v>513.4</v>
      </c>
      <c r="K159" s="99">
        <v>547.79999999999995</v>
      </c>
      <c r="L159" s="394"/>
    </row>
    <row r="160" spans="1:12" ht="87.75" customHeight="1">
      <c r="A160" s="572"/>
      <c r="B160" s="401"/>
      <c r="C160" s="582"/>
      <c r="D160" s="24" t="s">
        <v>33</v>
      </c>
      <c r="E160" s="355" t="s">
        <v>81</v>
      </c>
      <c r="F160" s="405"/>
      <c r="G160" s="405"/>
      <c r="H160" s="98">
        <f>I160+J160+K160</f>
        <v>1148.9523000000002</v>
      </c>
      <c r="I160" s="99">
        <v>354.6</v>
      </c>
      <c r="J160" s="99">
        <v>387.3</v>
      </c>
      <c r="K160" s="99">
        <f>J160*1.051</f>
        <v>407.0523</v>
      </c>
      <c r="L160" s="394"/>
    </row>
    <row r="161" spans="1:12" ht="158.25" customHeight="1">
      <c r="A161" s="572"/>
      <c r="B161" s="401"/>
      <c r="C161" s="143" t="s">
        <v>233</v>
      </c>
      <c r="D161" s="336" t="s">
        <v>29</v>
      </c>
      <c r="E161" s="322" t="s">
        <v>75</v>
      </c>
      <c r="F161" s="323" t="s">
        <v>460</v>
      </c>
      <c r="G161" s="331" t="s">
        <v>425</v>
      </c>
      <c r="H161" s="98">
        <f>I161+J161+K161</f>
        <v>900</v>
      </c>
      <c r="I161" s="99">
        <v>900</v>
      </c>
      <c r="J161" s="99"/>
      <c r="K161" s="99"/>
      <c r="L161" s="565" t="s">
        <v>72</v>
      </c>
    </row>
    <row r="162" spans="1:12" ht="75" customHeight="1">
      <c r="A162" s="572"/>
      <c r="B162" s="401"/>
      <c r="C162" s="458" t="s">
        <v>234</v>
      </c>
      <c r="D162" s="407" t="s">
        <v>352</v>
      </c>
      <c r="E162" s="407"/>
      <c r="F162" s="407"/>
      <c r="G162" s="407"/>
      <c r="H162" s="98">
        <f>SUM(H163:H165)</f>
        <v>25082.925910400001</v>
      </c>
      <c r="I162" s="98">
        <f>SUM(I163:I165)</f>
        <v>7490.9</v>
      </c>
      <c r="J162" s="98">
        <f>SUM(J163:J165)</f>
        <v>8565.590400000001</v>
      </c>
      <c r="K162" s="98">
        <f>SUM(K163:K165)</f>
        <v>9026.4355104000006</v>
      </c>
      <c r="L162" s="578"/>
    </row>
    <row r="163" spans="1:12" ht="75" customHeight="1">
      <c r="A163" s="572"/>
      <c r="B163" s="401"/>
      <c r="C163" s="459"/>
      <c r="D163" s="345" t="s">
        <v>29</v>
      </c>
      <c r="E163" s="322" t="s">
        <v>75</v>
      </c>
      <c r="F163" s="406" t="s">
        <v>461</v>
      </c>
      <c r="G163" s="405" t="s">
        <v>425</v>
      </c>
      <c r="H163" s="98">
        <f>I163+J163+K163</f>
        <v>3900.5</v>
      </c>
      <c r="I163" s="99">
        <f>600+200</f>
        <v>800</v>
      </c>
      <c r="J163" s="99">
        <v>1500</v>
      </c>
      <c r="K163" s="99">
        <v>1600.5</v>
      </c>
      <c r="L163" s="578"/>
    </row>
    <row r="164" spans="1:12" ht="75" customHeight="1">
      <c r="A164" s="572"/>
      <c r="B164" s="401"/>
      <c r="C164" s="459"/>
      <c r="D164" s="24" t="s">
        <v>36</v>
      </c>
      <c r="E164" s="322" t="s">
        <v>80</v>
      </c>
      <c r="F164" s="406"/>
      <c r="G164" s="405"/>
      <c r="H164" s="98">
        <f>I164+J164+K164</f>
        <v>9630.2173664000002</v>
      </c>
      <c r="I164" s="99">
        <v>3041.9</v>
      </c>
      <c r="J164" s="99">
        <v>3212.2464000000004</v>
      </c>
      <c r="K164" s="99">
        <v>3376.0709664000001</v>
      </c>
      <c r="L164" s="578"/>
    </row>
    <row r="165" spans="1:12" ht="75" customHeight="1">
      <c r="A165" s="572"/>
      <c r="B165" s="401"/>
      <c r="C165" s="460"/>
      <c r="D165" s="24" t="s">
        <v>36</v>
      </c>
      <c r="E165" s="355" t="s">
        <v>81</v>
      </c>
      <c r="F165" s="406"/>
      <c r="G165" s="405"/>
      <c r="H165" s="98">
        <f>I165+J165+K165</f>
        <v>11552.208544000001</v>
      </c>
      <c r="I165" s="99">
        <v>3649</v>
      </c>
      <c r="J165" s="99">
        <v>3853.3440000000001</v>
      </c>
      <c r="K165" s="99">
        <v>4049.864544</v>
      </c>
      <c r="L165" s="578"/>
    </row>
    <row r="166" spans="1:12" ht="179.25" customHeight="1">
      <c r="A166" s="572"/>
      <c r="B166" s="401"/>
      <c r="C166" s="334" t="s">
        <v>235</v>
      </c>
      <c r="D166" s="345" t="s">
        <v>29</v>
      </c>
      <c r="E166" s="322" t="s">
        <v>75</v>
      </c>
      <c r="F166" s="406"/>
      <c r="G166" s="405"/>
      <c r="H166" s="98">
        <f>I166+J166+K166</f>
        <v>420</v>
      </c>
      <c r="I166" s="99">
        <v>420</v>
      </c>
      <c r="J166" s="99"/>
      <c r="K166" s="99"/>
      <c r="L166" s="566"/>
    </row>
    <row r="167" spans="1:12" ht="75" customHeight="1">
      <c r="A167" s="572"/>
      <c r="B167" s="401"/>
      <c r="C167" s="442" t="s">
        <v>236</v>
      </c>
      <c r="D167" s="407" t="s">
        <v>353</v>
      </c>
      <c r="E167" s="407"/>
      <c r="F167" s="407"/>
      <c r="G167" s="407"/>
      <c r="H167" s="98">
        <f>H168+H169</f>
        <v>5857.9</v>
      </c>
      <c r="I167" s="98">
        <f>I168+I169</f>
        <v>1921.3</v>
      </c>
      <c r="J167" s="98">
        <f>J168+J169</f>
        <v>1906.6</v>
      </c>
      <c r="K167" s="98">
        <f>K168+K169</f>
        <v>2030</v>
      </c>
      <c r="L167" s="442" t="s">
        <v>107</v>
      </c>
    </row>
    <row r="168" spans="1:12" ht="102" customHeight="1">
      <c r="A168" s="572"/>
      <c r="B168" s="401"/>
      <c r="C168" s="442"/>
      <c r="D168" s="579" t="s">
        <v>33</v>
      </c>
      <c r="E168" s="322" t="s">
        <v>76</v>
      </c>
      <c r="F168" s="406" t="s">
        <v>460</v>
      </c>
      <c r="G168" s="405" t="s">
        <v>425</v>
      </c>
      <c r="H168" s="98">
        <f>I168+J168+K168</f>
        <v>1745.5</v>
      </c>
      <c r="I168" s="99">
        <f>573.9+0.4</f>
        <v>574.29999999999995</v>
      </c>
      <c r="J168" s="99">
        <v>566.6</v>
      </c>
      <c r="K168" s="99">
        <v>604.6</v>
      </c>
      <c r="L168" s="442"/>
    </row>
    <row r="169" spans="1:12" ht="75" customHeight="1">
      <c r="A169" s="572"/>
      <c r="B169" s="401"/>
      <c r="C169" s="442"/>
      <c r="D169" s="579"/>
      <c r="E169" s="322" t="s">
        <v>78</v>
      </c>
      <c r="F169" s="406"/>
      <c r="G169" s="405"/>
      <c r="H169" s="98">
        <f>I169+J169+K169</f>
        <v>4112.3999999999996</v>
      </c>
      <c r="I169" s="99">
        <v>1347</v>
      </c>
      <c r="J169" s="99">
        <v>1340</v>
      </c>
      <c r="K169" s="99">
        <v>1425.4</v>
      </c>
      <c r="L169" s="442"/>
    </row>
    <row r="170" spans="1:12" ht="135" customHeight="1">
      <c r="A170" s="572"/>
      <c r="B170" s="401"/>
      <c r="C170" s="322" t="s">
        <v>237</v>
      </c>
      <c r="D170" s="155" t="s">
        <v>29</v>
      </c>
      <c r="E170" s="322" t="s">
        <v>77</v>
      </c>
      <c r="F170" s="324" t="s">
        <v>460</v>
      </c>
      <c r="G170" s="329" t="s">
        <v>425</v>
      </c>
      <c r="H170" s="98">
        <f>I170+J170+K170</f>
        <v>533.4</v>
      </c>
      <c r="I170" s="99">
        <v>120</v>
      </c>
      <c r="J170" s="99">
        <v>200</v>
      </c>
      <c r="K170" s="99">
        <v>213.4</v>
      </c>
      <c r="L170" s="143" t="s">
        <v>108</v>
      </c>
    </row>
    <row r="171" spans="1:12" ht="75" customHeight="1">
      <c r="A171" s="572"/>
      <c r="B171" s="401"/>
      <c r="C171" s="518" t="s">
        <v>276</v>
      </c>
      <c r="D171" s="407" t="s">
        <v>354</v>
      </c>
      <c r="E171" s="407"/>
      <c r="F171" s="407"/>
      <c r="G171" s="407"/>
      <c r="H171" s="98">
        <f>H172+H173+H174</f>
        <v>19170.519</v>
      </c>
      <c r="I171" s="98">
        <f>I172+I173+I174</f>
        <v>11499.719000000001</v>
      </c>
      <c r="J171" s="98">
        <f>J172+J173+J174</f>
        <v>7670.8</v>
      </c>
      <c r="K171" s="98">
        <f>K172+K173+K174</f>
        <v>0</v>
      </c>
      <c r="L171" s="394" t="s">
        <v>69</v>
      </c>
    </row>
    <row r="172" spans="1:12" ht="189.75" customHeight="1">
      <c r="A172" s="572"/>
      <c r="B172" s="401"/>
      <c r="C172" s="518"/>
      <c r="D172" s="579" t="s">
        <v>34</v>
      </c>
      <c r="E172" s="442" t="s">
        <v>460</v>
      </c>
      <c r="F172" s="611"/>
      <c r="G172" s="331" t="s">
        <v>99</v>
      </c>
      <c r="H172" s="98">
        <f>I172+J172+K172</f>
        <v>1490.1</v>
      </c>
      <c r="I172" s="99">
        <v>1490.1</v>
      </c>
      <c r="J172" s="104">
        <v>0</v>
      </c>
      <c r="K172" s="99">
        <v>0</v>
      </c>
      <c r="L172" s="394"/>
    </row>
    <row r="173" spans="1:12" ht="204" customHeight="1">
      <c r="A173" s="572"/>
      <c r="B173" s="401"/>
      <c r="C173" s="518"/>
      <c r="D173" s="579"/>
      <c r="E173" s="442"/>
      <c r="F173" s="611"/>
      <c r="G173" s="331" t="s">
        <v>100</v>
      </c>
      <c r="H173" s="98">
        <f>I173+J173+K173</f>
        <v>14280.419000000002</v>
      </c>
      <c r="I173" s="99">
        <f>4342.569+2267.05</f>
        <v>6609.6190000000006</v>
      </c>
      <c r="J173" s="104">
        <v>7670.8</v>
      </c>
      <c r="K173" s="99">
        <v>0</v>
      </c>
      <c r="L173" s="394"/>
    </row>
    <row r="174" spans="1:12" ht="85.5" customHeight="1">
      <c r="A174" s="572"/>
      <c r="B174" s="401"/>
      <c r="C174" s="518"/>
      <c r="D174" s="579"/>
      <c r="E174" s="442"/>
      <c r="F174" s="611"/>
      <c r="G174" s="331" t="s">
        <v>427</v>
      </c>
      <c r="H174" s="98">
        <f>I174+J174+K174</f>
        <v>3400</v>
      </c>
      <c r="I174" s="99">
        <f>1600+800+1000</f>
        <v>3400</v>
      </c>
      <c r="J174" s="99">
        <v>0</v>
      </c>
      <c r="K174" s="99">
        <v>0</v>
      </c>
      <c r="L174" s="394"/>
    </row>
    <row r="175" spans="1:12" ht="75" customHeight="1">
      <c r="A175" s="572"/>
      <c r="B175" s="401"/>
      <c r="C175" s="442" t="s">
        <v>277</v>
      </c>
      <c r="D175" s="382" t="s">
        <v>355</v>
      </c>
      <c r="E175" s="383"/>
      <c r="F175" s="383"/>
      <c r="G175" s="384"/>
      <c r="H175" s="98">
        <f>SUM(H176:H180)</f>
        <v>2915.16</v>
      </c>
      <c r="I175" s="98">
        <f>SUM(I176:I180)</f>
        <v>789.51</v>
      </c>
      <c r="J175" s="98">
        <f>SUM(J176:J180)</f>
        <v>1030.3</v>
      </c>
      <c r="K175" s="98">
        <f>SUM(K176:K180)</f>
        <v>1095.3499999999999</v>
      </c>
      <c r="L175" s="442" t="s">
        <v>51</v>
      </c>
    </row>
    <row r="176" spans="1:12" s="136" customFormat="1" ht="75" customHeight="1">
      <c r="A176" s="572"/>
      <c r="B176" s="401"/>
      <c r="C176" s="442"/>
      <c r="D176" s="609" t="s">
        <v>29</v>
      </c>
      <c r="E176" s="394" t="s">
        <v>82</v>
      </c>
      <c r="F176" s="406" t="s">
        <v>461</v>
      </c>
      <c r="G176" s="331" t="s">
        <v>425</v>
      </c>
      <c r="H176" s="98">
        <f>I176+J176+K176</f>
        <v>1045.1100000000001</v>
      </c>
      <c r="I176" s="99">
        <f>307.81</f>
        <v>307.81</v>
      </c>
      <c r="J176" s="99">
        <v>356.7</v>
      </c>
      <c r="K176" s="99">
        <v>380.6</v>
      </c>
      <c r="L176" s="442"/>
    </row>
    <row r="177" spans="1:12" s="136" customFormat="1" ht="170.25" customHeight="1">
      <c r="A177" s="572"/>
      <c r="B177" s="401"/>
      <c r="C177" s="442"/>
      <c r="D177" s="610"/>
      <c r="E177" s="394"/>
      <c r="F177" s="406"/>
      <c r="G177" s="331" t="s">
        <v>99</v>
      </c>
      <c r="H177" s="98">
        <f>I177+J177+K177</f>
        <v>0.6</v>
      </c>
      <c r="I177" s="99">
        <v>0.6</v>
      </c>
      <c r="J177" s="99"/>
      <c r="K177" s="99"/>
      <c r="L177" s="442"/>
    </row>
    <row r="178" spans="1:12" s="136" customFormat="1" ht="75" customHeight="1">
      <c r="A178" s="572"/>
      <c r="B178" s="401"/>
      <c r="C178" s="442"/>
      <c r="D178" s="156" t="s">
        <v>29</v>
      </c>
      <c r="E178" s="322" t="s">
        <v>76</v>
      </c>
      <c r="F178" s="406"/>
      <c r="G178" s="405" t="s">
        <v>425</v>
      </c>
      <c r="H178" s="98">
        <f>I178+J178+K178</f>
        <v>1126.2</v>
      </c>
      <c r="I178" s="99">
        <f>384-96</f>
        <v>288</v>
      </c>
      <c r="J178" s="99">
        <v>405.5</v>
      </c>
      <c r="K178" s="99">
        <v>432.7</v>
      </c>
      <c r="L178" s="442"/>
    </row>
    <row r="179" spans="1:12" s="136" customFormat="1" ht="75" customHeight="1">
      <c r="A179" s="572"/>
      <c r="B179" s="401"/>
      <c r="C179" s="442"/>
      <c r="D179" s="156" t="s">
        <v>29</v>
      </c>
      <c r="E179" s="322" t="s">
        <v>77</v>
      </c>
      <c r="F179" s="406"/>
      <c r="G179" s="405"/>
      <c r="H179" s="98">
        <f>I179+J179+K179</f>
        <v>689.05</v>
      </c>
      <c r="I179" s="99">
        <f>193.3-17</f>
        <v>176.3</v>
      </c>
      <c r="J179" s="99">
        <v>250</v>
      </c>
      <c r="K179" s="99">
        <f>J179*1.051</f>
        <v>262.75</v>
      </c>
      <c r="L179" s="442"/>
    </row>
    <row r="180" spans="1:12" s="136" customFormat="1" ht="75" customHeight="1">
      <c r="A180" s="572"/>
      <c r="B180" s="401"/>
      <c r="C180" s="442"/>
      <c r="D180" s="156" t="s">
        <v>29</v>
      </c>
      <c r="E180" s="322" t="s">
        <v>75</v>
      </c>
      <c r="F180" s="406"/>
      <c r="G180" s="405"/>
      <c r="H180" s="98">
        <f>I180+J180+K180</f>
        <v>54.2</v>
      </c>
      <c r="I180" s="99">
        <v>16.8</v>
      </c>
      <c r="J180" s="99">
        <v>18.100000000000001</v>
      </c>
      <c r="K180" s="99">
        <v>19.3</v>
      </c>
      <c r="L180" s="442"/>
    </row>
    <row r="181" spans="1:12" ht="75" customHeight="1">
      <c r="A181" s="398" t="s">
        <v>66</v>
      </c>
      <c r="B181" s="399"/>
      <c r="C181" s="399"/>
      <c r="D181" s="399"/>
      <c r="E181" s="399"/>
      <c r="F181" s="400"/>
      <c r="G181" s="349"/>
      <c r="H181" s="98">
        <f>H155+H158+H161+H162+H166+H167+H170+H171+H175</f>
        <v>73695.431300000011</v>
      </c>
      <c r="I181" s="98">
        <f>I155+I158+I161+I162+I166+I167+I170+I171+I175</f>
        <v>29168.828999999998</v>
      </c>
      <c r="J181" s="98">
        <f>J155+J158+J161+J162+J166+J167+J170+J171+J175</f>
        <v>25508.399999999998</v>
      </c>
      <c r="K181" s="98">
        <f>K155+K158+K161+K162+K166+K167+K170+K171+K175</f>
        <v>19018.202300000001</v>
      </c>
      <c r="L181" s="436"/>
    </row>
    <row r="182" spans="1:12" s="136" customFormat="1" ht="75" customHeight="1">
      <c r="A182" s="388" t="s">
        <v>18</v>
      </c>
      <c r="B182" s="388"/>
      <c r="C182" s="126"/>
      <c r="D182" s="157"/>
      <c r="E182" s="158"/>
      <c r="F182" s="159"/>
      <c r="G182" s="151" t="s">
        <v>425</v>
      </c>
      <c r="H182" s="111">
        <f>H156+H157+H159+H160+H161+H163+H164+H165+H166+H168+H169+H170+H174+H176+H178+H179+H180</f>
        <v>57924.312299999998</v>
      </c>
      <c r="I182" s="111">
        <f>I156+I157+I159+I160+I161+I163+I164+I165+I166+I168+I169+I170+I174+I176+I178+I179+I180</f>
        <v>21068.51</v>
      </c>
      <c r="J182" s="111">
        <f>J156+J157+J159+J160+J161+J163+J164+J165+J166+J168+J169+J170+J174+J176+J178+J179+J180</f>
        <v>17837.600000000002</v>
      </c>
      <c r="K182" s="111">
        <f>K156+K157+K159+K160+K161+K163+K164+K165+K166+K168+K169+K170+K174+K176+K178+K179+K180</f>
        <v>19018.202300000001</v>
      </c>
      <c r="L182" s="437"/>
    </row>
    <row r="183" spans="1:12" s="136" customFormat="1" ht="181.5" customHeight="1">
      <c r="A183" s="160"/>
      <c r="B183" s="26"/>
      <c r="C183" s="158"/>
      <c r="D183" s="157"/>
      <c r="E183" s="158"/>
      <c r="F183" s="161"/>
      <c r="G183" s="152" t="s">
        <v>99</v>
      </c>
      <c r="H183" s="113">
        <f>H177+H172</f>
        <v>1490.6999999999998</v>
      </c>
      <c r="I183" s="113">
        <f>I177+I172</f>
        <v>1490.6999999999998</v>
      </c>
      <c r="J183" s="113">
        <f>J177+J172</f>
        <v>0</v>
      </c>
      <c r="K183" s="113">
        <f>K177+K172</f>
        <v>0</v>
      </c>
      <c r="L183" s="437"/>
    </row>
    <row r="184" spans="1:12" s="136" customFormat="1" ht="225" customHeight="1">
      <c r="A184" s="160"/>
      <c r="B184" s="26"/>
      <c r="C184" s="158"/>
      <c r="D184" s="157"/>
      <c r="E184" s="158"/>
      <c r="F184" s="161"/>
      <c r="G184" s="153" t="s">
        <v>100</v>
      </c>
      <c r="H184" s="113">
        <f>H173</f>
        <v>14280.419000000002</v>
      </c>
      <c r="I184" s="113">
        <f>I173</f>
        <v>6609.6190000000006</v>
      </c>
      <c r="J184" s="113">
        <f>J173</f>
        <v>7670.8</v>
      </c>
      <c r="K184" s="113">
        <f>K173</f>
        <v>0</v>
      </c>
      <c r="L184" s="437"/>
    </row>
    <row r="185" spans="1:12" s="136" customFormat="1" ht="75" customHeight="1">
      <c r="A185" s="401" t="s">
        <v>278</v>
      </c>
      <c r="B185" s="401"/>
      <c r="C185" s="401"/>
      <c r="D185" s="401"/>
      <c r="E185" s="429" t="s">
        <v>82</v>
      </c>
      <c r="F185" s="429"/>
      <c r="G185" s="162" t="s">
        <v>98</v>
      </c>
      <c r="H185" s="103">
        <f>SUM(H186:H187)</f>
        <v>1045.71</v>
      </c>
      <c r="I185" s="103">
        <f>SUM(I186:I187)</f>
        <v>308.41000000000003</v>
      </c>
      <c r="J185" s="103">
        <f>SUM(J186:J187)</f>
        <v>356.7</v>
      </c>
      <c r="K185" s="103">
        <f>SUM(K186:K187)</f>
        <v>380.6</v>
      </c>
      <c r="L185" s="437"/>
    </row>
    <row r="186" spans="1:12" s="136" customFormat="1" ht="75" customHeight="1">
      <c r="A186" s="401"/>
      <c r="B186" s="401"/>
      <c r="C186" s="401"/>
      <c r="D186" s="401"/>
      <c r="E186" s="429"/>
      <c r="F186" s="429"/>
      <c r="G186" s="349" t="s">
        <v>99</v>
      </c>
      <c r="H186" s="103">
        <f>H177</f>
        <v>0.6</v>
      </c>
      <c r="I186" s="103">
        <f>I177</f>
        <v>0.6</v>
      </c>
      <c r="J186" s="103">
        <f>J177</f>
        <v>0</v>
      </c>
      <c r="K186" s="103">
        <f>K177</f>
        <v>0</v>
      </c>
      <c r="L186" s="437"/>
    </row>
    <row r="187" spans="1:12" s="136" customFormat="1" ht="75" customHeight="1">
      <c r="A187" s="401"/>
      <c r="B187" s="401"/>
      <c r="C187" s="401"/>
      <c r="D187" s="401"/>
      <c r="E187" s="429"/>
      <c r="F187" s="429"/>
      <c r="G187" s="349" t="s">
        <v>425</v>
      </c>
      <c r="H187" s="103">
        <f>H176</f>
        <v>1045.1100000000001</v>
      </c>
      <c r="I187" s="103">
        <f>I176</f>
        <v>307.81</v>
      </c>
      <c r="J187" s="103">
        <f>J176</f>
        <v>356.7</v>
      </c>
      <c r="K187" s="103">
        <f>K176</f>
        <v>380.6</v>
      </c>
      <c r="L187" s="437"/>
    </row>
    <row r="188" spans="1:12" ht="75" customHeight="1">
      <c r="A188" s="401"/>
      <c r="B188" s="401"/>
      <c r="C188" s="401"/>
      <c r="D188" s="401"/>
      <c r="E188" s="429" t="s">
        <v>76</v>
      </c>
      <c r="F188" s="429"/>
      <c r="G188" s="576" t="s">
        <v>425</v>
      </c>
      <c r="H188" s="103">
        <f>H178+H168</f>
        <v>2871.7</v>
      </c>
      <c r="I188" s="103">
        <f>I178+I168</f>
        <v>862.3</v>
      </c>
      <c r="J188" s="103">
        <f>J178+J168</f>
        <v>972.1</v>
      </c>
      <c r="K188" s="103">
        <f>K178+K168</f>
        <v>1037.3</v>
      </c>
      <c r="L188" s="437"/>
    </row>
    <row r="189" spans="1:12" ht="75" customHeight="1">
      <c r="A189" s="401"/>
      <c r="B189" s="401"/>
      <c r="C189" s="401"/>
      <c r="D189" s="401"/>
      <c r="E189" s="429" t="s">
        <v>77</v>
      </c>
      <c r="F189" s="429"/>
      <c r="G189" s="577"/>
      <c r="H189" s="103">
        <f>H179+H170</f>
        <v>1222.4499999999998</v>
      </c>
      <c r="I189" s="103">
        <f>I179+I170</f>
        <v>296.3</v>
      </c>
      <c r="J189" s="103">
        <f>J179+J170</f>
        <v>450</v>
      </c>
      <c r="K189" s="103">
        <f>K179+K170</f>
        <v>476.15</v>
      </c>
      <c r="L189" s="437"/>
    </row>
    <row r="190" spans="1:12" ht="75" customHeight="1">
      <c r="A190" s="401"/>
      <c r="B190" s="401"/>
      <c r="C190" s="401"/>
      <c r="D190" s="401"/>
      <c r="E190" s="429" t="s">
        <v>75</v>
      </c>
      <c r="F190" s="429"/>
      <c r="G190" s="577"/>
      <c r="H190" s="103">
        <f>H180+H166+H163+H161</f>
        <v>5274.7</v>
      </c>
      <c r="I190" s="103">
        <f>I180+I166+I163+I161</f>
        <v>2136.8000000000002</v>
      </c>
      <c r="J190" s="103">
        <f>J180+J166+J163+J161</f>
        <v>1518.1</v>
      </c>
      <c r="K190" s="103">
        <f>K180+K166+K163+K161</f>
        <v>1619.8</v>
      </c>
      <c r="L190" s="437"/>
    </row>
    <row r="191" spans="1:12" ht="75" customHeight="1">
      <c r="A191" s="401"/>
      <c r="B191" s="401"/>
      <c r="C191" s="401"/>
      <c r="D191" s="401"/>
      <c r="E191" s="587" t="s">
        <v>78</v>
      </c>
      <c r="F191" s="588"/>
      <c r="G191" s="577"/>
      <c r="H191" s="103">
        <f>H169</f>
        <v>4112.3999999999996</v>
      </c>
      <c r="I191" s="103">
        <f>I169</f>
        <v>1347</v>
      </c>
      <c r="J191" s="103">
        <f>J169</f>
        <v>1340</v>
      </c>
      <c r="K191" s="103">
        <f>K169</f>
        <v>1425.4</v>
      </c>
      <c r="L191" s="437"/>
    </row>
    <row r="192" spans="1:12" ht="75" customHeight="1">
      <c r="A192" s="401"/>
      <c r="B192" s="401"/>
      <c r="C192" s="401"/>
      <c r="D192" s="401"/>
      <c r="E192" s="429" t="s">
        <v>80</v>
      </c>
      <c r="F192" s="429"/>
      <c r="G192" s="577"/>
      <c r="H192" s="103">
        <f t="shared" ref="H192:K193" si="16">H156+H159+H164</f>
        <v>18488.400000000001</v>
      </c>
      <c r="I192" s="103">
        <f t="shared" si="16"/>
        <v>5852</v>
      </c>
      <c r="J192" s="103">
        <f t="shared" si="16"/>
        <v>6113.4</v>
      </c>
      <c r="K192" s="103">
        <f t="shared" si="16"/>
        <v>6523</v>
      </c>
      <c r="L192" s="437"/>
    </row>
    <row r="193" spans="1:12" ht="75" customHeight="1">
      <c r="A193" s="401"/>
      <c r="B193" s="401"/>
      <c r="C193" s="401"/>
      <c r="D193" s="401"/>
      <c r="E193" s="429" t="s">
        <v>81</v>
      </c>
      <c r="F193" s="429"/>
      <c r="G193" s="586"/>
      <c r="H193" s="103">
        <f t="shared" si="16"/>
        <v>21509.552300000003</v>
      </c>
      <c r="I193" s="103">
        <f t="shared" si="16"/>
        <v>6866.2999999999993</v>
      </c>
      <c r="J193" s="103">
        <f t="shared" si="16"/>
        <v>7087.3</v>
      </c>
      <c r="K193" s="103">
        <f t="shared" si="16"/>
        <v>7555.952299999999</v>
      </c>
      <c r="L193" s="437"/>
    </row>
    <row r="194" spans="1:12" ht="75" customHeight="1">
      <c r="A194" s="401"/>
      <c r="B194" s="401"/>
      <c r="C194" s="401"/>
      <c r="D194" s="401"/>
      <c r="E194" s="429" t="s">
        <v>462</v>
      </c>
      <c r="F194" s="429"/>
      <c r="G194" s="162" t="s">
        <v>98</v>
      </c>
      <c r="H194" s="98">
        <f>SUM(H195:H197)</f>
        <v>19170.519</v>
      </c>
      <c r="I194" s="98">
        <f>SUM(I195:I197)</f>
        <v>11499.719000000001</v>
      </c>
      <c r="J194" s="98">
        <f>SUM(J195:J197)</f>
        <v>7670.8</v>
      </c>
      <c r="K194" s="98">
        <f>SUM(K195:K197)</f>
        <v>0</v>
      </c>
      <c r="L194" s="437"/>
    </row>
    <row r="195" spans="1:12" ht="168.75" customHeight="1">
      <c r="A195" s="401"/>
      <c r="B195" s="401"/>
      <c r="C195" s="401"/>
      <c r="D195" s="401"/>
      <c r="E195" s="429"/>
      <c r="F195" s="429"/>
      <c r="G195" s="349" t="s">
        <v>99</v>
      </c>
      <c r="H195" s="98">
        <f t="shared" ref="H195:K197" si="17">H172</f>
        <v>1490.1</v>
      </c>
      <c r="I195" s="98">
        <f t="shared" si="17"/>
        <v>1490.1</v>
      </c>
      <c r="J195" s="98">
        <f t="shared" si="17"/>
        <v>0</v>
      </c>
      <c r="K195" s="98">
        <f t="shared" si="17"/>
        <v>0</v>
      </c>
      <c r="L195" s="437"/>
    </row>
    <row r="196" spans="1:12" ht="227.25" customHeight="1">
      <c r="A196" s="401"/>
      <c r="B196" s="401"/>
      <c r="C196" s="401"/>
      <c r="D196" s="401"/>
      <c r="E196" s="429"/>
      <c r="F196" s="429"/>
      <c r="G196" s="349" t="s">
        <v>100</v>
      </c>
      <c r="H196" s="98">
        <f t="shared" si="17"/>
        <v>14280.419000000002</v>
      </c>
      <c r="I196" s="98">
        <f t="shared" si="17"/>
        <v>6609.6190000000006</v>
      </c>
      <c r="J196" s="98">
        <f t="shared" si="17"/>
        <v>7670.8</v>
      </c>
      <c r="K196" s="98">
        <f t="shared" si="17"/>
        <v>0</v>
      </c>
      <c r="L196" s="437"/>
    </row>
    <row r="197" spans="1:12" ht="75" customHeight="1">
      <c r="A197" s="401"/>
      <c r="B197" s="401"/>
      <c r="C197" s="401"/>
      <c r="D197" s="401"/>
      <c r="E197" s="429"/>
      <c r="F197" s="429"/>
      <c r="G197" s="349" t="s">
        <v>427</v>
      </c>
      <c r="H197" s="98">
        <f t="shared" si="17"/>
        <v>3400</v>
      </c>
      <c r="I197" s="98">
        <f t="shared" si="17"/>
        <v>3400</v>
      </c>
      <c r="J197" s="98">
        <f t="shared" si="17"/>
        <v>0</v>
      </c>
      <c r="K197" s="98">
        <f t="shared" si="17"/>
        <v>0</v>
      </c>
      <c r="L197" s="438"/>
    </row>
    <row r="198" spans="1:12" ht="75" customHeight="1">
      <c r="A198" s="424" t="s">
        <v>393</v>
      </c>
      <c r="B198" s="425"/>
      <c r="C198" s="425"/>
      <c r="D198" s="425"/>
      <c r="E198" s="425"/>
      <c r="F198" s="425"/>
      <c r="G198" s="425"/>
      <c r="H198" s="425"/>
      <c r="I198" s="425"/>
      <c r="J198" s="425"/>
      <c r="K198" s="425"/>
      <c r="L198" s="426"/>
    </row>
    <row r="199" spans="1:12" ht="167.25" customHeight="1">
      <c r="A199" s="589" t="s">
        <v>238</v>
      </c>
      <c r="B199" s="439" t="s">
        <v>213</v>
      </c>
      <c r="C199" s="341" t="s">
        <v>239</v>
      </c>
      <c r="D199" s="148" t="s">
        <v>33</v>
      </c>
      <c r="E199" s="357" t="s">
        <v>462</v>
      </c>
      <c r="F199" s="325"/>
      <c r="G199" s="330" t="s">
        <v>426</v>
      </c>
      <c r="H199" s="36">
        <f>I199+J199+K199</f>
        <v>0</v>
      </c>
      <c r="I199" s="114"/>
      <c r="J199" s="114"/>
      <c r="K199" s="114"/>
      <c r="L199" s="40" t="s">
        <v>327</v>
      </c>
    </row>
    <row r="200" spans="1:12" ht="184.5" customHeight="1">
      <c r="A200" s="590"/>
      <c r="B200" s="441"/>
      <c r="C200" s="341" t="s">
        <v>323</v>
      </c>
      <c r="D200" s="148" t="s">
        <v>33</v>
      </c>
      <c r="E200" s="357" t="s">
        <v>462</v>
      </c>
      <c r="F200" s="323"/>
      <c r="G200" s="330" t="s">
        <v>426</v>
      </c>
      <c r="H200" s="36">
        <f>I200+J200+K200</f>
        <v>0</v>
      </c>
      <c r="I200" s="114">
        <v>0</v>
      </c>
      <c r="J200" s="37"/>
      <c r="K200" s="37"/>
      <c r="L200" s="40" t="s">
        <v>324</v>
      </c>
    </row>
    <row r="201" spans="1:12" ht="75" customHeight="1">
      <c r="A201" s="164"/>
      <c r="B201" s="583"/>
      <c r="C201" s="584"/>
      <c r="D201" s="585"/>
      <c r="E201" s="320" t="s">
        <v>358</v>
      </c>
      <c r="F201" s="165"/>
      <c r="G201" s="330" t="s">
        <v>426</v>
      </c>
      <c r="H201" s="36">
        <f>H199+H200</f>
        <v>0</v>
      </c>
      <c r="I201" s="36">
        <f>I199+I200</f>
        <v>0</v>
      </c>
      <c r="J201" s="36">
        <f>J199+J200</f>
        <v>0</v>
      </c>
      <c r="K201" s="36">
        <f>K199+K200</f>
        <v>0</v>
      </c>
      <c r="L201" s="40"/>
    </row>
    <row r="202" spans="1:12" ht="256.5" customHeight="1">
      <c r="A202" s="333" t="s">
        <v>240</v>
      </c>
      <c r="B202" s="39" t="s">
        <v>214</v>
      </c>
      <c r="C202" s="33" t="s">
        <v>242</v>
      </c>
      <c r="D202" s="345" t="s">
        <v>32</v>
      </c>
      <c r="E202" s="357" t="s">
        <v>462</v>
      </c>
      <c r="F202" s="353"/>
      <c r="G202" s="331" t="s">
        <v>425</v>
      </c>
      <c r="H202" s="36">
        <f>I202+J202+K202</f>
        <v>8931.2000000000007</v>
      </c>
      <c r="I202" s="37">
        <v>2894.2</v>
      </c>
      <c r="J202" s="37">
        <v>3049.3</v>
      </c>
      <c r="K202" s="37">
        <f>2931+56.7</f>
        <v>2987.7</v>
      </c>
      <c r="L202" s="40" t="s">
        <v>70</v>
      </c>
    </row>
    <row r="203" spans="1:12" ht="170.25" customHeight="1">
      <c r="A203" s="428" t="s">
        <v>241</v>
      </c>
      <c r="B203" s="401" t="s">
        <v>94</v>
      </c>
      <c r="C203" s="341" t="s">
        <v>243</v>
      </c>
      <c r="D203" s="345" t="s">
        <v>33</v>
      </c>
      <c r="E203" s="357" t="s">
        <v>462</v>
      </c>
      <c r="F203" s="323"/>
      <c r="G203" s="331" t="s">
        <v>425</v>
      </c>
      <c r="H203" s="166">
        <f>I203+J203+K203</f>
        <v>13488</v>
      </c>
      <c r="I203" s="37">
        <f>15739-1800-2951</f>
        <v>10988</v>
      </c>
      <c r="J203" s="37">
        <v>2500</v>
      </c>
      <c r="K203" s="37">
        <v>0</v>
      </c>
      <c r="L203" s="40" t="s">
        <v>357</v>
      </c>
    </row>
    <row r="204" spans="1:12" ht="75" customHeight="1">
      <c r="A204" s="428"/>
      <c r="B204" s="401"/>
      <c r="C204" s="394" t="s">
        <v>244</v>
      </c>
      <c r="D204" s="407" t="s">
        <v>356</v>
      </c>
      <c r="E204" s="407"/>
      <c r="F204" s="407"/>
      <c r="G204" s="407"/>
      <c r="H204" s="41">
        <f>H205+H206</f>
        <v>9258.99</v>
      </c>
      <c r="I204" s="38">
        <f>I205+I206</f>
        <v>9258.99</v>
      </c>
      <c r="J204" s="38">
        <f>J205+J206</f>
        <v>0</v>
      </c>
      <c r="K204" s="38">
        <f>K205+K206</f>
        <v>0</v>
      </c>
      <c r="L204" s="395" t="s">
        <v>65</v>
      </c>
    </row>
    <row r="205" spans="1:12" s="10" customFormat="1" ht="231.75" customHeight="1">
      <c r="A205" s="428"/>
      <c r="B205" s="401"/>
      <c r="C205" s="394"/>
      <c r="D205" s="24" t="s">
        <v>36</v>
      </c>
      <c r="E205" s="322" t="s">
        <v>80</v>
      </c>
      <c r="F205" s="331" t="s">
        <v>461</v>
      </c>
      <c r="G205" s="331" t="s">
        <v>100</v>
      </c>
      <c r="H205" s="41">
        <f t="shared" ref="H205:H212" si="18">I205+J205+K205</f>
        <v>2.5</v>
      </c>
      <c r="I205" s="37">
        <v>2.5</v>
      </c>
      <c r="J205" s="37"/>
      <c r="K205" s="37"/>
      <c r="L205" s="396"/>
    </row>
    <row r="206" spans="1:12" s="10" customFormat="1" ht="75" customHeight="1">
      <c r="A206" s="428"/>
      <c r="B206" s="401"/>
      <c r="C206" s="394"/>
      <c r="D206" s="543" t="s">
        <v>98</v>
      </c>
      <c r="E206" s="543"/>
      <c r="F206" s="543"/>
      <c r="G206" s="543"/>
      <c r="H206" s="41">
        <f>H207+H208+H210+H211+H212+H209</f>
        <v>9256.49</v>
      </c>
      <c r="I206" s="38">
        <f>I207+I208+I210+I211+I212+I209</f>
        <v>9256.49</v>
      </c>
      <c r="J206" s="38">
        <f>J207+J208+J210+J211+J212</f>
        <v>0</v>
      </c>
      <c r="K206" s="38">
        <f>K207+K208+K210+K211+K212</f>
        <v>0</v>
      </c>
      <c r="L206" s="396"/>
    </row>
    <row r="207" spans="1:12" s="10" customFormat="1" ht="75" customHeight="1">
      <c r="A207" s="428"/>
      <c r="B207" s="401"/>
      <c r="C207" s="394"/>
      <c r="D207" s="24" t="s">
        <v>36</v>
      </c>
      <c r="E207" s="322" t="s">
        <v>80</v>
      </c>
      <c r="F207" s="405" t="s">
        <v>461</v>
      </c>
      <c r="G207" s="405" t="s">
        <v>425</v>
      </c>
      <c r="H207" s="41">
        <f t="shared" si="18"/>
        <v>241.91</v>
      </c>
      <c r="I207" s="37">
        <f>50+51.31+140.6</f>
        <v>241.91</v>
      </c>
      <c r="J207" s="37"/>
      <c r="K207" s="37"/>
      <c r="L207" s="396"/>
    </row>
    <row r="208" spans="1:12" s="10" customFormat="1" ht="75" customHeight="1">
      <c r="A208" s="428"/>
      <c r="B208" s="401"/>
      <c r="C208" s="394"/>
      <c r="D208" s="24" t="s">
        <v>36</v>
      </c>
      <c r="E208" s="322" t="s">
        <v>81</v>
      </c>
      <c r="F208" s="405"/>
      <c r="G208" s="405"/>
      <c r="H208" s="41">
        <f t="shared" si="18"/>
        <v>187.78</v>
      </c>
      <c r="I208" s="37">
        <f>50+43.38+94.4</f>
        <v>187.78</v>
      </c>
      <c r="J208" s="37"/>
      <c r="K208" s="37"/>
      <c r="L208" s="396"/>
    </row>
    <row r="209" spans="1:12" s="10" customFormat="1" ht="75" customHeight="1">
      <c r="A209" s="428"/>
      <c r="B209" s="401"/>
      <c r="C209" s="394"/>
      <c r="D209" s="24" t="s">
        <v>36</v>
      </c>
      <c r="E209" s="322" t="s">
        <v>82</v>
      </c>
      <c r="F209" s="405"/>
      <c r="G209" s="405"/>
      <c r="H209" s="41">
        <f t="shared" si="18"/>
        <v>206.8</v>
      </c>
      <c r="I209" s="37">
        <v>206.8</v>
      </c>
      <c r="J209" s="37"/>
      <c r="K209" s="37"/>
      <c r="L209" s="396"/>
    </row>
    <row r="210" spans="1:12" s="10" customFormat="1" ht="75" customHeight="1">
      <c r="A210" s="428"/>
      <c r="B210" s="401"/>
      <c r="C210" s="394"/>
      <c r="D210" s="24" t="s">
        <v>29</v>
      </c>
      <c r="E210" s="322" t="s">
        <v>76</v>
      </c>
      <c r="F210" s="405"/>
      <c r="G210" s="405"/>
      <c r="H210" s="41">
        <f t="shared" si="18"/>
        <v>1422.3</v>
      </c>
      <c r="I210" s="37">
        <f>50+571.7+307.8+492.8</f>
        <v>1422.3</v>
      </c>
      <c r="J210" s="37"/>
      <c r="K210" s="37"/>
      <c r="L210" s="396"/>
    </row>
    <row r="211" spans="1:12" s="10" customFormat="1" ht="75" customHeight="1">
      <c r="A211" s="428"/>
      <c r="B211" s="401"/>
      <c r="C211" s="394"/>
      <c r="D211" s="24" t="s">
        <v>29</v>
      </c>
      <c r="E211" s="322" t="s">
        <v>77</v>
      </c>
      <c r="F211" s="405"/>
      <c r="G211" s="405"/>
      <c r="H211" s="41">
        <f t="shared" si="18"/>
        <v>5874.3</v>
      </c>
      <c r="I211" s="37">
        <f>150+1176.7+3635.5+912.1</f>
        <v>5874.3</v>
      </c>
      <c r="J211" s="37"/>
      <c r="K211" s="37"/>
      <c r="L211" s="396"/>
    </row>
    <row r="212" spans="1:12" s="10" customFormat="1" ht="75" customHeight="1">
      <c r="A212" s="428"/>
      <c r="B212" s="401"/>
      <c r="C212" s="394"/>
      <c r="D212" s="24" t="s">
        <v>29</v>
      </c>
      <c r="E212" s="322" t="s">
        <v>75</v>
      </c>
      <c r="F212" s="405"/>
      <c r="G212" s="405"/>
      <c r="H212" s="41">
        <f t="shared" si="18"/>
        <v>1323.4</v>
      </c>
      <c r="I212" s="37">
        <v>1323.4</v>
      </c>
      <c r="J212" s="37"/>
      <c r="K212" s="37"/>
      <c r="L212" s="397"/>
    </row>
    <row r="213" spans="1:12" ht="75" customHeight="1">
      <c r="A213" s="428"/>
      <c r="B213" s="427"/>
      <c r="C213" s="427"/>
      <c r="D213" s="427"/>
      <c r="E213" s="167" t="s">
        <v>359</v>
      </c>
      <c r="F213" s="155"/>
      <c r="G213" s="155"/>
      <c r="H213" s="106">
        <f>H203+H204</f>
        <v>22746.989999999998</v>
      </c>
      <c r="I213" s="106">
        <f>I203+I204</f>
        <v>20246.989999999998</v>
      </c>
      <c r="J213" s="106">
        <f>J203+J204</f>
        <v>2500</v>
      </c>
      <c r="K213" s="106">
        <f>K203+K204</f>
        <v>0</v>
      </c>
      <c r="L213" s="436"/>
    </row>
    <row r="214" spans="1:12" ht="139.5" customHeight="1">
      <c r="A214" s="591"/>
      <c r="B214" s="592"/>
      <c r="C214" s="592"/>
      <c r="D214" s="592"/>
      <c r="E214" s="592"/>
      <c r="F214" s="593"/>
      <c r="G214" s="155" t="s">
        <v>425</v>
      </c>
      <c r="H214" s="106">
        <f>H203+H206</f>
        <v>22744.489999999998</v>
      </c>
      <c r="I214" s="115">
        <f>I203+I206</f>
        <v>20244.489999999998</v>
      </c>
      <c r="J214" s="115">
        <f>J203+J206</f>
        <v>2500</v>
      </c>
      <c r="K214" s="115">
        <f>K203+K206</f>
        <v>0</v>
      </c>
      <c r="L214" s="437"/>
    </row>
    <row r="215" spans="1:12" ht="210.75" customHeight="1">
      <c r="A215" s="594"/>
      <c r="B215" s="595"/>
      <c r="C215" s="595"/>
      <c r="D215" s="595"/>
      <c r="E215" s="595"/>
      <c r="F215" s="596"/>
      <c r="G215" s="155" t="s">
        <v>100</v>
      </c>
      <c r="H215" s="168">
        <f>H205</f>
        <v>2.5</v>
      </c>
      <c r="I215" s="116">
        <f>I205</f>
        <v>2.5</v>
      </c>
      <c r="J215" s="116">
        <f>J205</f>
        <v>0</v>
      </c>
      <c r="K215" s="116">
        <f>K205</f>
        <v>0</v>
      </c>
      <c r="L215" s="438"/>
    </row>
    <row r="216" spans="1:12" ht="60" customHeight="1">
      <c r="A216" s="398" t="s">
        <v>71</v>
      </c>
      <c r="B216" s="399"/>
      <c r="C216" s="399"/>
      <c r="D216" s="399"/>
      <c r="E216" s="399"/>
      <c r="F216" s="400"/>
      <c r="G216" s="169"/>
      <c r="H216" s="98">
        <f>H201+H202+H213</f>
        <v>31678.19</v>
      </c>
      <c r="I216" s="98">
        <f>I201+I202+I213</f>
        <v>23141.19</v>
      </c>
      <c r="J216" s="98">
        <f>J201+J202+J213</f>
        <v>5549.3</v>
      </c>
      <c r="K216" s="98">
        <f>K201+K202+K213</f>
        <v>2987.7</v>
      </c>
      <c r="L216" s="408"/>
    </row>
    <row r="217" spans="1:12" s="136" customFormat="1" ht="99.75" customHeight="1">
      <c r="A217" s="388" t="s">
        <v>18</v>
      </c>
      <c r="B217" s="388"/>
      <c r="C217" s="126"/>
      <c r="D217" s="157"/>
      <c r="E217" s="158"/>
      <c r="F217" s="159"/>
      <c r="G217" s="151" t="s">
        <v>425</v>
      </c>
      <c r="H217" s="111">
        <f>H214+H202+H201</f>
        <v>31675.69</v>
      </c>
      <c r="I217" s="111">
        <f>I214+I202+I201</f>
        <v>23138.69</v>
      </c>
      <c r="J217" s="111">
        <f>J214+J202+J201</f>
        <v>5549.3</v>
      </c>
      <c r="K217" s="111">
        <f>K214+K202+K201</f>
        <v>2987.7</v>
      </c>
      <c r="L217" s="408"/>
    </row>
    <row r="218" spans="1:12" s="136" customFormat="1" ht="267" customHeight="1">
      <c r="A218" s="170"/>
      <c r="B218" s="348"/>
      <c r="C218" s="126"/>
      <c r="D218" s="157"/>
      <c r="E218" s="158"/>
      <c r="F218" s="159"/>
      <c r="G218" s="153" t="s">
        <v>100</v>
      </c>
      <c r="H218" s="113">
        <f>H205</f>
        <v>2.5</v>
      </c>
      <c r="I218" s="113">
        <f>I205</f>
        <v>2.5</v>
      </c>
      <c r="J218" s="113">
        <f>J205</f>
        <v>0</v>
      </c>
      <c r="K218" s="113">
        <f>K205</f>
        <v>0</v>
      </c>
      <c r="L218" s="408"/>
    </row>
    <row r="219" spans="1:12" s="136" customFormat="1" ht="75" customHeight="1">
      <c r="A219" s="388" t="s">
        <v>95</v>
      </c>
      <c r="B219" s="388"/>
      <c r="C219" s="388"/>
      <c r="D219" s="389"/>
      <c r="E219" s="395" t="s">
        <v>80</v>
      </c>
      <c r="F219" s="385"/>
      <c r="G219" s="162" t="s">
        <v>98</v>
      </c>
      <c r="H219" s="103">
        <f>H220+H221</f>
        <v>244.41</v>
      </c>
      <c r="I219" s="103">
        <f>I220+I221</f>
        <v>244.41</v>
      </c>
      <c r="J219" s="103">
        <f>J220+J221</f>
        <v>0</v>
      </c>
      <c r="K219" s="103">
        <f>K220+K221</f>
        <v>0</v>
      </c>
      <c r="L219" s="408"/>
    </row>
    <row r="220" spans="1:12" s="136" customFormat="1" ht="244.5" customHeight="1">
      <c r="A220" s="390"/>
      <c r="B220" s="390"/>
      <c r="C220" s="390"/>
      <c r="D220" s="391"/>
      <c r="E220" s="396"/>
      <c r="F220" s="386"/>
      <c r="G220" s="349" t="s">
        <v>100</v>
      </c>
      <c r="H220" s="103">
        <f>H205</f>
        <v>2.5</v>
      </c>
      <c r="I220" s="103">
        <f>I205</f>
        <v>2.5</v>
      </c>
      <c r="J220" s="103">
        <f>J205</f>
        <v>0</v>
      </c>
      <c r="K220" s="103">
        <f>K205</f>
        <v>0</v>
      </c>
      <c r="L220" s="408"/>
    </row>
    <row r="221" spans="1:12" ht="77.25" customHeight="1">
      <c r="A221" s="390"/>
      <c r="B221" s="390"/>
      <c r="C221" s="390"/>
      <c r="D221" s="391"/>
      <c r="E221" s="397"/>
      <c r="F221" s="386"/>
      <c r="G221" s="327" t="s">
        <v>425</v>
      </c>
      <c r="H221" s="117">
        <f>H207</f>
        <v>241.91</v>
      </c>
      <c r="I221" s="117">
        <f>I207</f>
        <v>241.91</v>
      </c>
      <c r="J221" s="117">
        <f>J207</f>
        <v>0</v>
      </c>
      <c r="K221" s="117">
        <f>K207</f>
        <v>0</v>
      </c>
      <c r="L221" s="408"/>
    </row>
    <row r="222" spans="1:12" ht="75" customHeight="1">
      <c r="A222" s="390"/>
      <c r="B222" s="390"/>
      <c r="C222" s="390"/>
      <c r="D222" s="391"/>
      <c r="E222" s="322" t="s">
        <v>54</v>
      </c>
      <c r="F222" s="386"/>
      <c r="G222" s="576" t="s">
        <v>425</v>
      </c>
      <c r="H222" s="117">
        <f>H199+H200+H202+H203</f>
        <v>22419.200000000001</v>
      </c>
      <c r="I222" s="117">
        <f>I199+I200+I202+I203</f>
        <v>13882.2</v>
      </c>
      <c r="J222" s="117">
        <f>J199+J200+J202+J203</f>
        <v>5549.3</v>
      </c>
      <c r="K222" s="117">
        <f>K199+K200+K202+K203</f>
        <v>2987.7</v>
      </c>
      <c r="L222" s="408"/>
    </row>
    <row r="223" spans="1:12" ht="75" customHeight="1">
      <c r="A223" s="390"/>
      <c r="B223" s="390"/>
      <c r="C223" s="390"/>
      <c r="D223" s="391"/>
      <c r="E223" s="322" t="s">
        <v>81</v>
      </c>
      <c r="F223" s="386"/>
      <c r="G223" s="577"/>
      <c r="H223" s="117">
        <f>H208</f>
        <v>187.78</v>
      </c>
      <c r="I223" s="117">
        <f>I208</f>
        <v>187.78</v>
      </c>
      <c r="J223" s="117">
        <f>J208</f>
        <v>0</v>
      </c>
      <c r="K223" s="117">
        <f>K208</f>
        <v>0</v>
      </c>
      <c r="L223" s="408"/>
    </row>
    <row r="224" spans="1:12" ht="75" customHeight="1">
      <c r="A224" s="390"/>
      <c r="B224" s="390"/>
      <c r="C224" s="390"/>
      <c r="D224" s="391"/>
      <c r="E224" s="322" t="s">
        <v>76</v>
      </c>
      <c r="F224" s="386"/>
      <c r="G224" s="577"/>
      <c r="H224" s="117">
        <f t="shared" ref="H224:K226" si="19">H210</f>
        <v>1422.3</v>
      </c>
      <c r="I224" s="117">
        <f t="shared" si="19"/>
        <v>1422.3</v>
      </c>
      <c r="J224" s="117">
        <f t="shared" si="19"/>
        <v>0</v>
      </c>
      <c r="K224" s="117">
        <f t="shared" si="19"/>
        <v>0</v>
      </c>
      <c r="L224" s="408"/>
    </row>
    <row r="225" spans="1:12" ht="75" customHeight="1">
      <c r="A225" s="390"/>
      <c r="B225" s="390"/>
      <c r="C225" s="390"/>
      <c r="D225" s="391"/>
      <c r="E225" s="322" t="s">
        <v>77</v>
      </c>
      <c r="F225" s="386"/>
      <c r="G225" s="577"/>
      <c r="H225" s="117">
        <f t="shared" si="19"/>
        <v>5874.3</v>
      </c>
      <c r="I225" s="117">
        <f t="shared" si="19"/>
        <v>5874.3</v>
      </c>
      <c r="J225" s="117">
        <f t="shared" si="19"/>
        <v>0</v>
      </c>
      <c r="K225" s="117">
        <f t="shared" si="19"/>
        <v>0</v>
      </c>
      <c r="L225" s="408"/>
    </row>
    <row r="226" spans="1:12" ht="75" customHeight="1">
      <c r="A226" s="392"/>
      <c r="B226" s="392"/>
      <c r="C226" s="392"/>
      <c r="D226" s="393"/>
      <c r="E226" s="322" t="s">
        <v>75</v>
      </c>
      <c r="F226" s="387"/>
      <c r="G226" s="586"/>
      <c r="H226" s="117">
        <f t="shared" si="19"/>
        <v>1323.4</v>
      </c>
      <c r="I226" s="117">
        <f t="shared" si="19"/>
        <v>1323.4</v>
      </c>
      <c r="J226" s="117">
        <f t="shared" si="19"/>
        <v>0</v>
      </c>
      <c r="K226" s="117">
        <f t="shared" si="19"/>
        <v>0</v>
      </c>
      <c r="L226" s="408"/>
    </row>
    <row r="227" spans="1:12" ht="75" customHeight="1">
      <c r="A227" s="382" t="s">
        <v>245</v>
      </c>
      <c r="B227" s="383"/>
      <c r="C227" s="383"/>
      <c r="D227" s="383"/>
      <c r="E227" s="383"/>
      <c r="F227" s="383"/>
      <c r="G227" s="383"/>
      <c r="H227" s="383"/>
      <c r="I227" s="383"/>
      <c r="J227" s="383"/>
      <c r="K227" s="383"/>
      <c r="L227" s="384"/>
    </row>
    <row r="228" spans="1:12" ht="75" customHeight="1">
      <c r="A228" s="443" t="s">
        <v>246</v>
      </c>
      <c r="B228" s="606" t="s">
        <v>247</v>
      </c>
      <c r="C228" s="600" t="s">
        <v>248</v>
      </c>
      <c r="D228" s="382" t="s">
        <v>360</v>
      </c>
      <c r="E228" s="383"/>
      <c r="F228" s="383"/>
      <c r="G228" s="384"/>
      <c r="H228" s="103">
        <f>H229+H237</f>
        <v>150505.81900000002</v>
      </c>
      <c r="I228" s="103">
        <f>I229+I237</f>
        <v>71668.319000000003</v>
      </c>
      <c r="J228" s="103">
        <f>J229+J237</f>
        <v>68837.5</v>
      </c>
      <c r="K228" s="103">
        <f>K229+K237</f>
        <v>10000</v>
      </c>
      <c r="L228" s="395" t="s">
        <v>101</v>
      </c>
    </row>
    <row r="229" spans="1:12" ht="75" customHeight="1">
      <c r="A229" s="443"/>
      <c r="B229" s="607"/>
      <c r="C229" s="601"/>
      <c r="D229" s="597" t="s">
        <v>97</v>
      </c>
      <c r="E229" s="598"/>
      <c r="F229" s="598"/>
      <c r="G229" s="599"/>
      <c r="H229" s="107">
        <f>H230+H231+H232+H233+H234+H235+H236</f>
        <v>145742.05600000001</v>
      </c>
      <c r="I229" s="107">
        <f>I230+I231+I232+I233+I234+I235+I236</f>
        <v>66904.555999999997</v>
      </c>
      <c r="J229" s="107">
        <f>J230+J231+J232+J233+J234+J235+J236</f>
        <v>68837.5</v>
      </c>
      <c r="K229" s="107">
        <f>K230+K231+K232+K233+K234+K235+K236</f>
        <v>10000</v>
      </c>
      <c r="L229" s="396"/>
    </row>
    <row r="230" spans="1:12" ht="75" customHeight="1">
      <c r="A230" s="443"/>
      <c r="B230" s="607"/>
      <c r="C230" s="601"/>
      <c r="D230" s="336" t="s">
        <v>33</v>
      </c>
      <c r="E230" s="322" t="s">
        <v>54</v>
      </c>
      <c r="F230" s="491" t="s">
        <v>461</v>
      </c>
      <c r="G230" s="489" t="s">
        <v>429</v>
      </c>
      <c r="H230" s="121">
        <f>I230+J230+K230</f>
        <v>39460.800000000003</v>
      </c>
      <c r="I230" s="99">
        <f>14923.3+1800+3000</f>
        <v>19723.3</v>
      </c>
      <c r="J230" s="99">
        <v>19737.5</v>
      </c>
      <c r="K230" s="99">
        <v>0</v>
      </c>
      <c r="L230" s="396"/>
    </row>
    <row r="231" spans="1:12" ht="75" customHeight="1">
      <c r="A231" s="443"/>
      <c r="B231" s="607"/>
      <c r="C231" s="601"/>
      <c r="D231" s="336" t="s">
        <v>29</v>
      </c>
      <c r="E231" s="322" t="s">
        <v>82</v>
      </c>
      <c r="F231" s="492"/>
      <c r="G231" s="490"/>
      <c r="H231" s="98">
        <f t="shared" ref="H231:H250" si="20">I231+J231+K231</f>
        <v>21042.5</v>
      </c>
      <c r="I231" s="101">
        <f>6890.5+50+202</f>
        <v>7142.5</v>
      </c>
      <c r="J231" s="99">
        <f>8400+2000+1000</f>
        <v>11400</v>
      </c>
      <c r="K231" s="99">
        <v>2500</v>
      </c>
      <c r="L231" s="396"/>
    </row>
    <row r="232" spans="1:12" ht="75" customHeight="1">
      <c r="A232" s="443"/>
      <c r="B232" s="607"/>
      <c r="C232" s="601"/>
      <c r="D232" s="171" t="s">
        <v>29</v>
      </c>
      <c r="E232" s="322" t="s">
        <v>76</v>
      </c>
      <c r="F232" s="492"/>
      <c r="G232" s="490"/>
      <c r="H232" s="98">
        <f t="shared" si="20"/>
        <v>5132</v>
      </c>
      <c r="I232" s="101">
        <f>232+200</f>
        <v>432</v>
      </c>
      <c r="J232" s="99">
        <f>1200+1000</f>
        <v>2200</v>
      </c>
      <c r="K232" s="99">
        <v>2500</v>
      </c>
      <c r="L232" s="396"/>
    </row>
    <row r="233" spans="1:12" ht="75" customHeight="1">
      <c r="A233" s="443"/>
      <c r="B233" s="607"/>
      <c r="C233" s="601"/>
      <c r="D233" s="171" t="s">
        <v>29</v>
      </c>
      <c r="E233" s="322" t="s">
        <v>77</v>
      </c>
      <c r="F233" s="492"/>
      <c r="G233" s="490"/>
      <c r="H233" s="98">
        <f t="shared" si="20"/>
        <v>28189.554</v>
      </c>
      <c r="I233" s="101">
        <f>11036+180-26.446</f>
        <v>11189.554</v>
      </c>
      <c r="J233" s="99">
        <f>13500+1000</f>
        <v>14500</v>
      </c>
      <c r="K233" s="99">
        <v>2500</v>
      </c>
      <c r="L233" s="396"/>
    </row>
    <row r="234" spans="1:12" ht="75" customHeight="1">
      <c r="A234" s="443"/>
      <c r="B234" s="607"/>
      <c r="C234" s="601"/>
      <c r="D234" s="171" t="s">
        <v>29</v>
      </c>
      <c r="E234" s="322" t="s">
        <v>75</v>
      </c>
      <c r="F234" s="492"/>
      <c r="G234" s="490"/>
      <c r="H234" s="98">
        <f t="shared" si="20"/>
        <v>38297.202000000005</v>
      </c>
      <c r="I234" s="101">
        <f>20947.39-50.188</f>
        <v>20897.202000000001</v>
      </c>
      <c r="J234" s="99">
        <f>13900+1000</f>
        <v>14900</v>
      </c>
      <c r="K234" s="99">
        <v>2500</v>
      </c>
      <c r="L234" s="396"/>
    </row>
    <row r="235" spans="1:12" ht="99.75" customHeight="1">
      <c r="A235" s="443"/>
      <c r="B235" s="607"/>
      <c r="C235" s="601"/>
      <c r="D235" s="171" t="s">
        <v>30</v>
      </c>
      <c r="E235" s="317" t="s">
        <v>79</v>
      </c>
      <c r="F235" s="492"/>
      <c r="G235" s="490"/>
      <c r="H235" s="98">
        <f t="shared" si="20"/>
        <v>12930</v>
      </c>
      <c r="I235" s="99">
        <f>6800+30</f>
        <v>6830</v>
      </c>
      <c r="J235" s="99">
        <f>5100+1000</f>
        <v>6100</v>
      </c>
      <c r="K235" s="99">
        <v>0</v>
      </c>
      <c r="L235" s="396"/>
    </row>
    <row r="236" spans="1:12" ht="75" customHeight="1">
      <c r="A236" s="443"/>
      <c r="B236" s="607"/>
      <c r="C236" s="601"/>
      <c r="D236" s="336" t="s">
        <v>31</v>
      </c>
      <c r="E236" s="317" t="s">
        <v>78</v>
      </c>
      <c r="F236" s="549"/>
      <c r="G236" s="502"/>
      <c r="H236" s="98">
        <f t="shared" si="20"/>
        <v>690</v>
      </c>
      <c r="I236" s="105">
        <f>590+100</f>
        <v>690</v>
      </c>
      <c r="J236" s="99">
        <v>0</v>
      </c>
      <c r="K236" s="99">
        <v>0</v>
      </c>
      <c r="L236" s="396"/>
    </row>
    <row r="237" spans="1:12" ht="75" customHeight="1">
      <c r="A237" s="443"/>
      <c r="B237" s="607"/>
      <c r="C237" s="601"/>
      <c r="D237" s="597" t="s">
        <v>97</v>
      </c>
      <c r="E237" s="598"/>
      <c r="F237" s="598"/>
      <c r="G237" s="599"/>
      <c r="H237" s="98">
        <f>H238+H239+H240+H241</f>
        <v>4763.7630000000008</v>
      </c>
      <c r="I237" s="98">
        <f>I238+I239+I240+I241</f>
        <v>4763.7630000000008</v>
      </c>
      <c r="J237" s="98">
        <f>J238+J239+J240</f>
        <v>0</v>
      </c>
      <c r="K237" s="98">
        <f>K238+K239+K240</f>
        <v>0</v>
      </c>
      <c r="L237" s="396"/>
    </row>
    <row r="238" spans="1:12" ht="75" customHeight="1">
      <c r="A238" s="443"/>
      <c r="B238" s="607"/>
      <c r="C238" s="601"/>
      <c r="D238" s="171" t="s">
        <v>37</v>
      </c>
      <c r="E238" s="322" t="s">
        <v>82</v>
      </c>
      <c r="F238" s="491" t="s">
        <v>461</v>
      </c>
      <c r="G238" s="491" t="s">
        <v>204</v>
      </c>
      <c r="H238" s="98">
        <f t="shared" si="20"/>
        <v>249.81</v>
      </c>
      <c r="I238" s="105">
        <f>250-0.19</f>
        <v>249.81</v>
      </c>
      <c r="J238" s="99">
        <v>0</v>
      </c>
      <c r="K238" s="99">
        <v>0</v>
      </c>
      <c r="L238" s="396"/>
    </row>
    <row r="239" spans="1:12" ht="75" customHeight="1">
      <c r="A239" s="443"/>
      <c r="B239" s="607"/>
      <c r="C239" s="601"/>
      <c r="D239" s="171" t="s">
        <v>37</v>
      </c>
      <c r="E239" s="322" t="s">
        <v>75</v>
      </c>
      <c r="F239" s="492"/>
      <c r="G239" s="492"/>
      <c r="H239" s="98">
        <f t="shared" si="20"/>
        <v>1187.9530000000004</v>
      </c>
      <c r="I239" s="105">
        <f>1196.053+165.812+50.188-224.1</f>
        <v>1187.9530000000004</v>
      </c>
      <c r="J239" s="99">
        <v>0</v>
      </c>
      <c r="K239" s="99">
        <v>0</v>
      </c>
      <c r="L239" s="396"/>
    </row>
    <row r="240" spans="1:12" ht="99.75" customHeight="1">
      <c r="A240" s="443"/>
      <c r="B240" s="607"/>
      <c r="C240" s="602"/>
      <c r="D240" s="171" t="s">
        <v>37</v>
      </c>
      <c r="E240" s="317" t="s">
        <v>79</v>
      </c>
      <c r="F240" s="492"/>
      <c r="G240" s="492"/>
      <c r="H240" s="98">
        <f t="shared" si="20"/>
        <v>926</v>
      </c>
      <c r="I240" s="105">
        <f>930-4</f>
        <v>926</v>
      </c>
      <c r="J240" s="99">
        <v>0</v>
      </c>
      <c r="K240" s="99">
        <v>0</v>
      </c>
      <c r="L240" s="396"/>
    </row>
    <row r="241" spans="1:12" ht="75" customHeight="1">
      <c r="A241" s="443"/>
      <c r="B241" s="607"/>
      <c r="C241" s="358"/>
      <c r="D241" s="171" t="s">
        <v>37</v>
      </c>
      <c r="E241" s="322" t="s">
        <v>462</v>
      </c>
      <c r="F241" s="549"/>
      <c r="G241" s="549"/>
      <c r="H241" s="98">
        <f>I241+J241+K241</f>
        <v>2400</v>
      </c>
      <c r="I241" s="105">
        <v>2400</v>
      </c>
      <c r="J241" s="99">
        <v>0</v>
      </c>
      <c r="K241" s="99">
        <v>0</v>
      </c>
      <c r="L241" s="396"/>
    </row>
    <row r="242" spans="1:12" ht="75" customHeight="1">
      <c r="A242" s="443"/>
      <c r="B242" s="607"/>
      <c r="C242" s="600" t="s">
        <v>249</v>
      </c>
      <c r="D242" s="382" t="s">
        <v>361</v>
      </c>
      <c r="E242" s="383"/>
      <c r="F242" s="383"/>
      <c r="G242" s="384"/>
      <c r="H242" s="98">
        <f>SUM(H243:H248)</f>
        <v>64333.67</v>
      </c>
      <c r="I242" s="98">
        <f>SUM(I243:I248)</f>
        <v>27333.67</v>
      </c>
      <c r="J242" s="98">
        <f>SUM(J243:J248)</f>
        <v>27000</v>
      </c>
      <c r="K242" s="98">
        <f>SUM(K243:K248)</f>
        <v>10000</v>
      </c>
      <c r="L242" s="396"/>
    </row>
    <row r="243" spans="1:12" ht="75" customHeight="1">
      <c r="A243" s="443"/>
      <c r="B243" s="607"/>
      <c r="C243" s="601"/>
      <c r="D243" s="171" t="s">
        <v>183</v>
      </c>
      <c r="E243" s="322" t="s">
        <v>82</v>
      </c>
      <c r="F243" s="491" t="s">
        <v>461</v>
      </c>
      <c r="G243" s="405" t="s">
        <v>429</v>
      </c>
      <c r="H243" s="98">
        <f t="shared" si="20"/>
        <v>13480.869999999999</v>
      </c>
      <c r="I243" s="105">
        <f>6150-169.13</f>
        <v>5980.87</v>
      </c>
      <c r="J243" s="99">
        <f>3000+2000</f>
        <v>5000</v>
      </c>
      <c r="K243" s="99">
        <v>2500</v>
      </c>
      <c r="L243" s="396"/>
    </row>
    <row r="244" spans="1:12" ht="75" customHeight="1">
      <c r="A244" s="443"/>
      <c r="B244" s="607"/>
      <c r="C244" s="601"/>
      <c r="D244" s="171" t="s">
        <v>183</v>
      </c>
      <c r="E244" s="322" t="s">
        <v>76</v>
      </c>
      <c r="F244" s="492"/>
      <c r="G244" s="405"/>
      <c r="H244" s="98">
        <f t="shared" si="20"/>
        <v>6669.13</v>
      </c>
      <c r="I244" s="105">
        <f>169.13</f>
        <v>169.13</v>
      </c>
      <c r="J244" s="99">
        <f>3000+1000</f>
        <v>4000</v>
      </c>
      <c r="K244" s="99">
        <v>2500</v>
      </c>
      <c r="L244" s="396"/>
    </row>
    <row r="245" spans="1:12" ht="75" customHeight="1">
      <c r="A245" s="443"/>
      <c r="B245" s="607"/>
      <c r="C245" s="601"/>
      <c r="D245" s="171" t="s">
        <v>183</v>
      </c>
      <c r="E245" s="322" t="s">
        <v>77</v>
      </c>
      <c r="F245" s="492"/>
      <c r="G245" s="405"/>
      <c r="H245" s="98">
        <f t="shared" si="20"/>
        <v>16034.1</v>
      </c>
      <c r="I245" s="105">
        <f>6930-395.9</f>
        <v>6534.1</v>
      </c>
      <c r="J245" s="99">
        <f>6000+1000</f>
        <v>7000</v>
      </c>
      <c r="K245" s="99">
        <v>2500</v>
      </c>
      <c r="L245" s="396"/>
    </row>
    <row r="246" spans="1:12" ht="75" customHeight="1">
      <c r="A246" s="443"/>
      <c r="B246" s="607"/>
      <c r="C246" s="601"/>
      <c r="D246" s="171" t="s">
        <v>183</v>
      </c>
      <c r="E246" s="322" t="s">
        <v>75</v>
      </c>
      <c r="F246" s="492"/>
      <c r="G246" s="405"/>
      <c r="H246" s="98">
        <f t="shared" si="20"/>
        <v>11000</v>
      </c>
      <c r="I246" s="105">
        <v>3500</v>
      </c>
      <c r="J246" s="99">
        <f>3000+1000+1000</f>
        <v>5000</v>
      </c>
      <c r="K246" s="99">
        <v>2500</v>
      </c>
      <c r="L246" s="396"/>
    </row>
    <row r="247" spans="1:12" ht="87.75" customHeight="1">
      <c r="A247" s="443"/>
      <c r="B247" s="607"/>
      <c r="C247" s="601"/>
      <c r="D247" s="171" t="s">
        <v>183</v>
      </c>
      <c r="E247" s="317" t="s">
        <v>79</v>
      </c>
      <c r="F247" s="492"/>
      <c r="G247" s="405"/>
      <c r="H247" s="98">
        <f t="shared" si="20"/>
        <v>16589.57</v>
      </c>
      <c r="I247" s="105">
        <v>10589.57</v>
      </c>
      <c r="J247" s="99">
        <f>5000+1000</f>
        <v>6000</v>
      </c>
      <c r="K247" s="99">
        <v>0</v>
      </c>
      <c r="L247" s="396"/>
    </row>
    <row r="248" spans="1:12" ht="75" customHeight="1">
      <c r="A248" s="443"/>
      <c r="B248" s="607"/>
      <c r="C248" s="602"/>
      <c r="D248" s="171" t="s">
        <v>183</v>
      </c>
      <c r="E248" s="317" t="s">
        <v>78</v>
      </c>
      <c r="F248" s="492"/>
      <c r="G248" s="405"/>
      <c r="H248" s="98">
        <f t="shared" si="20"/>
        <v>560</v>
      </c>
      <c r="I248" s="105">
        <v>560</v>
      </c>
      <c r="J248" s="99">
        <v>0</v>
      </c>
      <c r="K248" s="99">
        <v>0</v>
      </c>
      <c r="L248" s="396"/>
    </row>
    <row r="249" spans="1:12" ht="186" customHeight="1">
      <c r="A249" s="443"/>
      <c r="B249" s="607"/>
      <c r="C249" s="172" t="s">
        <v>362</v>
      </c>
      <c r="D249" s="345" t="s">
        <v>68</v>
      </c>
      <c r="E249" s="317" t="s">
        <v>75</v>
      </c>
      <c r="F249" s="492"/>
      <c r="G249" s="405"/>
      <c r="H249" s="98">
        <f>I249+J249+K249</f>
        <v>4883</v>
      </c>
      <c r="I249" s="99">
        <f>3000+307.7-713.7</f>
        <v>2594</v>
      </c>
      <c r="J249" s="99">
        <v>2289</v>
      </c>
      <c r="K249" s="99">
        <v>0</v>
      </c>
      <c r="L249" s="396"/>
    </row>
    <row r="250" spans="1:12" ht="339" customHeight="1">
      <c r="A250" s="443"/>
      <c r="B250" s="608"/>
      <c r="C250" s="172" t="s">
        <v>395</v>
      </c>
      <c r="D250" s="345" t="s">
        <v>400</v>
      </c>
      <c r="E250" s="317" t="s">
        <v>462</v>
      </c>
      <c r="F250" s="492"/>
      <c r="G250" s="173" t="s">
        <v>394</v>
      </c>
      <c r="H250" s="98">
        <f t="shared" si="20"/>
        <v>799.7</v>
      </c>
      <c r="I250" s="99">
        <v>799.7</v>
      </c>
      <c r="J250" s="99">
        <v>0</v>
      </c>
      <c r="K250" s="99">
        <v>0</v>
      </c>
      <c r="L250" s="341" t="s">
        <v>399</v>
      </c>
    </row>
    <row r="251" spans="1:12" ht="75" customHeight="1">
      <c r="A251" s="493" t="s">
        <v>73</v>
      </c>
      <c r="B251" s="494"/>
      <c r="C251" s="494"/>
      <c r="D251" s="494"/>
      <c r="E251" s="494"/>
      <c r="F251" s="494"/>
      <c r="G251" s="495"/>
      <c r="H251" s="98">
        <f>H228+H242+H249+H250</f>
        <v>220522.18900000001</v>
      </c>
      <c r="I251" s="98">
        <f>I228+I242+I249+I250</f>
        <v>102395.689</v>
      </c>
      <c r="J251" s="98">
        <f>J228+J242+J249+J250</f>
        <v>98126.5</v>
      </c>
      <c r="K251" s="98">
        <f>K228+K242+K249+K250</f>
        <v>20000</v>
      </c>
      <c r="L251" s="408"/>
    </row>
    <row r="252" spans="1:12" ht="144" customHeight="1">
      <c r="A252" s="496" t="s">
        <v>18</v>
      </c>
      <c r="B252" s="496"/>
      <c r="C252" s="496"/>
      <c r="D252" s="496"/>
      <c r="E252" s="496"/>
      <c r="F252" s="497"/>
      <c r="G252" s="153" t="s">
        <v>203</v>
      </c>
      <c r="H252" s="118">
        <f>H238+H239+H240+H241</f>
        <v>4763.7630000000008</v>
      </c>
      <c r="I252" s="118">
        <f>I238+I239+I240+I241</f>
        <v>4763.7630000000008</v>
      </c>
      <c r="J252" s="118">
        <f>J238+J239+J240</f>
        <v>0</v>
      </c>
      <c r="K252" s="118">
        <f>K238+K239+K240</f>
        <v>0</v>
      </c>
      <c r="L252" s="408"/>
    </row>
    <row r="253" spans="1:12" ht="120.75" customHeight="1">
      <c r="A253" s="498"/>
      <c r="B253" s="498"/>
      <c r="C253" s="498"/>
      <c r="D253" s="498"/>
      <c r="E253" s="498"/>
      <c r="F253" s="499"/>
      <c r="G253" s="174" t="s">
        <v>394</v>
      </c>
      <c r="H253" s="118">
        <f>H250</f>
        <v>799.7</v>
      </c>
      <c r="I253" s="118">
        <f>I250</f>
        <v>799.7</v>
      </c>
      <c r="J253" s="118">
        <f>J250</f>
        <v>0</v>
      </c>
      <c r="K253" s="118">
        <f>K250</f>
        <v>0</v>
      </c>
      <c r="L253" s="408"/>
    </row>
    <row r="254" spans="1:12" ht="75" customHeight="1">
      <c r="A254" s="500"/>
      <c r="B254" s="500"/>
      <c r="C254" s="500"/>
      <c r="D254" s="500"/>
      <c r="E254" s="500"/>
      <c r="F254" s="501"/>
      <c r="G254" s="153" t="s">
        <v>429</v>
      </c>
      <c r="H254" s="118">
        <f>H229+H242+H249</f>
        <v>214958.72600000002</v>
      </c>
      <c r="I254" s="118">
        <f>I229+I242+I249</f>
        <v>96832.225999999995</v>
      </c>
      <c r="J254" s="118">
        <f>J229+J242+J249</f>
        <v>98126.5</v>
      </c>
      <c r="K254" s="118">
        <f>K229+K242+K249</f>
        <v>20000</v>
      </c>
      <c r="L254" s="408"/>
    </row>
    <row r="255" spans="1:12" ht="75" customHeight="1">
      <c r="A255" s="415" t="s">
        <v>95</v>
      </c>
      <c r="B255" s="416"/>
      <c r="C255" s="416"/>
      <c r="D255" s="417"/>
      <c r="E255" s="395" t="s">
        <v>82</v>
      </c>
      <c r="F255" s="464"/>
      <c r="G255" s="175" t="s">
        <v>97</v>
      </c>
      <c r="H255" s="119">
        <f>SUM(H256:H257)</f>
        <v>34773.179999999993</v>
      </c>
      <c r="I255" s="119">
        <f>SUM(I256:I257)</f>
        <v>13373.179999999998</v>
      </c>
      <c r="J255" s="119">
        <f>SUM(J256:J257)</f>
        <v>16400</v>
      </c>
      <c r="K255" s="119">
        <f>SUM(K256:K257)</f>
        <v>5000</v>
      </c>
      <c r="L255" s="408"/>
    </row>
    <row r="256" spans="1:12" ht="75" customHeight="1">
      <c r="A256" s="418"/>
      <c r="B256" s="419"/>
      <c r="C256" s="419"/>
      <c r="D256" s="420"/>
      <c r="E256" s="396"/>
      <c r="F256" s="464"/>
      <c r="G256" s="349" t="s">
        <v>429</v>
      </c>
      <c r="H256" s="103">
        <f>H231+H243</f>
        <v>34523.369999999995</v>
      </c>
      <c r="I256" s="103">
        <f>I231+I243</f>
        <v>13123.369999999999</v>
      </c>
      <c r="J256" s="103">
        <f>J231+J243</f>
        <v>16400</v>
      </c>
      <c r="K256" s="103">
        <f>K231+K243</f>
        <v>5000</v>
      </c>
      <c r="L256" s="408"/>
    </row>
    <row r="257" spans="1:12" ht="147.75" customHeight="1">
      <c r="A257" s="418"/>
      <c r="B257" s="419"/>
      <c r="C257" s="419"/>
      <c r="D257" s="420"/>
      <c r="E257" s="397"/>
      <c r="F257" s="464"/>
      <c r="G257" s="349" t="s">
        <v>203</v>
      </c>
      <c r="H257" s="103">
        <f>H238</f>
        <v>249.81</v>
      </c>
      <c r="I257" s="103">
        <f>I238</f>
        <v>249.81</v>
      </c>
      <c r="J257" s="103">
        <f>J238</f>
        <v>0</v>
      </c>
      <c r="K257" s="103">
        <f>K238</f>
        <v>0</v>
      </c>
      <c r="L257" s="408"/>
    </row>
    <row r="258" spans="1:12" ht="75" customHeight="1">
      <c r="A258" s="418"/>
      <c r="B258" s="419"/>
      <c r="C258" s="419"/>
      <c r="D258" s="420"/>
      <c r="E258" s="322" t="s">
        <v>76</v>
      </c>
      <c r="F258" s="464"/>
      <c r="G258" s="464" t="s">
        <v>429</v>
      </c>
      <c r="H258" s="103">
        <f>H232</f>
        <v>5132</v>
      </c>
      <c r="I258" s="103">
        <f>I232+I244</f>
        <v>601.13</v>
      </c>
      <c r="J258" s="103">
        <f>J232+J244</f>
        <v>6200</v>
      </c>
      <c r="K258" s="103">
        <f>K232</f>
        <v>2500</v>
      </c>
      <c r="L258" s="408"/>
    </row>
    <row r="259" spans="1:12" ht="75" customHeight="1">
      <c r="A259" s="418"/>
      <c r="B259" s="419"/>
      <c r="C259" s="419"/>
      <c r="D259" s="420"/>
      <c r="E259" s="322" t="s">
        <v>77</v>
      </c>
      <c r="F259" s="464"/>
      <c r="G259" s="464"/>
      <c r="H259" s="103">
        <f>H233+H245</f>
        <v>44223.654000000002</v>
      </c>
      <c r="I259" s="103">
        <f>I233+I245</f>
        <v>17723.654000000002</v>
      </c>
      <c r="J259" s="103">
        <f>J233+J245</f>
        <v>21500</v>
      </c>
      <c r="K259" s="103">
        <f>K233+K245</f>
        <v>5000</v>
      </c>
      <c r="L259" s="408"/>
    </row>
    <row r="260" spans="1:12" ht="75" customHeight="1">
      <c r="A260" s="418"/>
      <c r="B260" s="419"/>
      <c r="C260" s="419"/>
      <c r="D260" s="420"/>
      <c r="E260" s="395" t="s">
        <v>75</v>
      </c>
      <c r="F260" s="464"/>
      <c r="G260" s="175" t="s">
        <v>97</v>
      </c>
      <c r="H260" s="103">
        <f>H261+H262</f>
        <v>55368.155000000006</v>
      </c>
      <c r="I260" s="103">
        <f>I261+I262</f>
        <v>28179.155000000002</v>
      </c>
      <c r="J260" s="103">
        <f>J261+J262</f>
        <v>22189</v>
      </c>
      <c r="K260" s="103">
        <f>K261+K262</f>
        <v>5000</v>
      </c>
      <c r="L260" s="408"/>
    </row>
    <row r="261" spans="1:12" ht="75" customHeight="1">
      <c r="A261" s="418"/>
      <c r="B261" s="419"/>
      <c r="C261" s="419"/>
      <c r="D261" s="420"/>
      <c r="E261" s="396"/>
      <c r="F261" s="464"/>
      <c r="G261" s="349" t="s">
        <v>429</v>
      </c>
      <c r="H261" s="103">
        <f>H234+H246+H249</f>
        <v>54180.202000000005</v>
      </c>
      <c r="I261" s="103">
        <f>I234+I246+I249</f>
        <v>26991.202000000001</v>
      </c>
      <c r="J261" s="103">
        <f>J234+J246+J249</f>
        <v>22189</v>
      </c>
      <c r="K261" s="103">
        <f>K234+K246+K249</f>
        <v>5000</v>
      </c>
      <c r="L261" s="408"/>
    </row>
    <row r="262" spans="1:12" ht="143.25" customHeight="1">
      <c r="A262" s="418"/>
      <c r="B262" s="419"/>
      <c r="C262" s="419"/>
      <c r="D262" s="420"/>
      <c r="E262" s="397"/>
      <c r="F262" s="464"/>
      <c r="G262" s="349" t="s">
        <v>203</v>
      </c>
      <c r="H262" s="103">
        <f>H239</f>
        <v>1187.9530000000004</v>
      </c>
      <c r="I262" s="103">
        <f>I239</f>
        <v>1187.9530000000004</v>
      </c>
      <c r="J262" s="103">
        <f>J239</f>
        <v>0</v>
      </c>
      <c r="K262" s="103">
        <f>K239</f>
        <v>0</v>
      </c>
      <c r="L262" s="408"/>
    </row>
    <row r="263" spans="1:12" ht="75" customHeight="1">
      <c r="A263" s="418"/>
      <c r="B263" s="419"/>
      <c r="C263" s="419"/>
      <c r="D263" s="420"/>
      <c r="E263" s="395" t="s">
        <v>79</v>
      </c>
      <c r="F263" s="464"/>
      <c r="G263" s="175" t="s">
        <v>97</v>
      </c>
      <c r="H263" s="103">
        <f>H264+H265</f>
        <v>30445.57</v>
      </c>
      <c r="I263" s="103">
        <f>I264+I265</f>
        <v>18345.57</v>
      </c>
      <c r="J263" s="103">
        <f>J264+J265</f>
        <v>12100</v>
      </c>
      <c r="K263" s="103">
        <f>K264+K265</f>
        <v>0</v>
      </c>
      <c r="L263" s="408"/>
    </row>
    <row r="264" spans="1:12" ht="75" customHeight="1">
      <c r="A264" s="418"/>
      <c r="B264" s="419"/>
      <c r="C264" s="419"/>
      <c r="D264" s="420"/>
      <c r="E264" s="396"/>
      <c r="F264" s="464"/>
      <c r="G264" s="349" t="s">
        <v>429</v>
      </c>
      <c r="H264" s="103">
        <f>H235+H247</f>
        <v>29519.57</v>
      </c>
      <c r="I264" s="103">
        <f>I235+I247</f>
        <v>17419.57</v>
      </c>
      <c r="J264" s="103">
        <f>J235+J247</f>
        <v>12100</v>
      </c>
      <c r="K264" s="103">
        <f>K235+K247</f>
        <v>0</v>
      </c>
      <c r="L264" s="408"/>
    </row>
    <row r="265" spans="1:12" ht="139.5" customHeight="1">
      <c r="A265" s="418"/>
      <c r="B265" s="419"/>
      <c r="C265" s="419"/>
      <c r="D265" s="420"/>
      <c r="E265" s="397"/>
      <c r="F265" s="464"/>
      <c r="G265" s="349" t="s">
        <v>203</v>
      </c>
      <c r="H265" s="103">
        <f>H240</f>
        <v>926</v>
      </c>
      <c r="I265" s="103">
        <f>I240</f>
        <v>926</v>
      </c>
      <c r="J265" s="103">
        <f>J240</f>
        <v>0</v>
      </c>
      <c r="K265" s="103">
        <f>K240</f>
        <v>0</v>
      </c>
      <c r="L265" s="408"/>
    </row>
    <row r="266" spans="1:12" ht="99.75" customHeight="1">
      <c r="A266" s="418"/>
      <c r="B266" s="419"/>
      <c r="C266" s="419"/>
      <c r="D266" s="420"/>
      <c r="E266" s="322" t="s">
        <v>78</v>
      </c>
      <c r="F266" s="464"/>
      <c r="G266" s="176" t="s">
        <v>429</v>
      </c>
      <c r="H266" s="103">
        <f>H236+H248</f>
        <v>1250</v>
      </c>
      <c r="I266" s="103">
        <f>I236+I248</f>
        <v>1250</v>
      </c>
      <c r="J266" s="103">
        <f>J236+J248</f>
        <v>0</v>
      </c>
      <c r="K266" s="103">
        <f>K236+K248</f>
        <v>0</v>
      </c>
      <c r="L266" s="408"/>
    </row>
    <row r="267" spans="1:12" ht="75" customHeight="1">
      <c r="A267" s="418"/>
      <c r="B267" s="419"/>
      <c r="C267" s="419"/>
      <c r="D267" s="420"/>
      <c r="E267" s="395" t="s">
        <v>462</v>
      </c>
      <c r="F267" s="464"/>
      <c r="G267" s="175" t="s">
        <v>97</v>
      </c>
      <c r="H267" s="103">
        <f>H268+H269</f>
        <v>40260.5</v>
      </c>
      <c r="I267" s="103">
        <f>I268+I269</f>
        <v>20523</v>
      </c>
      <c r="J267" s="103">
        <f>J268+J269</f>
        <v>19737.5</v>
      </c>
      <c r="K267" s="103">
        <f>K268+K269</f>
        <v>0</v>
      </c>
      <c r="L267" s="408"/>
    </row>
    <row r="268" spans="1:12" ht="75" customHeight="1">
      <c r="A268" s="418"/>
      <c r="B268" s="419"/>
      <c r="C268" s="419"/>
      <c r="D268" s="420"/>
      <c r="E268" s="396"/>
      <c r="F268" s="464"/>
      <c r="G268" s="328" t="s">
        <v>394</v>
      </c>
      <c r="H268" s="103">
        <f>H250</f>
        <v>799.7</v>
      </c>
      <c r="I268" s="103">
        <f>I250</f>
        <v>799.7</v>
      </c>
      <c r="J268" s="103">
        <f>J250</f>
        <v>0</v>
      </c>
      <c r="K268" s="103">
        <f>K250</f>
        <v>0</v>
      </c>
      <c r="L268" s="408"/>
    </row>
    <row r="269" spans="1:12" ht="75" customHeight="1">
      <c r="A269" s="421"/>
      <c r="B269" s="422"/>
      <c r="C269" s="422"/>
      <c r="D269" s="423"/>
      <c r="E269" s="397"/>
      <c r="F269" s="464"/>
      <c r="G269" s="327" t="s">
        <v>429</v>
      </c>
      <c r="H269" s="103">
        <f>H230</f>
        <v>39460.800000000003</v>
      </c>
      <c r="I269" s="103">
        <f>I230</f>
        <v>19723.3</v>
      </c>
      <c r="J269" s="103">
        <f>J230</f>
        <v>19737.5</v>
      </c>
      <c r="K269" s="103">
        <f>K230</f>
        <v>0</v>
      </c>
      <c r="L269" s="408"/>
    </row>
    <row r="270" spans="1:12" ht="75" customHeight="1">
      <c r="A270" s="493" t="s">
        <v>102</v>
      </c>
      <c r="B270" s="494"/>
      <c r="C270" s="494"/>
      <c r="D270" s="494"/>
      <c r="E270" s="494"/>
      <c r="F270" s="495"/>
      <c r="G270" s="177"/>
      <c r="H270" s="98">
        <f>H125+H181+H216+H251</f>
        <v>554624.34030000004</v>
      </c>
      <c r="I270" s="98">
        <f>I125+I181+I216+I251</f>
        <v>291091.83100000001</v>
      </c>
      <c r="J270" s="98">
        <f>J125+J181+J216+J251</f>
        <v>175671.67999999999</v>
      </c>
      <c r="K270" s="98">
        <f>K125+K181+K216+K251</f>
        <v>88020.929299999989</v>
      </c>
      <c r="L270" s="436"/>
    </row>
    <row r="271" spans="1:12" ht="75" customHeight="1">
      <c r="A271" s="409" t="s">
        <v>103</v>
      </c>
      <c r="B271" s="409"/>
      <c r="C271" s="409"/>
      <c r="D271" s="409"/>
      <c r="E271" s="409"/>
      <c r="F271" s="410"/>
      <c r="G271" s="327" t="s">
        <v>426</v>
      </c>
      <c r="H271" s="98">
        <f>H126+H182+H217</f>
        <v>261261.43229999999</v>
      </c>
      <c r="I271" s="98">
        <f>I126+I182+I217</f>
        <v>124866.12299999998</v>
      </c>
      <c r="J271" s="98">
        <f>J126+J182+J217-0.1</f>
        <v>69874.28</v>
      </c>
      <c r="K271" s="98">
        <f>K126+K182+K217</f>
        <v>68020.929299999989</v>
      </c>
      <c r="L271" s="437"/>
    </row>
    <row r="272" spans="1:12" ht="75" customHeight="1">
      <c r="A272" s="411"/>
      <c r="B272" s="411"/>
      <c r="C272" s="411"/>
      <c r="D272" s="411"/>
      <c r="E272" s="411"/>
      <c r="F272" s="412"/>
      <c r="G272" s="327" t="s">
        <v>429</v>
      </c>
      <c r="H272" s="98">
        <f>H254</f>
        <v>214958.72600000002</v>
      </c>
      <c r="I272" s="98">
        <f>I254</f>
        <v>96832.225999999995</v>
      </c>
      <c r="J272" s="98">
        <f>J254</f>
        <v>98126.5</v>
      </c>
      <c r="K272" s="98">
        <f>K254</f>
        <v>20000</v>
      </c>
      <c r="L272" s="437"/>
    </row>
    <row r="273" spans="1:12" ht="102" customHeight="1">
      <c r="A273" s="411"/>
      <c r="B273" s="411"/>
      <c r="C273" s="411"/>
      <c r="D273" s="411"/>
      <c r="E273" s="411"/>
      <c r="F273" s="412"/>
      <c r="G273" s="327" t="s">
        <v>96</v>
      </c>
      <c r="H273" s="98">
        <f>H127</f>
        <v>52839.700000000004</v>
      </c>
      <c r="I273" s="98">
        <f>I127</f>
        <v>52839.700000000004</v>
      </c>
      <c r="J273" s="98">
        <f>J127</f>
        <v>0</v>
      </c>
      <c r="K273" s="98">
        <f>K127</f>
        <v>0</v>
      </c>
      <c r="L273" s="437"/>
    </row>
    <row r="274" spans="1:12" ht="219" customHeight="1">
      <c r="A274" s="411"/>
      <c r="B274" s="411"/>
      <c r="C274" s="411"/>
      <c r="D274" s="411"/>
      <c r="E274" s="411"/>
      <c r="F274" s="412"/>
      <c r="G274" s="349" t="s">
        <v>100</v>
      </c>
      <c r="H274" s="98">
        <f>H184+H218</f>
        <v>14282.919000000002</v>
      </c>
      <c r="I274" s="98">
        <f>I184+I218</f>
        <v>6612.1190000000006</v>
      </c>
      <c r="J274" s="98">
        <f>J184+J218</f>
        <v>7670.8</v>
      </c>
      <c r="K274" s="98">
        <f>K184+K218</f>
        <v>0</v>
      </c>
      <c r="L274" s="437"/>
    </row>
    <row r="275" spans="1:12" ht="168" customHeight="1">
      <c r="A275" s="411"/>
      <c r="B275" s="411"/>
      <c r="C275" s="411"/>
      <c r="D275" s="411"/>
      <c r="E275" s="411"/>
      <c r="F275" s="412"/>
      <c r="G275" s="327" t="s">
        <v>99</v>
      </c>
      <c r="H275" s="98">
        <f>H128+H183</f>
        <v>4318.2</v>
      </c>
      <c r="I275" s="98">
        <f>I128+I183</f>
        <v>4318.2</v>
      </c>
      <c r="J275" s="98">
        <f>J128+J183</f>
        <v>0</v>
      </c>
      <c r="K275" s="98">
        <f>K128+K183</f>
        <v>0</v>
      </c>
      <c r="L275" s="437"/>
    </row>
    <row r="276" spans="1:12" ht="160.5" customHeight="1">
      <c r="A276" s="411"/>
      <c r="B276" s="411"/>
      <c r="C276" s="411"/>
      <c r="D276" s="411"/>
      <c r="E276" s="411"/>
      <c r="F276" s="412"/>
      <c r="G276" s="349" t="s">
        <v>203</v>
      </c>
      <c r="H276" s="98">
        <f t="shared" ref="H276:K277" si="21">H252</f>
        <v>4763.7630000000008</v>
      </c>
      <c r="I276" s="98">
        <f>I252</f>
        <v>4763.7630000000008</v>
      </c>
      <c r="J276" s="98">
        <f t="shared" si="21"/>
        <v>0</v>
      </c>
      <c r="K276" s="98">
        <f t="shared" si="21"/>
        <v>0</v>
      </c>
      <c r="L276" s="437"/>
    </row>
    <row r="277" spans="1:12" ht="75" customHeight="1">
      <c r="A277" s="411"/>
      <c r="B277" s="411"/>
      <c r="C277" s="411"/>
      <c r="D277" s="411"/>
      <c r="E277" s="411"/>
      <c r="F277" s="412"/>
      <c r="G277" s="328" t="s">
        <v>394</v>
      </c>
      <c r="H277" s="98">
        <f t="shared" si="21"/>
        <v>799.7</v>
      </c>
      <c r="I277" s="98">
        <f t="shared" si="21"/>
        <v>799.7</v>
      </c>
      <c r="J277" s="98">
        <f t="shared" si="21"/>
        <v>0</v>
      </c>
      <c r="K277" s="98">
        <f t="shared" si="21"/>
        <v>0</v>
      </c>
      <c r="L277" s="437"/>
    </row>
    <row r="278" spans="1:12" ht="75" customHeight="1">
      <c r="A278" s="413"/>
      <c r="B278" s="413"/>
      <c r="C278" s="413"/>
      <c r="D278" s="413"/>
      <c r="E278" s="413"/>
      <c r="F278" s="414"/>
      <c r="G278" s="327" t="s">
        <v>328</v>
      </c>
      <c r="H278" s="98">
        <f>H129</f>
        <v>60</v>
      </c>
      <c r="I278" s="98">
        <f>I129</f>
        <v>60</v>
      </c>
      <c r="J278" s="98">
        <f>J129</f>
        <v>0</v>
      </c>
      <c r="K278" s="98">
        <f>K129</f>
        <v>0</v>
      </c>
      <c r="L278" s="437"/>
    </row>
    <row r="279" spans="1:12" ht="75" customHeight="1">
      <c r="A279" s="409" t="s">
        <v>95</v>
      </c>
      <c r="B279" s="409"/>
      <c r="C279" s="409"/>
      <c r="D279" s="410"/>
      <c r="E279" s="439" t="s">
        <v>82</v>
      </c>
      <c r="F279" s="603"/>
      <c r="G279" s="327" t="s">
        <v>90</v>
      </c>
      <c r="H279" s="98">
        <f>SUM(H280:H285)</f>
        <v>75206.42</v>
      </c>
      <c r="I279" s="98">
        <f>SUM(I280:I285)</f>
        <v>41972.020000000004</v>
      </c>
      <c r="J279" s="98">
        <f>SUM(J280:J285)</f>
        <v>22827.9</v>
      </c>
      <c r="K279" s="98">
        <f>SUM(K280:K285)</f>
        <v>10406.5</v>
      </c>
      <c r="L279" s="178"/>
    </row>
    <row r="280" spans="1:12" ht="75" customHeight="1">
      <c r="A280" s="411"/>
      <c r="B280" s="411"/>
      <c r="C280" s="411"/>
      <c r="D280" s="412"/>
      <c r="E280" s="440"/>
      <c r="F280" s="604"/>
      <c r="G280" s="331" t="s">
        <v>425</v>
      </c>
      <c r="H280" s="99">
        <f>H131+H187</f>
        <v>27739.84</v>
      </c>
      <c r="I280" s="99">
        <f>I131+I187</f>
        <v>15905.439999999999</v>
      </c>
      <c r="J280" s="99">
        <f t="shared" ref="J280:K280" si="22">J131+J187</f>
        <v>6427.9</v>
      </c>
      <c r="K280" s="99">
        <f t="shared" si="22"/>
        <v>5406.5</v>
      </c>
      <c r="L280" s="179"/>
    </row>
    <row r="281" spans="1:12" ht="75" customHeight="1">
      <c r="A281" s="411"/>
      <c r="B281" s="411"/>
      <c r="C281" s="411"/>
      <c r="D281" s="412"/>
      <c r="E281" s="440"/>
      <c r="F281" s="604"/>
      <c r="G281" s="329" t="s">
        <v>96</v>
      </c>
      <c r="H281" s="99">
        <f>H134</f>
        <v>12485.6</v>
      </c>
      <c r="I281" s="99">
        <f>I134</f>
        <v>12485.6</v>
      </c>
      <c r="J281" s="99">
        <f>J134</f>
        <v>0</v>
      </c>
      <c r="K281" s="99">
        <f>K134</f>
        <v>0</v>
      </c>
      <c r="L281" s="179"/>
    </row>
    <row r="282" spans="1:12" ht="174.75" customHeight="1">
      <c r="A282" s="411"/>
      <c r="B282" s="411"/>
      <c r="C282" s="411"/>
      <c r="D282" s="412"/>
      <c r="E282" s="440"/>
      <c r="F282" s="604"/>
      <c r="G282" s="329" t="str">
        <f>G132</f>
        <v>Субвенція з місцевого бюджету на здійснення переданих видатків у сфері охорони здоров'я за рахунок коштів медичної субвенції (загальний фонд)</v>
      </c>
      <c r="H282" s="101">
        <f>H132+H186</f>
        <v>147.79999999999998</v>
      </c>
      <c r="I282" s="101">
        <f>I132+I186</f>
        <v>147.79999999999998</v>
      </c>
      <c r="J282" s="101">
        <f>J132+J186</f>
        <v>0</v>
      </c>
      <c r="K282" s="101">
        <f>K132+K186</f>
        <v>0</v>
      </c>
      <c r="L282" s="179"/>
    </row>
    <row r="283" spans="1:12" ht="147.75" customHeight="1">
      <c r="A283" s="411"/>
      <c r="B283" s="411"/>
      <c r="C283" s="411"/>
      <c r="D283" s="412"/>
      <c r="E283" s="440"/>
      <c r="F283" s="604"/>
      <c r="G283" s="329" t="s">
        <v>203</v>
      </c>
      <c r="H283" s="99">
        <f>H257</f>
        <v>249.81</v>
      </c>
      <c r="I283" s="99">
        <f>I257</f>
        <v>249.81</v>
      </c>
      <c r="J283" s="99">
        <f>J257</f>
        <v>0</v>
      </c>
      <c r="K283" s="99">
        <f>K257</f>
        <v>0</v>
      </c>
      <c r="L283" s="179"/>
    </row>
    <row r="284" spans="1:12" ht="75" customHeight="1">
      <c r="A284" s="411"/>
      <c r="B284" s="411"/>
      <c r="C284" s="411"/>
      <c r="D284" s="412"/>
      <c r="E284" s="440"/>
      <c r="F284" s="604"/>
      <c r="G284" s="331" t="s">
        <v>328</v>
      </c>
      <c r="H284" s="99">
        <f>H133</f>
        <v>60</v>
      </c>
      <c r="I284" s="99">
        <f>I133</f>
        <v>60</v>
      </c>
      <c r="J284" s="99">
        <f>J133</f>
        <v>0</v>
      </c>
      <c r="K284" s="99">
        <f>K133</f>
        <v>0</v>
      </c>
      <c r="L284" s="179"/>
    </row>
    <row r="285" spans="1:12" ht="85.5" customHeight="1">
      <c r="A285" s="411"/>
      <c r="B285" s="411"/>
      <c r="C285" s="411"/>
      <c r="D285" s="412"/>
      <c r="E285" s="441"/>
      <c r="F285" s="604"/>
      <c r="G285" s="331" t="s">
        <v>429</v>
      </c>
      <c r="H285" s="99">
        <f>H256</f>
        <v>34523.369999999995</v>
      </c>
      <c r="I285" s="99">
        <f>I256</f>
        <v>13123.369999999999</v>
      </c>
      <c r="J285" s="99">
        <f>J256</f>
        <v>16400</v>
      </c>
      <c r="K285" s="99">
        <f>K256</f>
        <v>5000</v>
      </c>
      <c r="L285" s="179"/>
    </row>
    <row r="286" spans="1:12" ht="75" customHeight="1">
      <c r="A286" s="411"/>
      <c r="B286" s="411"/>
      <c r="C286" s="411"/>
      <c r="D286" s="412"/>
      <c r="E286" s="439" t="s">
        <v>76</v>
      </c>
      <c r="F286" s="604"/>
      <c r="G286" s="327" t="s">
        <v>90</v>
      </c>
      <c r="H286" s="98">
        <f>SUM(H287:H289)</f>
        <v>47013.88</v>
      </c>
      <c r="I286" s="98">
        <f>SUM(I287:I289)</f>
        <v>21952.03</v>
      </c>
      <c r="J286" s="98">
        <f>SUM(J287:J289)</f>
        <v>16141.08</v>
      </c>
      <c r="K286" s="98">
        <f>SUM(K287:K289)</f>
        <v>13130.599999999999</v>
      </c>
      <c r="L286" s="179"/>
    </row>
    <row r="287" spans="1:12" ht="75" customHeight="1">
      <c r="A287" s="411"/>
      <c r="B287" s="411"/>
      <c r="C287" s="411"/>
      <c r="D287" s="412"/>
      <c r="E287" s="440"/>
      <c r="F287" s="604"/>
      <c r="G287" s="331" t="s">
        <v>425</v>
      </c>
      <c r="H287" s="99">
        <f>H136+H188+H224</f>
        <v>33721.78</v>
      </c>
      <c r="I287" s="99">
        <f>I136+I188+I224</f>
        <v>13190.799999999997</v>
      </c>
      <c r="J287" s="99">
        <f>J136+J188+J224</f>
        <v>9941.08</v>
      </c>
      <c r="K287" s="99">
        <f>K136+K188+K224</f>
        <v>10630.599999999999</v>
      </c>
      <c r="L287" s="326"/>
    </row>
    <row r="288" spans="1:12" ht="75" customHeight="1">
      <c r="A288" s="411"/>
      <c r="B288" s="411"/>
      <c r="C288" s="411"/>
      <c r="D288" s="412"/>
      <c r="E288" s="440"/>
      <c r="F288" s="604"/>
      <c r="G288" s="329" t="s">
        <v>96</v>
      </c>
      <c r="H288" s="99">
        <f>H137</f>
        <v>8160.1</v>
      </c>
      <c r="I288" s="99">
        <f>I137</f>
        <v>8160.1</v>
      </c>
      <c r="J288" s="99">
        <f>J137</f>
        <v>0</v>
      </c>
      <c r="K288" s="99">
        <f>K137</f>
        <v>0</v>
      </c>
      <c r="L288" s="179"/>
    </row>
    <row r="289" spans="1:12" ht="75" customHeight="1">
      <c r="A289" s="411"/>
      <c r="B289" s="411"/>
      <c r="C289" s="411"/>
      <c r="D289" s="412"/>
      <c r="E289" s="441"/>
      <c r="F289" s="604"/>
      <c r="G289" s="331" t="s">
        <v>429</v>
      </c>
      <c r="H289" s="99">
        <f>H258</f>
        <v>5132</v>
      </c>
      <c r="I289" s="99">
        <f>I258</f>
        <v>601.13</v>
      </c>
      <c r="J289" s="99">
        <f>J258</f>
        <v>6200</v>
      </c>
      <c r="K289" s="99">
        <f>K258</f>
        <v>2500</v>
      </c>
      <c r="L289" s="326"/>
    </row>
    <row r="290" spans="1:12" ht="75" customHeight="1">
      <c r="A290" s="411"/>
      <c r="B290" s="411"/>
      <c r="C290" s="411"/>
      <c r="D290" s="412"/>
      <c r="E290" s="439" t="s">
        <v>77</v>
      </c>
      <c r="F290" s="604"/>
      <c r="G290" s="327" t="s">
        <v>90</v>
      </c>
      <c r="H290" s="98">
        <f>SUM(H291:H294)</f>
        <v>98071.414000000019</v>
      </c>
      <c r="I290" s="98">
        <f>SUM(I291:I294)</f>
        <v>56314.853999999999</v>
      </c>
      <c r="J290" s="98">
        <f>SUM(J291:J294)</f>
        <v>28945.57</v>
      </c>
      <c r="K290" s="98">
        <f>SUM(K291:K294)</f>
        <v>12909.99</v>
      </c>
      <c r="L290" s="326"/>
    </row>
    <row r="291" spans="1:12" ht="75" customHeight="1">
      <c r="A291" s="411"/>
      <c r="B291" s="411"/>
      <c r="C291" s="411"/>
      <c r="D291" s="412"/>
      <c r="E291" s="440"/>
      <c r="F291" s="604"/>
      <c r="G291" s="331" t="s">
        <v>425</v>
      </c>
      <c r="H291" s="99">
        <f>H139+H189+H225</f>
        <v>38301.26</v>
      </c>
      <c r="I291" s="99">
        <f>I139+I189+I225</f>
        <v>23044.699999999997</v>
      </c>
      <c r="J291" s="99">
        <f>J139+J189+J225</f>
        <v>7445.57</v>
      </c>
      <c r="K291" s="99">
        <f>K139+K189+K225</f>
        <v>7909.99</v>
      </c>
      <c r="L291" s="326"/>
    </row>
    <row r="292" spans="1:12" ht="91.5" customHeight="1">
      <c r="A292" s="411"/>
      <c r="B292" s="411"/>
      <c r="C292" s="411"/>
      <c r="D292" s="412"/>
      <c r="E292" s="440"/>
      <c r="F292" s="604"/>
      <c r="G292" s="329" t="s">
        <v>96</v>
      </c>
      <c r="H292" s="99">
        <f t="shared" ref="H292:K293" si="23">H140</f>
        <v>12866.2</v>
      </c>
      <c r="I292" s="99">
        <f t="shared" si="23"/>
        <v>12866.2</v>
      </c>
      <c r="J292" s="99">
        <f t="shared" si="23"/>
        <v>0</v>
      </c>
      <c r="K292" s="99">
        <f t="shared" si="23"/>
        <v>0</v>
      </c>
      <c r="L292" s="326"/>
    </row>
    <row r="293" spans="1:12" ht="159" customHeight="1">
      <c r="A293" s="411"/>
      <c r="B293" s="411"/>
      <c r="C293" s="411"/>
      <c r="D293" s="412"/>
      <c r="E293" s="440"/>
      <c r="F293" s="604"/>
      <c r="G293" s="329" t="s">
        <v>99</v>
      </c>
      <c r="H293" s="99">
        <f t="shared" si="23"/>
        <v>2680.3</v>
      </c>
      <c r="I293" s="99">
        <f t="shared" si="23"/>
        <v>2680.3</v>
      </c>
      <c r="J293" s="99">
        <f t="shared" si="23"/>
        <v>0</v>
      </c>
      <c r="K293" s="99">
        <f t="shared" si="23"/>
        <v>0</v>
      </c>
      <c r="L293" s="326"/>
    </row>
    <row r="294" spans="1:12" ht="75" customHeight="1">
      <c r="A294" s="411"/>
      <c r="B294" s="411"/>
      <c r="C294" s="411"/>
      <c r="D294" s="412"/>
      <c r="E294" s="441"/>
      <c r="F294" s="604"/>
      <c r="G294" s="331" t="s">
        <v>429</v>
      </c>
      <c r="H294" s="99">
        <f>H259</f>
        <v>44223.654000000002</v>
      </c>
      <c r="I294" s="99">
        <f>I259</f>
        <v>17723.654000000002</v>
      </c>
      <c r="J294" s="99">
        <f>J259</f>
        <v>21500</v>
      </c>
      <c r="K294" s="99">
        <f>K259</f>
        <v>5000</v>
      </c>
      <c r="L294" s="326"/>
    </row>
    <row r="295" spans="1:12" ht="75" customHeight="1">
      <c r="A295" s="411"/>
      <c r="B295" s="411"/>
      <c r="C295" s="411"/>
      <c r="D295" s="412"/>
      <c r="E295" s="439" t="s">
        <v>75</v>
      </c>
      <c r="F295" s="604"/>
      <c r="G295" s="327" t="s">
        <v>90</v>
      </c>
      <c r="H295" s="98">
        <f>SUM(H296:H299)</f>
        <v>109700.26000000001</v>
      </c>
      <c r="I295" s="98">
        <f>SUM(I296:I299)</f>
        <v>62999.538</v>
      </c>
      <c r="J295" s="98">
        <f>SUM(J296:J299)</f>
        <v>32577.53</v>
      </c>
      <c r="K295" s="98">
        <f>SUM(K296:K299)</f>
        <v>14222.192000000001</v>
      </c>
      <c r="L295" s="326"/>
    </row>
    <row r="296" spans="1:12" ht="75" customHeight="1">
      <c r="A296" s="411"/>
      <c r="B296" s="411"/>
      <c r="C296" s="411"/>
      <c r="D296" s="412"/>
      <c r="E296" s="440"/>
      <c r="F296" s="604"/>
      <c r="G296" s="346" t="s">
        <v>425</v>
      </c>
      <c r="H296" s="99">
        <f>H143+H190+H226</f>
        <v>42484.104999999996</v>
      </c>
      <c r="I296" s="99">
        <f>I143+I190+I226</f>
        <v>22972.383000000002</v>
      </c>
      <c r="J296" s="99">
        <f>J143+J190+J226</f>
        <v>10388.530000000001</v>
      </c>
      <c r="K296" s="99">
        <f>K143+K190+K226</f>
        <v>9222.1920000000009</v>
      </c>
      <c r="L296" s="326"/>
    </row>
    <row r="297" spans="1:12" ht="75" customHeight="1">
      <c r="A297" s="411"/>
      <c r="B297" s="411"/>
      <c r="C297" s="411"/>
      <c r="D297" s="412"/>
      <c r="E297" s="440"/>
      <c r="F297" s="604"/>
      <c r="G297" s="329" t="s">
        <v>96</v>
      </c>
      <c r="H297" s="99">
        <f>H144</f>
        <v>11848</v>
      </c>
      <c r="I297" s="99">
        <f>I144</f>
        <v>11848</v>
      </c>
      <c r="J297" s="99">
        <f>J144</f>
        <v>0</v>
      </c>
      <c r="K297" s="99">
        <f>K144</f>
        <v>0</v>
      </c>
      <c r="L297" s="326"/>
    </row>
    <row r="298" spans="1:12" ht="168.75" customHeight="1">
      <c r="A298" s="411"/>
      <c r="B298" s="411"/>
      <c r="C298" s="411"/>
      <c r="D298" s="412"/>
      <c r="E298" s="440"/>
      <c r="F298" s="604"/>
      <c r="G298" s="329" t="s">
        <v>203</v>
      </c>
      <c r="H298" s="99">
        <f>H262</f>
        <v>1187.9530000000004</v>
      </c>
      <c r="I298" s="99">
        <f>I262</f>
        <v>1187.9530000000004</v>
      </c>
      <c r="J298" s="99">
        <f>J262</f>
        <v>0</v>
      </c>
      <c r="K298" s="99">
        <f>K262</f>
        <v>0</v>
      </c>
      <c r="L298" s="326"/>
    </row>
    <row r="299" spans="1:12" ht="75" customHeight="1">
      <c r="A299" s="411"/>
      <c r="B299" s="411"/>
      <c r="C299" s="411"/>
      <c r="D299" s="412"/>
      <c r="E299" s="441"/>
      <c r="F299" s="604"/>
      <c r="G299" s="331" t="s">
        <v>429</v>
      </c>
      <c r="H299" s="99">
        <f>H261</f>
        <v>54180.202000000005</v>
      </c>
      <c r="I299" s="99">
        <f>I261</f>
        <v>26991.202000000001</v>
      </c>
      <c r="J299" s="99">
        <f>J261</f>
        <v>22189</v>
      </c>
      <c r="K299" s="99">
        <f>K261</f>
        <v>5000</v>
      </c>
      <c r="L299" s="326"/>
    </row>
    <row r="300" spans="1:12" ht="75" customHeight="1">
      <c r="A300" s="411"/>
      <c r="B300" s="411"/>
      <c r="C300" s="411"/>
      <c r="D300" s="412"/>
      <c r="E300" s="439" t="s">
        <v>79</v>
      </c>
      <c r="F300" s="604"/>
      <c r="G300" s="327" t="s">
        <v>90</v>
      </c>
      <c r="H300" s="98">
        <f>SUM(H301:H304)</f>
        <v>49829.29</v>
      </c>
      <c r="I300" s="98">
        <f>SUM(I301:I304)</f>
        <v>30956.57</v>
      </c>
      <c r="J300" s="98">
        <f>SUM(J301:J304)</f>
        <v>15417.6</v>
      </c>
      <c r="K300" s="98">
        <f>SUM(K301:K304)</f>
        <v>3513.92</v>
      </c>
      <c r="L300" s="326"/>
    </row>
    <row r="301" spans="1:12" ht="75" customHeight="1">
      <c r="A301" s="411"/>
      <c r="B301" s="411"/>
      <c r="C301" s="411"/>
      <c r="D301" s="412"/>
      <c r="E301" s="440"/>
      <c r="F301" s="604"/>
      <c r="G301" s="346" t="s">
        <v>425</v>
      </c>
      <c r="H301" s="99">
        <f t="shared" ref="H301:K302" si="24">H146</f>
        <v>13036.12</v>
      </c>
      <c r="I301" s="99">
        <f t="shared" si="24"/>
        <v>6263.4000000000005</v>
      </c>
      <c r="J301" s="99">
        <f>J146+J83</f>
        <v>3317.6000000000004</v>
      </c>
      <c r="K301" s="99">
        <f t="shared" si="24"/>
        <v>3513.92</v>
      </c>
      <c r="L301" s="326"/>
    </row>
    <row r="302" spans="1:12" ht="75" customHeight="1">
      <c r="A302" s="411"/>
      <c r="B302" s="411"/>
      <c r="C302" s="411"/>
      <c r="D302" s="412"/>
      <c r="E302" s="440"/>
      <c r="F302" s="604"/>
      <c r="G302" s="329" t="s">
        <v>96</v>
      </c>
      <c r="H302" s="99">
        <f t="shared" si="24"/>
        <v>6347.6</v>
      </c>
      <c r="I302" s="99">
        <f t="shared" si="24"/>
        <v>6347.6</v>
      </c>
      <c r="J302" s="99">
        <f t="shared" si="24"/>
        <v>0</v>
      </c>
      <c r="K302" s="99">
        <f t="shared" si="24"/>
        <v>0</v>
      </c>
      <c r="L302" s="326"/>
    </row>
    <row r="303" spans="1:12" ht="198" customHeight="1">
      <c r="A303" s="411"/>
      <c r="B303" s="411"/>
      <c r="C303" s="411"/>
      <c r="D303" s="412"/>
      <c r="E303" s="440"/>
      <c r="F303" s="604"/>
      <c r="G303" s="329" t="s">
        <v>203</v>
      </c>
      <c r="H303" s="99">
        <f>H265</f>
        <v>926</v>
      </c>
      <c r="I303" s="99">
        <f>I265</f>
        <v>926</v>
      </c>
      <c r="J303" s="99">
        <f>J265</f>
        <v>0</v>
      </c>
      <c r="K303" s="99">
        <f>K265</f>
        <v>0</v>
      </c>
      <c r="L303" s="326"/>
    </row>
    <row r="304" spans="1:12" ht="75" customHeight="1">
      <c r="A304" s="411"/>
      <c r="B304" s="411"/>
      <c r="C304" s="411"/>
      <c r="D304" s="412"/>
      <c r="E304" s="441"/>
      <c r="F304" s="604"/>
      <c r="G304" s="331" t="s">
        <v>429</v>
      </c>
      <c r="H304" s="99">
        <f>H264</f>
        <v>29519.57</v>
      </c>
      <c r="I304" s="99">
        <f>I264</f>
        <v>17419.57</v>
      </c>
      <c r="J304" s="99">
        <f>J264</f>
        <v>12100</v>
      </c>
      <c r="K304" s="99">
        <f>K264</f>
        <v>0</v>
      </c>
      <c r="L304" s="326"/>
    </row>
    <row r="305" spans="1:12" ht="75" customHeight="1">
      <c r="A305" s="411"/>
      <c r="B305" s="411"/>
      <c r="C305" s="411"/>
      <c r="D305" s="412"/>
      <c r="E305" s="439" t="s">
        <v>78</v>
      </c>
      <c r="F305" s="604"/>
      <c r="G305" s="327" t="s">
        <v>90</v>
      </c>
      <c r="H305" s="98">
        <f>SUM(H306:H308)</f>
        <v>27734.575000000001</v>
      </c>
      <c r="I305" s="98">
        <f>SUM(I306:I308)</f>
        <v>9335</v>
      </c>
      <c r="J305" s="98">
        <f>SUM(J306:J308)</f>
        <v>8904.6</v>
      </c>
      <c r="K305" s="98">
        <f>SUM(K306:K308)</f>
        <v>9494.9750000000004</v>
      </c>
      <c r="L305" s="326"/>
    </row>
    <row r="306" spans="1:12" ht="75" customHeight="1">
      <c r="A306" s="411"/>
      <c r="B306" s="411"/>
      <c r="C306" s="411"/>
      <c r="D306" s="412"/>
      <c r="E306" s="440"/>
      <c r="F306" s="604"/>
      <c r="G306" s="346" t="s">
        <v>425</v>
      </c>
      <c r="H306" s="99">
        <f>H149+H191</f>
        <v>25352.375</v>
      </c>
      <c r="I306" s="99">
        <f>I149+I191</f>
        <v>6952.8</v>
      </c>
      <c r="J306" s="99">
        <f>J119+J121+J169</f>
        <v>8904.6</v>
      </c>
      <c r="K306" s="99">
        <f>K149+K191</f>
        <v>9494.9750000000004</v>
      </c>
      <c r="L306" s="326"/>
    </row>
    <row r="307" spans="1:12" ht="75" customHeight="1">
      <c r="A307" s="411"/>
      <c r="B307" s="411"/>
      <c r="C307" s="411"/>
      <c r="D307" s="412"/>
      <c r="E307" s="440"/>
      <c r="F307" s="604"/>
      <c r="G307" s="329" t="s">
        <v>96</v>
      </c>
      <c r="H307" s="99">
        <f>H150</f>
        <v>1132.2</v>
      </c>
      <c r="I307" s="99">
        <f>I150</f>
        <v>1132.2</v>
      </c>
      <c r="J307" s="99">
        <f>J150</f>
        <v>0</v>
      </c>
      <c r="K307" s="99">
        <f>K150</f>
        <v>0</v>
      </c>
      <c r="L307" s="326"/>
    </row>
    <row r="308" spans="1:12" ht="75" customHeight="1">
      <c r="A308" s="411"/>
      <c r="B308" s="411"/>
      <c r="C308" s="411"/>
      <c r="D308" s="412"/>
      <c r="E308" s="441"/>
      <c r="F308" s="604"/>
      <c r="G308" s="331" t="s">
        <v>429</v>
      </c>
      <c r="H308" s="99">
        <f>H266</f>
        <v>1250</v>
      </c>
      <c r="I308" s="99">
        <f>I266</f>
        <v>1250</v>
      </c>
      <c r="J308" s="99">
        <f>J266</f>
        <v>0</v>
      </c>
      <c r="K308" s="99">
        <f>K266</f>
        <v>0</v>
      </c>
      <c r="L308" s="326"/>
    </row>
    <row r="309" spans="1:12" ht="75" customHeight="1">
      <c r="A309" s="411"/>
      <c r="B309" s="411"/>
      <c r="C309" s="411"/>
      <c r="D309" s="412"/>
      <c r="E309" s="439" t="s">
        <v>80</v>
      </c>
      <c r="F309" s="604"/>
      <c r="G309" s="327" t="s">
        <v>90</v>
      </c>
      <c r="H309" s="98">
        <f>SUM(H310:H311)</f>
        <v>24648.81</v>
      </c>
      <c r="I309" s="98">
        <f>SUM(I310:I311)</f>
        <v>7607.41</v>
      </c>
      <c r="J309" s="98">
        <f>SUM(J310:J311)</f>
        <v>8283.5999999999985</v>
      </c>
      <c r="K309" s="98">
        <f>SUM(K310:K311)</f>
        <v>8805.7999999999993</v>
      </c>
      <c r="L309" s="326"/>
    </row>
    <row r="310" spans="1:12" ht="75" customHeight="1">
      <c r="A310" s="411"/>
      <c r="B310" s="411"/>
      <c r="C310" s="411"/>
      <c r="D310" s="412"/>
      <c r="E310" s="440"/>
      <c r="F310" s="604"/>
      <c r="G310" s="346" t="s">
        <v>425</v>
      </c>
      <c r="H310" s="99">
        <f>H151+H192+H221</f>
        <v>24646.31</v>
      </c>
      <c r="I310" s="99">
        <f>I151+I192+I221</f>
        <v>7604.91</v>
      </c>
      <c r="J310" s="99">
        <f>J151+J192+J221+J84</f>
        <v>8283.5999999999985</v>
      </c>
      <c r="K310" s="99">
        <f>K151+K192+K221</f>
        <v>8805.7999999999993</v>
      </c>
      <c r="L310" s="326"/>
    </row>
    <row r="311" spans="1:12" ht="222.75" customHeight="1">
      <c r="A311" s="411"/>
      <c r="B311" s="411"/>
      <c r="C311" s="411"/>
      <c r="D311" s="412"/>
      <c r="E311" s="441"/>
      <c r="F311" s="604"/>
      <c r="G311" s="180" t="s">
        <v>100</v>
      </c>
      <c r="H311" s="99">
        <f>H220</f>
        <v>2.5</v>
      </c>
      <c r="I311" s="99">
        <f>I220</f>
        <v>2.5</v>
      </c>
      <c r="J311" s="99">
        <f>J220</f>
        <v>0</v>
      </c>
      <c r="K311" s="99">
        <f>K220</f>
        <v>0</v>
      </c>
      <c r="L311" s="326"/>
    </row>
    <row r="312" spans="1:12" ht="75" customHeight="1">
      <c r="A312" s="411"/>
      <c r="B312" s="411"/>
      <c r="C312" s="411"/>
      <c r="D312" s="412"/>
      <c r="E312" s="439" t="s">
        <v>81</v>
      </c>
      <c r="F312" s="604"/>
      <c r="G312" s="327" t="s">
        <v>90</v>
      </c>
      <c r="H312" s="98">
        <f>H313</f>
        <v>28108.1423</v>
      </c>
      <c r="I312" s="98">
        <f>I313</f>
        <v>8442.69</v>
      </c>
      <c r="J312" s="98">
        <f>J313</f>
        <v>9616.2000000000007</v>
      </c>
      <c r="K312" s="98">
        <f>K313</f>
        <v>10049.2523</v>
      </c>
      <c r="L312" s="326"/>
    </row>
    <row r="313" spans="1:12" ht="75" customHeight="1">
      <c r="A313" s="411"/>
      <c r="B313" s="411"/>
      <c r="C313" s="411"/>
      <c r="D313" s="412"/>
      <c r="E313" s="441"/>
      <c r="F313" s="604"/>
      <c r="G313" s="346" t="s">
        <v>425</v>
      </c>
      <c r="H313" s="99">
        <f>I313+J313+K313</f>
        <v>28108.1423</v>
      </c>
      <c r="I313" s="99">
        <f>I152+I193+I223</f>
        <v>8442.69</v>
      </c>
      <c r="J313" s="99">
        <f>J152+J193+J223+J85</f>
        <v>9616.2000000000007</v>
      </c>
      <c r="K313" s="99">
        <f>K152+K193+K223</f>
        <v>10049.2523</v>
      </c>
      <c r="L313" s="326"/>
    </row>
    <row r="314" spans="1:12" ht="75" customHeight="1">
      <c r="A314" s="411"/>
      <c r="B314" s="411"/>
      <c r="C314" s="411"/>
      <c r="D314" s="412"/>
      <c r="E314" s="316" t="s">
        <v>404</v>
      </c>
      <c r="F314" s="604"/>
      <c r="G314" s="346" t="s">
        <v>425</v>
      </c>
      <c r="H314" s="98">
        <f>H153</f>
        <v>3000</v>
      </c>
      <c r="I314" s="98">
        <f>I153</f>
        <v>3000</v>
      </c>
      <c r="J314" s="98">
        <f>J153</f>
        <v>0</v>
      </c>
      <c r="K314" s="98">
        <f>K153</f>
        <v>0</v>
      </c>
      <c r="L314" s="326"/>
    </row>
    <row r="315" spans="1:12" ht="75" customHeight="1">
      <c r="A315" s="411"/>
      <c r="B315" s="411"/>
      <c r="C315" s="411"/>
      <c r="D315" s="412"/>
      <c r="E315" s="439" t="s">
        <v>462</v>
      </c>
      <c r="F315" s="604"/>
      <c r="G315" s="327" t="s">
        <v>90</v>
      </c>
      <c r="H315" s="98">
        <f>SUM(H316:H320)</f>
        <v>81850.219000000012</v>
      </c>
      <c r="I315" s="98">
        <f>SUM(I316:I320)</f>
        <v>45904.919000000002</v>
      </c>
      <c r="J315" s="98">
        <f>SUM(J316:J320)</f>
        <v>32957.599999999999</v>
      </c>
      <c r="K315" s="98">
        <f>SUM(K316:K320)</f>
        <v>2987.7</v>
      </c>
      <c r="L315" s="326"/>
    </row>
    <row r="316" spans="1:12" ht="75" customHeight="1">
      <c r="A316" s="411"/>
      <c r="B316" s="411"/>
      <c r="C316" s="411"/>
      <c r="D316" s="412"/>
      <c r="E316" s="440"/>
      <c r="F316" s="604"/>
      <c r="G316" s="346" t="s">
        <v>425</v>
      </c>
      <c r="H316" s="99">
        <f>H197+H222</f>
        <v>25819.200000000001</v>
      </c>
      <c r="I316" s="99">
        <f>I197+I222</f>
        <v>17282.2</v>
      </c>
      <c r="J316" s="99">
        <f>J197+J222</f>
        <v>5549.3</v>
      </c>
      <c r="K316" s="99">
        <f>K197+K222</f>
        <v>2987.7</v>
      </c>
      <c r="L316" s="326"/>
    </row>
    <row r="317" spans="1:12" ht="223.5" customHeight="1">
      <c r="A317" s="411"/>
      <c r="B317" s="411"/>
      <c r="C317" s="411"/>
      <c r="D317" s="412"/>
      <c r="E317" s="440"/>
      <c r="F317" s="604"/>
      <c r="G317" s="331" t="s">
        <v>100</v>
      </c>
      <c r="H317" s="99">
        <f>H196</f>
        <v>14280.419000000002</v>
      </c>
      <c r="I317" s="99">
        <f>I196</f>
        <v>6609.6190000000006</v>
      </c>
      <c r="J317" s="99">
        <f>J196</f>
        <v>7670.8</v>
      </c>
      <c r="K317" s="99">
        <f>K196</f>
        <v>0</v>
      </c>
      <c r="L317" s="326"/>
    </row>
    <row r="318" spans="1:12" ht="173.25" customHeight="1">
      <c r="A318" s="411"/>
      <c r="B318" s="411"/>
      <c r="C318" s="411"/>
      <c r="D318" s="412"/>
      <c r="E318" s="440"/>
      <c r="F318" s="604"/>
      <c r="G318" s="331" t="s">
        <v>99</v>
      </c>
      <c r="H318" s="99">
        <f>H195</f>
        <v>1490.1</v>
      </c>
      <c r="I318" s="99">
        <f>I195</f>
        <v>1490.1</v>
      </c>
      <c r="J318" s="99">
        <f>J195</f>
        <v>0</v>
      </c>
      <c r="K318" s="99">
        <f>K195</f>
        <v>0</v>
      </c>
      <c r="L318" s="326"/>
    </row>
    <row r="319" spans="1:12" ht="75" customHeight="1">
      <c r="A319" s="411"/>
      <c r="B319" s="411"/>
      <c r="C319" s="411"/>
      <c r="D319" s="412"/>
      <c r="E319" s="440"/>
      <c r="F319" s="604"/>
      <c r="G319" s="330" t="s">
        <v>394</v>
      </c>
      <c r="H319" s="99">
        <f>H277</f>
        <v>799.7</v>
      </c>
      <c r="I319" s="99">
        <f>I277</f>
        <v>799.7</v>
      </c>
      <c r="J319" s="99">
        <f>J277</f>
        <v>0</v>
      </c>
      <c r="K319" s="99">
        <f>K277</f>
        <v>0</v>
      </c>
      <c r="L319" s="326"/>
    </row>
    <row r="320" spans="1:12" ht="75" customHeight="1">
      <c r="A320" s="413"/>
      <c r="B320" s="413"/>
      <c r="C320" s="413"/>
      <c r="D320" s="414"/>
      <c r="E320" s="441"/>
      <c r="F320" s="605"/>
      <c r="G320" s="331" t="s">
        <v>429</v>
      </c>
      <c r="H320" s="99">
        <f>H269</f>
        <v>39460.800000000003</v>
      </c>
      <c r="I320" s="99">
        <f>I269</f>
        <v>19723.3</v>
      </c>
      <c r="J320" s="99">
        <f>J269</f>
        <v>19737.5</v>
      </c>
      <c r="K320" s="99">
        <f>K269</f>
        <v>0</v>
      </c>
      <c r="L320" s="332"/>
    </row>
    <row r="321" spans="1:12" ht="75" customHeight="1">
      <c r="A321" s="487" t="s">
        <v>250</v>
      </c>
      <c r="B321" s="487"/>
      <c r="C321" s="487"/>
      <c r="D321" s="487"/>
      <c r="E321" s="487"/>
      <c r="F321" s="487"/>
      <c r="G321" s="487"/>
      <c r="H321" s="487"/>
      <c r="I321" s="487"/>
      <c r="J321" s="487"/>
      <c r="K321" s="487"/>
      <c r="L321" s="488"/>
    </row>
    <row r="322" spans="1:12" ht="75" customHeight="1">
      <c r="A322" s="321" t="s">
        <v>252</v>
      </c>
      <c r="B322" s="479" t="s">
        <v>251</v>
      </c>
      <c r="C322" s="480"/>
      <c r="D322" s="480"/>
      <c r="E322" s="480"/>
      <c r="F322" s="481"/>
      <c r="G322" s="181" t="s">
        <v>85</v>
      </c>
      <c r="H322" s="98">
        <f>SUM(H323:H327)</f>
        <v>2035.825</v>
      </c>
      <c r="I322" s="98">
        <f>SUM(I323:I327)</f>
        <v>729.5</v>
      </c>
      <c r="J322" s="98">
        <f>SUM(J323:J327)</f>
        <v>630.9</v>
      </c>
      <c r="K322" s="98">
        <f>SUM(K323:K327)</f>
        <v>675.42499999999995</v>
      </c>
      <c r="L322" s="395" t="s">
        <v>253</v>
      </c>
    </row>
    <row r="323" spans="1:12" ht="75" customHeight="1">
      <c r="A323" s="482" t="s">
        <v>256</v>
      </c>
      <c r="B323" s="409"/>
      <c r="C323" s="409"/>
      <c r="D323" s="410"/>
      <c r="E323" s="322" t="s">
        <v>82</v>
      </c>
      <c r="F323" s="385"/>
      <c r="G323" s="489" t="s">
        <v>425</v>
      </c>
      <c r="H323" s="98">
        <f>I323+J323+K323</f>
        <v>76</v>
      </c>
      <c r="I323" s="99">
        <v>76</v>
      </c>
      <c r="J323" s="99">
        <v>0</v>
      </c>
      <c r="K323" s="99">
        <v>0</v>
      </c>
      <c r="L323" s="396"/>
    </row>
    <row r="324" spans="1:12" ht="75" customHeight="1">
      <c r="A324" s="483"/>
      <c r="B324" s="411"/>
      <c r="C324" s="411"/>
      <c r="D324" s="412"/>
      <c r="E324" s="322" t="s">
        <v>76</v>
      </c>
      <c r="F324" s="386"/>
      <c r="G324" s="490"/>
      <c r="H324" s="98">
        <f>I324+J324+K324</f>
        <v>510.50000000000006</v>
      </c>
      <c r="I324" s="99">
        <f>24.3+148</f>
        <v>172.3</v>
      </c>
      <c r="J324" s="99">
        <v>163.4</v>
      </c>
      <c r="K324" s="99">
        <v>174.8</v>
      </c>
      <c r="L324" s="396"/>
    </row>
    <row r="325" spans="1:12" ht="75" customHeight="1">
      <c r="A325" s="483"/>
      <c r="B325" s="411"/>
      <c r="C325" s="411"/>
      <c r="D325" s="412"/>
      <c r="E325" s="322" t="s">
        <v>77</v>
      </c>
      <c r="F325" s="386"/>
      <c r="G325" s="490"/>
      <c r="H325" s="98">
        <f>I325+J325+K325</f>
        <v>41.5</v>
      </c>
      <c r="I325" s="99">
        <v>41.5</v>
      </c>
      <c r="J325" s="99">
        <v>0</v>
      </c>
      <c r="K325" s="99">
        <v>0</v>
      </c>
      <c r="L325" s="396"/>
    </row>
    <row r="326" spans="1:12" ht="75" customHeight="1">
      <c r="A326" s="483"/>
      <c r="B326" s="411"/>
      <c r="C326" s="411"/>
      <c r="D326" s="412"/>
      <c r="E326" s="322" t="s">
        <v>79</v>
      </c>
      <c r="F326" s="386"/>
      <c r="G326" s="490"/>
      <c r="H326" s="98">
        <f>I326+J326+K326</f>
        <v>9.5</v>
      </c>
      <c r="I326" s="99">
        <v>9.5</v>
      </c>
      <c r="J326" s="99">
        <v>0</v>
      </c>
      <c r="K326" s="99">
        <v>0</v>
      </c>
      <c r="L326" s="396"/>
    </row>
    <row r="327" spans="1:12" ht="75" customHeight="1">
      <c r="A327" s="484"/>
      <c r="B327" s="413"/>
      <c r="C327" s="413"/>
      <c r="D327" s="414"/>
      <c r="E327" s="317" t="s">
        <v>78</v>
      </c>
      <c r="F327" s="387"/>
      <c r="G327" s="502"/>
      <c r="H327" s="98">
        <f>I327+J327+K327</f>
        <v>1398.325</v>
      </c>
      <c r="I327" s="99">
        <v>430.2</v>
      </c>
      <c r="J327" s="99">
        <f>430+37.5</f>
        <v>467.5</v>
      </c>
      <c r="K327" s="99">
        <f>460+40.625</f>
        <v>500.625</v>
      </c>
      <c r="L327" s="397"/>
    </row>
    <row r="328" spans="1:12" ht="75" customHeight="1">
      <c r="A328" s="182" t="s">
        <v>279</v>
      </c>
      <c r="B328" s="450" t="s">
        <v>254</v>
      </c>
      <c r="C328" s="451"/>
      <c r="D328" s="451"/>
      <c r="E328" s="451"/>
      <c r="F328" s="452"/>
      <c r="G328" s="181" t="s">
        <v>85</v>
      </c>
      <c r="H328" s="98">
        <f>H333+H334+H335+H336+H330+H329</f>
        <v>34185.597000000002</v>
      </c>
      <c r="I328" s="98">
        <f>I333+I334+I335+I336+I330+I329</f>
        <v>21897.487000000001</v>
      </c>
      <c r="J328" s="98">
        <f>J333+J334+J335+J336+J330+J329+J331+J332</f>
        <v>7458.47</v>
      </c>
      <c r="K328" s="98">
        <f>K333+K334+K335+K336+K330+K329</f>
        <v>10129.64</v>
      </c>
      <c r="L328" s="183"/>
    </row>
    <row r="329" spans="1:12" ht="75" customHeight="1">
      <c r="A329" s="470" t="s">
        <v>256</v>
      </c>
      <c r="B329" s="471"/>
      <c r="C329" s="471"/>
      <c r="D329" s="472"/>
      <c r="E329" s="322" t="s">
        <v>82</v>
      </c>
      <c r="F329" s="320"/>
      <c r="G329" s="331" t="s">
        <v>425</v>
      </c>
      <c r="H329" s="98">
        <f t="shared" ref="H329:H336" si="25">I329+J329+K329</f>
        <v>117.64</v>
      </c>
      <c r="I329" s="98"/>
      <c r="J329" s="98"/>
      <c r="K329" s="98">
        <f>90.64+15+12</f>
        <v>117.64</v>
      </c>
      <c r="L329" s="184"/>
    </row>
    <row r="330" spans="1:12" ht="75" customHeight="1">
      <c r="A330" s="473"/>
      <c r="B330" s="474"/>
      <c r="C330" s="474"/>
      <c r="D330" s="475"/>
      <c r="E330" s="322" t="s">
        <v>82</v>
      </c>
      <c r="F330" s="320"/>
      <c r="G330" s="331" t="s">
        <v>429</v>
      </c>
      <c r="H330" s="98">
        <f t="shared" si="25"/>
        <v>10049.6</v>
      </c>
      <c r="I330" s="98">
        <v>49.6</v>
      </c>
      <c r="J330" s="98"/>
      <c r="K330" s="98">
        <v>10000</v>
      </c>
      <c r="L330" s="184"/>
    </row>
    <row r="331" spans="1:12" ht="75" customHeight="1">
      <c r="A331" s="473"/>
      <c r="B331" s="474"/>
      <c r="C331" s="474"/>
      <c r="D331" s="475"/>
      <c r="E331" s="317" t="s">
        <v>79</v>
      </c>
      <c r="F331" s="315"/>
      <c r="G331" s="331" t="s">
        <v>425</v>
      </c>
      <c r="H331" s="98"/>
      <c r="I331" s="98"/>
      <c r="J331" s="99">
        <v>15</v>
      </c>
      <c r="K331" s="98"/>
      <c r="L331" s="184"/>
    </row>
    <row r="332" spans="1:12" ht="79.5" customHeight="1">
      <c r="A332" s="473"/>
      <c r="B332" s="474"/>
      <c r="C332" s="474"/>
      <c r="D332" s="475"/>
      <c r="E332" s="317" t="s">
        <v>79</v>
      </c>
      <c r="F332" s="315"/>
      <c r="G332" s="331" t="s">
        <v>429</v>
      </c>
      <c r="H332" s="98"/>
      <c r="I332" s="98"/>
      <c r="J332" s="99">
        <v>5285</v>
      </c>
      <c r="K332" s="98"/>
      <c r="L332" s="184"/>
    </row>
    <row r="333" spans="1:12" ht="75" customHeight="1">
      <c r="A333" s="473"/>
      <c r="B333" s="474"/>
      <c r="C333" s="474"/>
      <c r="D333" s="475"/>
      <c r="E333" s="395" t="s">
        <v>75</v>
      </c>
      <c r="F333" s="385"/>
      <c r="G333" s="331" t="s">
        <v>425</v>
      </c>
      <c r="H333" s="98">
        <f t="shared" si="25"/>
        <v>347.5</v>
      </c>
      <c r="I333" s="99">
        <f>199+30</f>
        <v>229</v>
      </c>
      <c r="J333" s="99">
        <v>106.5</v>
      </c>
      <c r="K333" s="99">
        <v>12</v>
      </c>
      <c r="L333" s="395" t="s">
        <v>255</v>
      </c>
    </row>
    <row r="334" spans="1:12" ht="75" customHeight="1">
      <c r="A334" s="473"/>
      <c r="B334" s="474"/>
      <c r="C334" s="474"/>
      <c r="D334" s="475"/>
      <c r="E334" s="396"/>
      <c r="F334" s="386"/>
      <c r="G334" s="331" t="s">
        <v>429</v>
      </c>
      <c r="H334" s="98">
        <f t="shared" si="25"/>
        <v>6599.6870000000008</v>
      </c>
      <c r="I334" s="99">
        <f>7269.3-500+49.587-799.7</f>
        <v>6019.1870000000008</v>
      </c>
      <c r="J334" s="99">
        <f>130+410+40.5</f>
        <v>580.5</v>
      </c>
      <c r="K334" s="105"/>
      <c r="L334" s="396"/>
    </row>
    <row r="335" spans="1:12" ht="75" customHeight="1">
      <c r="A335" s="473"/>
      <c r="B335" s="474"/>
      <c r="C335" s="474"/>
      <c r="D335" s="475"/>
      <c r="E335" s="396"/>
      <c r="F335" s="386"/>
      <c r="G335" s="329" t="s">
        <v>380</v>
      </c>
      <c r="H335" s="100">
        <f t="shared" si="25"/>
        <v>16186.17</v>
      </c>
      <c r="I335" s="101">
        <v>14714.7</v>
      </c>
      <c r="J335" s="101">
        <v>1471.47</v>
      </c>
      <c r="K335" s="100"/>
      <c r="L335" s="396"/>
    </row>
    <row r="336" spans="1:12" ht="75" customHeight="1">
      <c r="A336" s="476"/>
      <c r="B336" s="477"/>
      <c r="C336" s="477"/>
      <c r="D336" s="478"/>
      <c r="E336" s="397"/>
      <c r="F336" s="344"/>
      <c r="G336" s="331" t="s">
        <v>84</v>
      </c>
      <c r="H336" s="98">
        <f t="shared" si="25"/>
        <v>885</v>
      </c>
      <c r="I336" s="99">
        <v>885</v>
      </c>
      <c r="J336" s="99">
        <v>0</v>
      </c>
      <c r="K336" s="99">
        <v>0</v>
      </c>
      <c r="L336" s="396"/>
    </row>
    <row r="337" spans="1:12" ht="75" customHeight="1">
      <c r="A337" s="182" t="s">
        <v>280</v>
      </c>
      <c r="B337" s="401" t="s">
        <v>499</v>
      </c>
      <c r="C337" s="401"/>
      <c r="D337" s="401"/>
      <c r="E337" s="401"/>
      <c r="F337" s="401"/>
      <c r="G337" s="344" t="s">
        <v>85</v>
      </c>
      <c r="H337" s="98">
        <f>H338</f>
        <v>26831.5</v>
      </c>
      <c r="I337" s="98">
        <f>I338</f>
        <v>6238.8</v>
      </c>
      <c r="J337" s="98">
        <f t="shared" ref="I337:K339" si="26">J338</f>
        <v>20592.7</v>
      </c>
      <c r="K337" s="98">
        <f t="shared" si="26"/>
        <v>0</v>
      </c>
      <c r="L337" s="395" t="s">
        <v>61</v>
      </c>
    </row>
    <row r="338" spans="1:12" ht="75" customHeight="1">
      <c r="A338" s="402" t="s">
        <v>256</v>
      </c>
      <c r="B338" s="403"/>
      <c r="C338" s="403"/>
      <c r="D338" s="404"/>
      <c r="E338" s="322" t="s">
        <v>75</v>
      </c>
      <c r="F338" s="344"/>
      <c r="G338" s="331" t="s">
        <v>104</v>
      </c>
      <c r="H338" s="98">
        <f>I338+J338+K338</f>
        <v>26831.5</v>
      </c>
      <c r="I338" s="99">
        <v>6238.8</v>
      </c>
      <c r="J338" s="99">
        <v>20592.7</v>
      </c>
      <c r="K338" s="99">
        <v>0</v>
      </c>
      <c r="L338" s="397"/>
    </row>
    <row r="339" spans="1:12" ht="114.75" customHeight="1">
      <c r="A339" s="182" t="s">
        <v>281</v>
      </c>
      <c r="B339" s="401" t="s">
        <v>498</v>
      </c>
      <c r="C339" s="401"/>
      <c r="D339" s="401"/>
      <c r="E339" s="401"/>
      <c r="F339" s="401"/>
      <c r="G339" s="344" t="s">
        <v>85</v>
      </c>
      <c r="H339" s="98">
        <f>H340</f>
        <v>6848</v>
      </c>
      <c r="I339" s="98">
        <f t="shared" si="26"/>
        <v>6848</v>
      </c>
      <c r="J339" s="98">
        <f t="shared" si="26"/>
        <v>0</v>
      </c>
      <c r="K339" s="98">
        <f t="shared" si="26"/>
        <v>0</v>
      </c>
      <c r="L339" s="395" t="s">
        <v>399</v>
      </c>
    </row>
    <row r="340" spans="1:12" ht="144" customHeight="1">
      <c r="A340" s="402" t="s">
        <v>256</v>
      </c>
      <c r="B340" s="403"/>
      <c r="C340" s="403"/>
      <c r="D340" s="404"/>
      <c r="E340" s="322"/>
      <c r="F340" s="344"/>
      <c r="G340" s="331" t="s">
        <v>396</v>
      </c>
      <c r="H340" s="98">
        <f>I340+J340+K340</f>
        <v>6848</v>
      </c>
      <c r="I340" s="99">
        <v>6848</v>
      </c>
      <c r="J340" s="99">
        <v>0</v>
      </c>
      <c r="K340" s="99">
        <v>0</v>
      </c>
      <c r="L340" s="397"/>
    </row>
    <row r="341" spans="1:12" ht="75" customHeight="1">
      <c r="A341" s="321" t="s">
        <v>282</v>
      </c>
      <c r="B341" s="401" t="s">
        <v>257</v>
      </c>
      <c r="C341" s="401"/>
      <c r="D341" s="401"/>
      <c r="E341" s="401"/>
      <c r="F341" s="401"/>
      <c r="G341" s="344" t="s">
        <v>85</v>
      </c>
      <c r="H341" s="98">
        <f>H342</f>
        <v>15454.899999999998</v>
      </c>
      <c r="I341" s="98">
        <f>I342</f>
        <v>12454.899999999998</v>
      </c>
      <c r="J341" s="98">
        <f>J342</f>
        <v>3000</v>
      </c>
      <c r="K341" s="98">
        <f>K342</f>
        <v>0</v>
      </c>
      <c r="L341" s="395" t="s">
        <v>61</v>
      </c>
    </row>
    <row r="342" spans="1:12" ht="145.5" customHeight="1">
      <c r="A342" s="469"/>
      <c r="B342" s="469"/>
      <c r="C342" s="469"/>
      <c r="D342" s="469"/>
      <c r="E342" s="322" t="s">
        <v>86</v>
      </c>
      <c r="F342" s="349"/>
      <c r="G342" s="489" t="s">
        <v>429</v>
      </c>
      <c r="H342" s="98">
        <f>H343+H344+H345+H346</f>
        <v>15454.899999999998</v>
      </c>
      <c r="I342" s="98">
        <f>I343+I344+I345+I346</f>
        <v>12454.899999999998</v>
      </c>
      <c r="J342" s="98">
        <f>J343+J344+J345+J346</f>
        <v>3000</v>
      </c>
      <c r="K342" s="98">
        <f>K343+K344+K345+K346</f>
        <v>0</v>
      </c>
      <c r="L342" s="396"/>
    </row>
    <row r="343" spans="1:12" ht="75" customHeight="1">
      <c r="A343" s="465" t="s">
        <v>256</v>
      </c>
      <c r="B343" s="466"/>
      <c r="C343" s="466"/>
      <c r="D343" s="466"/>
      <c r="E343" s="322" t="s">
        <v>76</v>
      </c>
      <c r="F343" s="349"/>
      <c r="G343" s="490"/>
      <c r="H343" s="98">
        <f>I343+J343+K343</f>
        <v>14713.3</v>
      </c>
      <c r="I343" s="338">
        <v>11713.3</v>
      </c>
      <c r="J343" s="99">
        <v>3000</v>
      </c>
      <c r="K343" s="99">
        <v>0</v>
      </c>
      <c r="L343" s="396"/>
    </row>
    <row r="344" spans="1:12" ht="70.5" customHeight="1">
      <c r="A344" s="467"/>
      <c r="B344" s="468"/>
      <c r="C344" s="468"/>
      <c r="D344" s="468"/>
      <c r="E344" s="322" t="s">
        <v>77</v>
      </c>
      <c r="F344" s="349"/>
      <c r="G344" s="490"/>
      <c r="H344" s="98">
        <f>I344+J344+K344</f>
        <v>204.3</v>
      </c>
      <c r="I344" s="99">
        <v>204.3</v>
      </c>
      <c r="J344" s="99">
        <v>0</v>
      </c>
      <c r="K344" s="99">
        <v>0</v>
      </c>
      <c r="L344" s="396"/>
    </row>
    <row r="345" spans="1:12" ht="96" customHeight="1">
      <c r="A345" s="467"/>
      <c r="B345" s="468"/>
      <c r="C345" s="468"/>
      <c r="D345" s="468"/>
      <c r="E345" s="317" t="s">
        <v>79</v>
      </c>
      <c r="F345" s="349"/>
      <c r="G345" s="490"/>
      <c r="H345" s="98">
        <f>I345+J345+K345</f>
        <v>537.29999999999995</v>
      </c>
      <c r="I345" s="338">
        <v>537.29999999999995</v>
      </c>
      <c r="J345" s="99">
        <v>0</v>
      </c>
      <c r="K345" s="99">
        <v>0</v>
      </c>
      <c r="L345" s="396"/>
    </row>
    <row r="346" spans="1:12" ht="75" customHeight="1">
      <c r="A346" s="350"/>
      <c r="B346" s="351"/>
      <c r="C346" s="351"/>
      <c r="D346" s="351"/>
      <c r="E346" s="322" t="s">
        <v>75</v>
      </c>
      <c r="F346" s="185"/>
      <c r="G346" s="502"/>
      <c r="H346" s="98">
        <f>I346+J346+K346</f>
        <v>0</v>
      </c>
      <c r="I346" s="102"/>
      <c r="J346" s="102"/>
      <c r="K346" s="102"/>
      <c r="L346" s="318"/>
    </row>
    <row r="347" spans="1:12" ht="75" customHeight="1">
      <c r="A347" s="186" t="s">
        <v>283</v>
      </c>
      <c r="B347" s="503" t="s">
        <v>258</v>
      </c>
      <c r="C347" s="504"/>
      <c r="D347" s="504"/>
      <c r="E347" s="504"/>
      <c r="F347" s="187"/>
      <c r="G347" s="344" t="s">
        <v>85</v>
      </c>
      <c r="H347" s="120">
        <f>SUM(H348:H357)</f>
        <v>1690105.9175197</v>
      </c>
      <c r="I347" s="120">
        <f>SUM(I348:I357)</f>
        <v>500635.6</v>
      </c>
      <c r="J347" s="120">
        <f>SUM(J348:J357)</f>
        <v>647450.38469999994</v>
      </c>
      <c r="K347" s="120">
        <f>SUM(K348:K357)</f>
        <v>542019.93281969998</v>
      </c>
      <c r="L347" s="395" t="s">
        <v>88</v>
      </c>
    </row>
    <row r="348" spans="1:12" ht="75" customHeight="1">
      <c r="A348" s="505" t="s">
        <v>256</v>
      </c>
      <c r="B348" s="506"/>
      <c r="C348" s="506"/>
      <c r="D348" s="507"/>
      <c r="E348" s="322" t="s">
        <v>82</v>
      </c>
      <c r="F348" s="344"/>
      <c r="G348" s="489" t="s">
        <v>87</v>
      </c>
      <c r="H348" s="98">
        <f>I348+J348+K348</f>
        <v>308609.45589119999</v>
      </c>
      <c r="I348" s="99">
        <v>97670.399999999994</v>
      </c>
      <c r="J348" s="99">
        <f>I348*1.053</f>
        <v>102846.93119999999</v>
      </c>
      <c r="K348" s="99">
        <f>J348*1.051</f>
        <v>108092.12469119999</v>
      </c>
      <c r="L348" s="396"/>
    </row>
    <row r="349" spans="1:12" ht="75" customHeight="1">
      <c r="A349" s="508"/>
      <c r="B349" s="509"/>
      <c r="C349" s="509"/>
      <c r="D349" s="510"/>
      <c r="E349" s="322" t="s">
        <v>76</v>
      </c>
      <c r="F349" s="344"/>
      <c r="G349" s="490"/>
      <c r="H349" s="98">
        <f t="shared" ref="H349:H357" si="27">I349+J349+K349</f>
        <v>132625.60000000001</v>
      </c>
      <c r="I349" s="99">
        <v>37455.599999999999</v>
      </c>
      <c r="J349" s="99">
        <v>49373</v>
      </c>
      <c r="K349" s="99">
        <v>45797</v>
      </c>
      <c r="L349" s="396"/>
    </row>
    <row r="350" spans="1:12" ht="75" customHeight="1">
      <c r="A350" s="508"/>
      <c r="B350" s="509"/>
      <c r="C350" s="509"/>
      <c r="D350" s="510"/>
      <c r="E350" s="322" t="s">
        <v>77</v>
      </c>
      <c r="F350" s="344"/>
      <c r="G350" s="490"/>
      <c r="H350" s="98">
        <f t="shared" si="27"/>
        <v>425093.5</v>
      </c>
      <c r="I350" s="99">
        <v>117838.5</v>
      </c>
      <c r="J350" s="99">
        <v>209889.5</v>
      </c>
      <c r="K350" s="99">
        <v>97365.5</v>
      </c>
      <c r="L350" s="396"/>
    </row>
    <row r="351" spans="1:12" ht="75" customHeight="1">
      <c r="A351" s="508"/>
      <c r="B351" s="509"/>
      <c r="C351" s="509"/>
      <c r="D351" s="510"/>
      <c r="E351" s="322" t="s">
        <v>75</v>
      </c>
      <c r="F351" s="344"/>
      <c r="G351" s="490"/>
      <c r="H351" s="98">
        <f t="shared" si="27"/>
        <v>241584.30000000002</v>
      </c>
      <c r="I351" s="99">
        <v>70008.100000000006</v>
      </c>
      <c r="J351" s="99">
        <v>83168.3</v>
      </c>
      <c r="K351" s="99">
        <v>88407.9</v>
      </c>
      <c r="L351" s="396"/>
    </row>
    <row r="352" spans="1:12" ht="93.75" customHeight="1">
      <c r="A352" s="508"/>
      <c r="B352" s="509"/>
      <c r="C352" s="509"/>
      <c r="D352" s="510"/>
      <c r="E352" s="317" t="s">
        <v>79</v>
      </c>
      <c r="F352" s="319"/>
      <c r="G352" s="490"/>
      <c r="H352" s="98">
        <f t="shared" si="27"/>
        <v>151724.92559999999</v>
      </c>
      <c r="I352" s="105">
        <v>36775.4</v>
      </c>
      <c r="J352" s="99">
        <v>56045.599999999999</v>
      </c>
      <c r="K352" s="99">
        <f t="shared" ref="K352:K357" si="28">J352*1.051</f>
        <v>58903.925599999995</v>
      </c>
      <c r="L352" s="396"/>
    </row>
    <row r="353" spans="1:12" ht="75" customHeight="1">
      <c r="A353" s="508"/>
      <c r="B353" s="509"/>
      <c r="C353" s="509"/>
      <c r="D353" s="510"/>
      <c r="E353" s="317" t="s">
        <v>78</v>
      </c>
      <c r="F353" s="344"/>
      <c r="G353" s="490"/>
      <c r="H353" s="98">
        <f t="shared" si="27"/>
        <v>3457.1846999999998</v>
      </c>
      <c r="I353" s="99">
        <v>1817</v>
      </c>
      <c r="J353" s="99">
        <v>799.7</v>
      </c>
      <c r="K353" s="99">
        <f t="shared" si="28"/>
        <v>840.48469999999998</v>
      </c>
      <c r="L353" s="396"/>
    </row>
    <row r="354" spans="1:12" ht="75" customHeight="1">
      <c r="A354" s="508"/>
      <c r="B354" s="509"/>
      <c r="C354" s="509"/>
      <c r="D354" s="510"/>
      <c r="E354" s="322" t="s">
        <v>80</v>
      </c>
      <c r="F354" s="344"/>
      <c r="G354" s="490"/>
      <c r="H354" s="98">
        <f t="shared" si="27"/>
        <v>216311.68752849998</v>
      </c>
      <c r="I354" s="99">
        <v>68459.5</v>
      </c>
      <c r="J354" s="99">
        <f>I354*1.053</f>
        <v>72087.853499999997</v>
      </c>
      <c r="K354" s="99">
        <f t="shared" si="28"/>
        <v>75764.334028499987</v>
      </c>
      <c r="L354" s="396"/>
    </row>
    <row r="355" spans="1:12" ht="75" customHeight="1">
      <c r="A355" s="508"/>
      <c r="B355" s="509"/>
      <c r="C355" s="509"/>
      <c r="D355" s="510"/>
      <c r="E355" s="322" t="s">
        <v>81</v>
      </c>
      <c r="F355" s="344"/>
      <c r="G355" s="490"/>
      <c r="H355" s="98">
        <f t="shared" si="27"/>
        <v>192325.35250000001</v>
      </c>
      <c r="I355" s="99">
        <v>66381.5</v>
      </c>
      <c r="J355" s="99">
        <v>66343.199999999997</v>
      </c>
      <c r="K355" s="99">
        <f>63675.5+152.8-K357</f>
        <v>59600.652500000004</v>
      </c>
      <c r="L355" s="396"/>
    </row>
    <row r="356" spans="1:12" ht="96" customHeight="1">
      <c r="A356" s="508"/>
      <c r="B356" s="509"/>
      <c r="C356" s="509"/>
      <c r="D356" s="510"/>
      <c r="E356" s="322" t="s">
        <v>335</v>
      </c>
      <c r="F356" s="344"/>
      <c r="G356" s="490"/>
      <c r="H356" s="98">
        <f t="shared" si="27"/>
        <v>7096.1638000000003</v>
      </c>
      <c r="I356" s="99">
        <v>1202</v>
      </c>
      <c r="J356" s="99">
        <v>2873.8</v>
      </c>
      <c r="K356" s="99">
        <f t="shared" si="28"/>
        <v>3020.3638000000001</v>
      </c>
      <c r="L356" s="396"/>
    </row>
    <row r="357" spans="1:12" ht="104.25" customHeight="1">
      <c r="A357" s="511"/>
      <c r="B357" s="512"/>
      <c r="C357" s="512"/>
      <c r="D357" s="513"/>
      <c r="E357" s="322" t="s">
        <v>336</v>
      </c>
      <c r="F357" s="344"/>
      <c r="G357" s="502"/>
      <c r="H357" s="98">
        <f t="shared" si="27"/>
        <v>11277.747500000001</v>
      </c>
      <c r="I357" s="99">
        <v>3027.6</v>
      </c>
      <c r="J357" s="99">
        <v>4022.5</v>
      </c>
      <c r="K357" s="99">
        <f t="shared" si="28"/>
        <v>4227.6475</v>
      </c>
      <c r="L357" s="397"/>
    </row>
    <row r="358" spans="1:12" ht="75" customHeight="1">
      <c r="A358" s="186" t="s">
        <v>397</v>
      </c>
      <c r="B358" s="188" t="s">
        <v>259</v>
      </c>
      <c r="C358" s="189"/>
      <c r="D358" s="187"/>
      <c r="E358" s="189"/>
      <c r="F358" s="187"/>
      <c r="G358" s="344" t="s">
        <v>85</v>
      </c>
      <c r="H358" s="120">
        <f>SUM(H359:H363)</f>
        <v>75152.0386</v>
      </c>
      <c r="I358" s="120">
        <f>SUM(I359:I363)</f>
        <v>22375.3</v>
      </c>
      <c r="J358" s="120">
        <f>SUM(J359:J363)</f>
        <v>25731.800000000003</v>
      </c>
      <c r="K358" s="120">
        <f>SUM(K359:K363)</f>
        <v>27044.938600000001</v>
      </c>
      <c r="L358" s="395" t="s">
        <v>105</v>
      </c>
    </row>
    <row r="359" spans="1:12" ht="75" customHeight="1">
      <c r="A359" s="415" t="s">
        <v>256</v>
      </c>
      <c r="B359" s="416"/>
      <c r="C359" s="416"/>
      <c r="D359" s="417"/>
      <c r="E359" s="322" t="s">
        <v>82</v>
      </c>
      <c r="F359" s="485"/>
      <c r="G359" s="489" t="s">
        <v>93</v>
      </c>
      <c r="H359" s="98">
        <f>I359+J359+K359</f>
        <v>14988.7772</v>
      </c>
      <c r="I359" s="99">
        <v>4083.2</v>
      </c>
      <c r="J359" s="99">
        <v>5317.2</v>
      </c>
      <c r="K359" s="99">
        <f>J359*1.051</f>
        <v>5588.3771999999999</v>
      </c>
      <c r="L359" s="396"/>
    </row>
    <row r="360" spans="1:12" ht="75" customHeight="1">
      <c r="A360" s="418"/>
      <c r="B360" s="419"/>
      <c r="C360" s="419"/>
      <c r="D360" s="420"/>
      <c r="E360" s="322" t="s">
        <v>76</v>
      </c>
      <c r="F360" s="485"/>
      <c r="G360" s="490"/>
      <c r="H360" s="98">
        <f>I360+J360+K360</f>
        <v>29582.1</v>
      </c>
      <c r="I360" s="99">
        <v>9433.9</v>
      </c>
      <c r="J360" s="99">
        <v>9823.2000000000007</v>
      </c>
      <c r="K360" s="99">
        <v>10325</v>
      </c>
      <c r="L360" s="396"/>
    </row>
    <row r="361" spans="1:12" ht="75" customHeight="1">
      <c r="A361" s="418"/>
      <c r="B361" s="419"/>
      <c r="C361" s="419"/>
      <c r="D361" s="420"/>
      <c r="E361" s="322" t="s">
        <v>77</v>
      </c>
      <c r="F361" s="485"/>
      <c r="G361" s="490"/>
      <c r="H361" s="98">
        <f>I361+J361+K361</f>
        <v>3139.2442000000001</v>
      </c>
      <c r="I361" s="99">
        <v>1018.1</v>
      </c>
      <c r="J361" s="99">
        <v>1034.2</v>
      </c>
      <c r="K361" s="99">
        <f>J361*1.051</f>
        <v>1086.9441999999999</v>
      </c>
      <c r="L361" s="396"/>
    </row>
    <row r="362" spans="1:12" ht="108" customHeight="1">
      <c r="A362" s="418"/>
      <c r="B362" s="419"/>
      <c r="C362" s="419"/>
      <c r="D362" s="420"/>
      <c r="E362" s="322" t="s">
        <v>79</v>
      </c>
      <c r="F362" s="485"/>
      <c r="G362" s="490"/>
      <c r="H362" s="98">
        <f>I362+J362+K362</f>
        <v>4047.5172000000002</v>
      </c>
      <c r="I362" s="105">
        <v>853.7</v>
      </c>
      <c r="J362" s="99">
        <v>1557.2</v>
      </c>
      <c r="K362" s="99">
        <f>J362*1.051</f>
        <v>1636.6171999999999</v>
      </c>
      <c r="L362" s="396"/>
    </row>
    <row r="363" spans="1:12" ht="50.25" customHeight="1">
      <c r="A363" s="421"/>
      <c r="B363" s="422"/>
      <c r="C363" s="422"/>
      <c r="D363" s="423"/>
      <c r="E363" s="322" t="s">
        <v>78</v>
      </c>
      <c r="F363" s="486"/>
      <c r="G363" s="490"/>
      <c r="H363" s="98">
        <f>I363+J363+K363</f>
        <v>23394.400000000001</v>
      </c>
      <c r="I363" s="99">
        <v>6986.4</v>
      </c>
      <c r="J363" s="99">
        <v>8000</v>
      </c>
      <c r="K363" s="99">
        <f>J363*1.051</f>
        <v>8408</v>
      </c>
      <c r="L363" s="397"/>
    </row>
    <row r="364" spans="1:12" ht="35.25" hidden="1" customHeight="1">
      <c r="A364" s="182"/>
      <c r="B364" s="401"/>
      <c r="C364" s="401"/>
      <c r="D364" s="401"/>
      <c r="E364" s="401"/>
      <c r="F364" s="401"/>
      <c r="G364" s="244"/>
      <c r="H364" s="98"/>
      <c r="I364" s="98"/>
      <c r="J364" s="98"/>
      <c r="K364" s="98"/>
      <c r="L364" s="395"/>
    </row>
    <row r="365" spans="1:12" ht="35.25" hidden="1" customHeight="1">
      <c r="A365" s="402"/>
      <c r="B365" s="403"/>
      <c r="C365" s="403"/>
      <c r="D365" s="404"/>
      <c r="E365" s="240"/>
      <c r="F365" s="244"/>
      <c r="G365" s="239"/>
      <c r="H365" s="98"/>
      <c r="I365" s="99"/>
      <c r="J365" s="99"/>
      <c r="K365" s="99"/>
      <c r="L365" s="397"/>
    </row>
    <row r="366" spans="1:12" ht="50.25" customHeight="1">
      <c r="A366" s="479" t="s">
        <v>89</v>
      </c>
      <c r="B366" s="480"/>
      <c r="C366" s="480"/>
      <c r="D366" s="480"/>
      <c r="E366" s="480"/>
      <c r="F366" s="481"/>
      <c r="G366" s="177"/>
      <c r="H366" s="98">
        <f>H270+H322+H328+H337+H341+H347+H358+H339</f>
        <v>2405238.1184196998</v>
      </c>
      <c r="I366" s="98">
        <f>I270+I322+I328+I337+I341+I347+I358+I339</f>
        <v>862271.41800000006</v>
      </c>
      <c r="J366" s="98">
        <f>J270+J322+J328+J337+J341+J347+J358+J339</f>
        <v>880535.93469999998</v>
      </c>
      <c r="K366" s="98">
        <f t="shared" ref="K366" si="29">K270+K322+K328+K337+K341+K347+K358+K339</f>
        <v>667890.8657197</v>
      </c>
      <c r="L366" s="436"/>
    </row>
    <row r="367" spans="1:12" ht="75" customHeight="1">
      <c r="A367" s="461" t="s">
        <v>92</v>
      </c>
      <c r="B367" s="388"/>
      <c r="C367" s="388"/>
      <c r="D367" s="388"/>
      <c r="E367" s="388"/>
      <c r="F367" s="389"/>
      <c r="G367" s="331" t="s">
        <v>425</v>
      </c>
      <c r="H367" s="99">
        <f>H271+H322+H333</f>
        <v>263644.7573</v>
      </c>
      <c r="I367" s="99">
        <f>I271+I322+I333</f>
        <v>125824.62299999998</v>
      </c>
      <c r="J367" s="99">
        <f>J271+J322+J333</f>
        <v>70611.679999999993</v>
      </c>
      <c r="K367" s="99">
        <f>K271+K322+K333</f>
        <v>68708.354299999992</v>
      </c>
      <c r="L367" s="437"/>
    </row>
    <row r="368" spans="1:12" ht="75" customHeight="1">
      <c r="A368" s="462"/>
      <c r="B368" s="390"/>
      <c r="C368" s="390"/>
      <c r="D368" s="390"/>
      <c r="E368" s="390"/>
      <c r="F368" s="391"/>
      <c r="G368" s="331" t="s">
        <v>429</v>
      </c>
      <c r="H368" s="99">
        <f>H272+H334+H342</f>
        <v>237013.31300000002</v>
      </c>
      <c r="I368" s="99">
        <f>I272+I334+I342</f>
        <v>115306.31299999999</v>
      </c>
      <c r="J368" s="99">
        <f>J272+J334+J342</f>
        <v>101707</v>
      </c>
      <c r="K368" s="99">
        <f>K272+K334+K342</f>
        <v>20000</v>
      </c>
      <c r="L368" s="437"/>
    </row>
    <row r="369" spans="1:12" ht="75" customHeight="1">
      <c r="A369" s="462"/>
      <c r="B369" s="390"/>
      <c r="C369" s="390"/>
      <c r="D369" s="390"/>
      <c r="E369" s="390"/>
      <c r="F369" s="391"/>
      <c r="G369" s="329" t="s">
        <v>96</v>
      </c>
      <c r="H369" s="99">
        <f>H273</f>
        <v>52839.700000000004</v>
      </c>
      <c r="I369" s="99">
        <f>I273</f>
        <v>52839.700000000004</v>
      </c>
      <c r="J369" s="99">
        <f>J273</f>
        <v>0</v>
      </c>
      <c r="K369" s="99">
        <f>K273</f>
        <v>0</v>
      </c>
      <c r="L369" s="437"/>
    </row>
    <row r="370" spans="1:12" ht="174.75" customHeight="1">
      <c r="A370" s="462"/>
      <c r="B370" s="390"/>
      <c r="C370" s="390"/>
      <c r="D370" s="390"/>
      <c r="E370" s="390"/>
      <c r="F370" s="391"/>
      <c r="G370" s="329" t="s">
        <v>99</v>
      </c>
      <c r="H370" s="99">
        <f>H275</f>
        <v>4318.2</v>
      </c>
      <c r="I370" s="99">
        <f>I275</f>
        <v>4318.2</v>
      </c>
      <c r="J370" s="99">
        <f>J275</f>
        <v>0</v>
      </c>
      <c r="K370" s="99">
        <f>K275</f>
        <v>0</v>
      </c>
      <c r="L370" s="437"/>
    </row>
    <row r="371" spans="1:12" ht="227.25" customHeight="1">
      <c r="A371" s="462"/>
      <c r="B371" s="390"/>
      <c r="C371" s="390"/>
      <c r="D371" s="390"/>
      <c r="E371" s="390"/>
      <c r="F371" s="391"/>
      <c r="G371" s="180" t="s">
        <v>100</v>
      </c>
      <c r="H371" s="99">
        <f>H274</f>
        <v>14282.919000000002</v>
      </c>
      <c r="I371" s="99">
        <f>I274</f>
        <v>6612.1190000000006</v>
      </c>
      <c r="J371" s="99">
        <f>J274</f>
        <v>7670.8</v>
      </c>
      <c r="K371" s="99">
        <f>K274</f>
        <v>0</v>
      </c>
      <c r="L371" s="437"/>
    </row>
    <row r="372" spans="1:12" ht="154.5" customHeight="1">
      <c r="A372" s="462"/>
      <c r="B372" s="390"/>
      <c r="C372" s="390"/>
      <c r="D372" s="390"/>
      <c r="E372" s="390"/>
      <c r="F372" s="391"/>
      <c r="G372" s="329" t="s">
        <v>203</v>
      </c>
      <c r="H372" s="99">
        <f>H276</f>
        <v>4763.7630000000008</v>
      </c>
      <c r="I372" s="99">
        <f>I276</f>
        <v>4763.7630000000008</v>
      </c>
      <c r="J372" s="99">
        <f>J276</f>
        <v>0</v>
      </c>
      <c r="K372" s="99">
        <f>K276</f>
        <v>0</v>
      </c>
      <c r="L372" s="437"/>
    </row>
    <row r="373" spans="1:12" ht="75" customHeight="1">
      <c r="A373" s="462"/>
      <c r="B373" s="390"/>
      <c r="C373" s="390"/>
      <c r="D373" s="390"/>
      <c r="E373" s="390"/>
      <c r="F373" s="391"/>
      <c r="G373" s="331" t="s">
        <v>328</v>
      </c>
      <c r="H373" s="99">
        <f>H278</f>
        <v>60</v>
      </c>
      <c r="I373" s="99">
        <f>I278</f>
        <v>60</v>
      </c>
      <c r="J373" s="99">
        <f>J278</f>
        <v>0</v>
      </c>
      <c r="K373" s="99">
        <f>K278</f>
        <v>0</v>
      </c>
      <c r="L373" s="437"/>
    </row>
    <row r="374" spans="1:12" ht="75" customHeight="1">
      <c r="A374" s="462"/>
      <c r="B374" s="390"/>
      <c r="C374" s="390"/>
      <c r="D374" s="390"/>
      <c r="E374" s="390"/>
      <c r="F374" s="391"/>
      <c r="G374" s="330" t="s">
        <v>394</v>
      </c>
      <c r="H374" s="99">
        <f>H277</f>
        <v>799.7</v>
      </c>
      <c r="I374" s="99">
        <f>I277</f>
        <v>799.7</v>
      </c>
      <c r="J374" s="99">
        <f>J277</f>
        <v>0</v>
      </c>
      <c r="K374" s="99">
        <f>K277</f>
        <v>0</v>
      </c>
      <c r="L374" s="437"/>
    </row>
    <row r="375" spans="1:12" ht="102" customHeight="1">
      <c r="A375" s="462"/>
      <c r="B375" s="390"/>
      <c r="C375" s="390"/>
      <c r="D375" s="390"/>
      <c r="E375" s="390"/>
      <c r="F375" s="391"/>
      <c r="G375" s="331" t="s">
        <v>396</v>
      </c>
      <c r="H375" s="99">
        <f>H340</f>
        <v>6848</v>
      </c>
      <c r="I375" s="99">
        <f>I340</f>
        <v>6848</v>
      </c>
      <c r="J375" s="99">
        <f>J340</f>
        <v>0</v>
      </c>
      <c r="K375" s="99">
        <f>K340</f>
        <v>0</v>
      </c>
      <c r="L375" s="437"/>
    </row>
    <row r="376" spans="1:12" ht="99.75" customHeight="1">
      <c r="A376" s="462"/>
      <c r="B376" s="390"/>
      <c r="C376" s="390"/>
      <c r="D376" s="390"/>
      <c r="E376" s="390"/>
      <c r="F376" s="391"/>
      <c r="G376" s="346" t="s">
        <v>83</v>
      </c>
      <c r="H376" s="99">
        <f t="shared" ref="H376:K377" si="30">H335</f>
        <v>16186.17</v>
      </c>
      <c r="I376" s="99">
        <f t="shared" si="30"/>
        <v>14714.7</v>
      </c>
      <c r="J376" s="99">
        <f t="shared" si="30"/>
        <v>1471.47</v>
      </c>
      <c r="K376" s="99">
        <f t="shared" si="30"/>
        <v>0</v>
      </c>
      <c r="L376" s="437"/>
    </row>
    <row r="377" spans="1:12" ht="75" customHeight="1">
      <c r="A377" s="462"/>
      <c r="B377" s="390"/>
      <c r="C377" s="390"/>
      <c r="D377" s="390"/>
      <c r="E377" s="390"/>
      <c r="F377" s="391"/>
      <c r="G377" s="346" t="s">
        <v>84</v>
      </c>
      <c r="H377" s="99">
        <f t="shared" si="30"/>
        <v>885</v>
      </c>
      <c r="I377" s="99">
        <f t="shared" si="30"/>
        <v>885</v>
      </c>
      <c r="J377" s="99">
        <f t="shared" si="30"/>
        <v>0</v>
      </c>
      <c r="K377" s="99">
        <f t="shared" si="30"/>
        <v>0</v>
      </c>
      <c r="L377" s="437"/>
    </row>
    <row r="378" spans="1:12" ht="75" customHeight="1">
      <c r="A378" s="462"/>
      <c r="B378" s="390"/>
      <c r="C378" s="390"/>
      <c r="D378" s="390"/>
      <c r="E378" s="390"/>
      <c r="F378" s="391"/>
      <c r="G378" s="346" t="s">
        <v>104</v>
      </c>
      <c r="H378" s="99">
        <f>H338</f>
        <v>26831.5</v>
      </c>
      <c r="I378" s="99">
        <f>I338</f>
        <v>6238.8</v>
      </c>
      <c r="J378" s="99">
        <f>J338</f>
        <v>20592.7</v>
      </c>
      <c r="K378" s="99">
        <f>K338</f>
        <v>0</v>
      </c>
      <c r="L378" s="437"/>
    </row>
    <row r="379" spans="1:12" ht="75" customHeight="1">
      <c r="A379" s="462"/>
      <c r="B379" s="390"/>
      <c r="C379" s="390"/>
      <c r="D379" s="390"/>
      <c r="E379" s="390"/>
      <c r="F379" s="391"/>
      <c r="G379" s="331" t="s">
        <v>87</v>
      </c>
      <c r="H379" s="99">
        <f>H347</f>
        <v>1690105.9175197</v>
      </c>
      <c r="I379" s="99">
        <f>I347</f>
        <v>500635.6</v>
      </c>
      <c r="J379" s="99">
        <f>J347</f>
        <v>647450.38469999994</v>
      </c>
      <c r="K379" s="99">
        <f>K347</f>
        <v>542019.93281969998</v>
      </c>
      <c r="L379" s="437"/>
    </row>
    <row r="380" spans="1:12" ht="91.5" customHeight="1">
      <c r="A380" s="463"/>
      <c r="B380" s="392"/>
      <c r="C380" s="392"/>
      <c r="D380" s="392"/>
      <c r="E380" s="392"/>
      <c r="F380" s="393"/>
      <c r="G380" s="331" t="s">
        <v>91</v>
      </c>
      <c r="H380" s="99">
        <f>H358</f>
        <v>75152.0386</v>
      </c>
      <c r="I380" s="99">
        <f>I358</f>
        <v>22375.3</v>
      </c>
      <c r="J380" s="99">
        <f>J358</f>
        <v>25731.800000000003</v>
      </c>
      <c r="K380" s="99">
        <f>K358</f>
        <v>27044.938600000001</v>
      </c>
      <c r="L380" s="437"/>
    </row>
    <row r="381" spans="1:12" ht="75" customHeight="1">
      <c r="A381" s="461" t="s">
        <v>95</v>
      </c>
      <c r="B381" s="388"/>
      <c r="C381" s="388"/>
      <c r="D381" s="389"/>
      <c r="E381" s="401" t="s">
        <v>82</v>
      </c>
      <c r="F381" s="464"/>
      <c r="G381" s="349" t="s">
        <v>90</v>
      </c>
      <c r="H381" s="98">
        <f>SUM(H382:H389)</f>
        <v>398880.65309119999</v>
      </c>
      <c r="I381" s="98">
        <f>SUM(I382:I389)</f>
        <v>143801.62</v>
      </c>
      <c r="J381" s="98">
        <f>SUM(J382:J389)</f>
        <v>130992.03119999998</v>
      </c>
      <c r="K381" s="98">
        <f>SUM(K382:K389)</f>
        <v>124087.00189119999</v>
      </c>
      <c r="L381" s="437"/>
    </row>
    <row r="382" spans="1:12" ht="75" customHeight="1">
      <c r="A382" s="462"/>
      <c r="B382" s="390"/>
      <c r="C382" s="390"/>
      <c r="D382" s="391"/>
      <c r="E382" s="401"/>
      <c r="F382" s="464"/>
      <c r="G382" s="331" t="s">
        <v>425</v>
      </c>
      <c r="H382" s="99">
        <f>H280+H323</f>
        <v>27815.84</v>
      </c>
      <c r="I382" s="99">
        <f>I280+I323</f>
        <v>15981.439999999999</v>
      </c>
      <c r="J382" s="99">
        <f>J280+J323</f>
        <v>6427.9</v>
      </c>
      <c r="K382" s="99">
        <f>K280+K323</f>
        <v>5406.5</v>
      </c>
      <c r="L382" s="437"/>
    </row>
    <row r="383" spans="1:12" ht="75" customHeight="1">
      <c r="A383" s="462"/>
      <c r="B383" s="390"/>
      <c r="C383" s="390"/>
      <c r="D383" s="391"/>
      <c r="E383" s="401"/>
      <c r="F383" s="464"/>
      <c r="G383" s="329" t="s">
        <v>96</v>
      </c>
      <c r="H383" s="99">
        <f t="shared" ref="H383:K386" si="31">H281</f>
        <v>12485.6</v>
      </c>
      <c r="I383" s="99">
        <f t="shared" si="31"/>
        <v>12485.6</v>
      </c>
      <c r="J383" s="99">
        <f t="shared" si="31"/>
        <v>0</v>
      </c>
      <c r="K383" s="99">
        <f t="shared" si="31"/>
        <v>0</v>
      </c>
      <c r="L383" s="437"/>
    </row>
    <row r="384" spans="1:12" ht="174.75" customHeight="1">
      <c r="A384" s="462"/>
      <c r="B384" s="390"/>
      <c r="C384" s="390"/>
      <c r="D384" s="391"/>
      <c r="E384" s="401"/>
      <c r="F384" s="464"/>
      <c r="G384" s="329" t="s">
        <v>99</v>
      </c>
      <c r="H384" s="99">
        <f t="shared" si="31"/>
        <v>147.79999999999998</v>
      </c>
      <c r="I384" s="99">
        <f t="shared" si="31"/>
        <v>147.79999999999998</v>
      </c>
      <c r="J384" s="99">
        <f t="shared" si="31"/>
        <v>0</v>
      </c>
      <c r="K384" s="99">
        <f t="shared" si="31"/>
        <v>0</v>
      </c>
      <c r="L384" s="437"/>
    </row>
    <row r="385" spans="1:12" ht="150" customHeight="1">
      <c r="A385" s="462"/>
      <c r="B385" s="390"/>
      <c r="C385" s="390"/>
      <c r="D385" s="391"/>
      <c r="E385" s="401"/>
      <c r="F385" s="464"/>
      <c r="G385" s="329" t="s">
        <v>203</v>
      </c>
      <c r="H385" s="99">
        <f t="shared" si="31"/>
        <v>249.81</v>
      </c>
      <c r="I385" s="99">
        <f t="shared" si="31"/>
        <v>249.81</v>
      </c>
      <c r="J385" s="99">
        <f t="shared" si="31"/>
        <v>0</v>
      </c>
      <c r="K385" s="99">
        <f t="shared" si="31"/>
        <v>0</v>
      </c>
      <c r="L385" s="437"/>
    </row>
    <row r="386" spans="1:12" ht="75" customHeight="1">
      <c r="A386" s="462"/>
      <c r="B386" s="390"/>
      <c r="C386" s="390"/>
      <c r="D386" s="391"/>
      <c r="E386" s="401"/>
      <c r="F386" s="464"/>
      <c r="G386" s="331" t="s">
        <v>328</v>
      </c>
      <c r="H386" s="99">
        <f t="shared" si="31"/>
        <v>60</v>
      </c>
      <c r="I386" s="99">
        <f t="shared" si="31"/>
        <v>60</v>
      </c>
      <c r="J386" s="99">
        <f t="shared" si="31"/>
        <v>0</v>
      </c>
      <c r="K386" s="99">
        <f t="shared" si="31"/>
        <v>0</v>
      </c>
      <c r="L386" s="437"/>
    </row>
    <row r="387" spans="1:12" ht="75" customHeight="1">
      <c r="A387" s="462"/>
      <c r="B387" s="390"/>
      <c r="C387" s="390"/>
      <c r="D387" s="391"/>
      <c r="E387" s="401"/>
      <c r="F387" s="464"/>
      <c r="G387" s="331" t="s">
        <v>87</v>
      </c>
      <c r="H387" s="99">
        <f>H348</f>
        <v>308609.45589119999</v>
      </c>
      <c r="I387" s="99">
        <f>I348</f>
        <v>97670.399999999994</v>
      </c>
      <c r="J387" s="99">
        <f>J348</f>
        <v>102846.93119999999</v>
      </c>
      <c r="K387" s="99">
        <f>K348</f>
        <v>108092.12469119999</v>
      </c>
      <c r="L387" s="437"/>
    </row>
    <row r="388" spans="1:12" ht="75" customHeight="1">
      <c r="A388" s="462"/>
      <c r="B388" s="390"/>
      <c r="C388" s="390"/>
      <c r="D388" s="391"/>
      <c r="E388" s="401"/>
      <c r="F388" s="464"/>
      <c r="G388" s="331" t="s">
        <v>429</v>
      </c>
      <c r="H388" s="99">
        <f>H285</f>
        <v>34523.369999999995</v>
      </c>
      <c r="I388" s="99">
        <f>I285</f>
        <v>13123.369999999999</v>
      </c>
      <c r="J388" s="99">
        <f>J285</f>
        <v>16400</v>
      </c>
      <c r="K388" s="99">
        <f>K285</f>
        <v>5000</v>
      </c>
      <c r="L388" s="437"/>
    </row>
    <row r="389" spans="1:12" ht="87.75" customHeight="1">
      <c r="A389" s="462"/>
      <c r="B389" s="390"/>
      <c r="C389" s="390"/>
      <c r="D389" s="391"/>
      <c r="E389" s="401"/>
      <c r="F389" s="464"/>
      <c r="G389" s="331" t="s">
        <v>91</v>
      </c>
      <c r="H389" s="99">
        <f>H359</f>
        <v>14988.7772</v>
      </c>
      <c r="I389" s="99">
        <f>I359</f>
        <v>4083.2</v>
      </c>
      <c r="J389" s="99">
        <f>J359</f>
        <v>5317.2</v>
      </c>
      <c r="K389" s="99">
        <f>K359</f>
        <v>5588.3771999999999</v>
      </c>
      <c r="L389" s="437"/>
    </row>
    <row r="390" spans="1:12" ht="75" customHeight="1">
      <c r="A390" s="462"/>
      <c r="B390" s="390"/>
      <c r="C390" s="390"/>
      <c r="D390" s="391"/>
      <c r="E390" s="401" t="s">
        <v>76</v>
      </c>
      <c r="F390" s="464"/>
      <c r="G390" s="349" t="s">
        <v>90</v>
      </c>
      <c r="H390" s="98">
        <f>SUM(H391:H395)</f>
        <v>224445.38</v>
      </c>
      <c r="I390" s="98">
        <f>SUM(I391:I395)</f>
        <v>80727.12999999999</v>
      </c>
      <c r="J390" s="98">
        <f>SUM(J391:J395)</f>
        <v>78500.679999999993</v>
      </c>
      <c r="K390" s="98">
        <f>SUM(K391:K395)</f>
        <v>69427.399999999994</v>
      </c>
      <c r="L390" s="437"/>
    </row>
    <row r="391" spans="1:12" ht="75" customHeight="1">
      <c r="A391" s="462"/>
      <c r="B391" s="390"/>
      <c r="C391" s="390"/>
      <c r="D391" s="391"/>
      <c r="E391" s="401"/>
      <c r="F391" s="464"/>
      <c r="G391" s="331" t="s">
        <v>425</v>
      </c>
      <c r="H391" s="99">
        <f>H287+H324</f>
        <v>34232.28</v>
      </c>
      <c r="I391" s="99">
        <f>I287+I324</f>
        <v>13363.099999999997</v>
      </c>
      <c r="J391" s="99">
        <f>J287+J324</f>
        <v>10104.48</v>
      </c>
      <c r="K391" s="99">
        <f>K287+K324</f>
        <v>10805.399999999998</v>
      </c>
      <c r="L391" s="437"/>
    </row>
    <row r="392" spans="1:12" ht="75" customHeight="1">
      <c r="A392" s="462"/>
      <c r="B392" s="390"/>
      <c r="C392" s="390"/>
      <c r="D392" s="391"/>
      <c r="E392" s="401"/>
      <c r="F392" s="464"/>
      <c r="G392" s="329" t="s">
        <v>96</v>
      </c>
      <c r="H392" s="99">
        <f>H288</f>
        <v>8160.1</v>
      </c>
      <c r="I392" s="99">
        <f>I288</f>
        <v>8160.1</v>
      </c>
      <c r="J392" s="99">
        <f>J288</f>
        <v>0</v>
      </c>
      <c r="K392" s="99">
        <f>K288</f>
        <v>0</v>
      </c>
      <c r="L392" s="437"/>
    </row>
    <row r="393" spans="1:12" ht="75" customHeight="1">
      <c r="A393" s="462"/>
      <c r="B393" s="390"/>
      <c r="C393" s="390"/>
      <c r="D393" s="391"/>
      <c r="E393" s="401"/>
      <c r="F393" s="464"/>
      <c r="G393" s="346" t="s">
        <v>87</v>
      </c>
      <c r="H393" s="99">
        <f>H349</f>
        <v>132625.60000000001</v>
      </c>
      <c r="I393" s="99">
        <f>I349</f>
        <v>37455.599999999999</v>
      </c>
      <c r="J393" s="99">
        <f>J349</f>
        <v>49373</v>
      </c>
      <c r="K393" s="99">
        <f>K349</f>
        <v>45797</v>
      </c>
      <c r="L393" s="437"/>
    </row>
    <row r="394" spans="1:12" ht="75" customHeight="1">
      <c r="A394" s="462"/>
      <c r="B394" s="390"/>
      <c r="C394" s="390"/>
      <c r="D394" s="391"/>
      <c r="E394" s="401"/>
      <c r="F394" s="464"/>
      <c r="G394" s="331" t="s">
        <v>429</v>
      </c>
      <c r="H394" s="99">
        <f>H289+H343</f>
        <v>19845.3</v>
      </c>
      <c r="I394" s="99">
        <f>I289+I343</f>
        <v>12314.429999999998</v>
      </c>
      <c r="J394" s="99">
        <f>J289+J343</f>
        <v>9200</v>
      </c>
      <c r="K394" s="99">
        <f>K289+K343</f>
        <v>2500</v>
      </c>
      <c r="L394" s="437"/>
    </row>
    <row r="395" spans="1:12" ht="75" customHeight="1">
      <c r="A395" s="462"/>
      <c r="B395" s="390"/>
      <c r="C395" s="390"/>
      <c r="D395" s="391"/>
      <c r="E395" s="401"/>
      <c r="F395" s="464"/>
      <c r="G395" s="331" t="s">
        <v>91</v>
      </c>
      <c r="H395" s="99">
        <f>H360</f>
        <v>29582.1</v>
      </c>
      <c r="I395" s="99">
        <f>I360</f>
        <v>9433.9</v>
      </c>
      <c r="J395" s="99">
        <f>J360</f>
        <v>9823.2000000000007</v>
      </c>
      <c r="K395" s="99">
        <f>K360</f>
        <v>10325</v>
      </c>
      <c r="L395" s="437"/>
    </row>
    <row r="396" spans="1:12" ht="75" customHeight="1">
      <c r="A396" s="462"/>
      <c r="B396" s="390"/>
      <c r="C396" s="390"/>
      <c r="D396" s="391"/>
      <c r="E396" s="401" t="s">
        <v>77</v>
      </c>
      <c r="F396" s="464"/>
      <c r="G396" s="349" t="s">
        <v>90</v>
      </c>
      <c r="H396" s="98">
        <f>SUM(H397:H402)</f>
        <v>526549.95819999999</v>
      </c>
      <c r="I396" s="98">
        <f>SUM(I397:I402)</f>
        <v>175417.25400000002</v>
      </c>
      <c r="J396" s="98">
        <f>SUM(J397:J402)</f>
        <v>239869.27000000002</v>
      </c>
      <c r="K396" s="98">
        <f>SUM(K397:K402)</f>
        <v>111362.4342</v>
      </c>
      <c r="L396" s="437"/>
    </row>
    <row r="397" spans="1:12" ht="75" customHeight="1">
      <c r="A397" s="462"/>
      <c r="B397" s="390"/>
      <c r="C397" s="390"/>
      <c r="D397" s="391"/>
      <c r="E397" s="401"/>
      <c r="F397" s="464"/>
      <c r="G397" s="331" t="s">
        <v>425</v>
      </c>
      <c r="H397" s="99">
        <f>H291+H325</f>
        <v>38342.76</v>
      </c>
      <c r="I397" s="99">
        <f>I291+I325</f>
        <v>23086.199999999997</v>
      </c>
      <c r="J397" s="99">
        <f>J291+J325</f>
        <v>7445.57</v>
      </c>
      <c r="K397" s="99">
        <f>K291+K325</f>
        <v>7909.99</v>
      </c>
      <c r="L397" s="437"/>
    </row>
    <row r="398" spans="1:12" ht="75" customHeight="1">
      <c r="A398" s="462"/>
      <c r="B398" s="390"/>
      <c r="C398" s="390"/>
      <c r="D398" s="391"/>
      <c r="E398" s="401"/>
      <c r="F398" s="464"/>
      <c r="G398" s="329" t="s">
        <v>96</v>
      </c>
      <c r="H398" s="99">
        <f t="shared" ref="H398:K399" si="32">H292</f>
        <v>12866.2</v>
      </c>
      <c r="I398" s="99">
        <f t="shared" si="32"/>
        <v>12866.2</v>
      </c>
      <c r="J398" s="99">
        <f t="shared" si="32"/>
        <v>0</v>
      </c>
      <c r="K398" s="99">
        <f t="shared" si="32"/>
        <v>0</v>
      </c>
      <c r="L398" s="437"/>
    </row>
    <row r="399" spans="1:12" ht="171" customHeight="1">
      <c r="A399" s="462"/>
      <c r="B399" s="390"/>
      <c r="C399" s="390"/>
      <c r="D399" s="391"/>
      <c r="E399" s="401"/>
      <c r="F399" s="464"/>
      <c r="G399" s="329" t="s">
        <v>99</v>
      </c>
      <c r="H399" s="99">
        <f t="shared" si="32"/>
        <v>2680.3</v>
      </c>
      <c r="I399" s="99">
        <f t="shared" si="32"/>
        <v>2680.3</v>
      </c>
      <c r="J399" s="99">
        <f t="shared" si="32"/>
        <v>0</v>
      </c>
      <c r="K399" s="99">
        <f t="shared" si="32"/>
        <v>0</v>
      </c>
      <c r="L399" s="437"/>
    </row>
    <row r="400" spans="1:12" ht="75" customHeight="1">
      <c r="A400" s="462"/>
      <c r="B400" s="390"/>
      <c r="C400" s="390"/>
      <c r="D400" s="391"/>
      <c r="E400" s="401"/>
      <c r="F400" s="464"/>
      <c r="G400" s="346" t="s">
        <v>87</v>
      </c>
      <c r="H400" s="99">
        <f>H350</f>
        <v>425093.5</v>
      </c>
      <c r="I400" s="99">
        <f>I350</f>
        <v>117838.5</v>
      </c>
      <c r="J400" s="99">
        <f>J350</f>
        <v>209889.5</v>
      </c>
      <c r="K400" s="99">
        <f>K350</f>
        <v>97365.5</v>
      </c>
      <c r="L400" s="437"/>
    </row>
    <row r="401" spans="1:12" ht="75" customHeight="1">
      <c r="A401" s="462"/>
      <c r="B401" s="390"/>
      <c r="C401" s="390"/>
      <c r="D401" s="391"/>
      <c r="E401" s="401"/>
      <c r="F401" s="464"/>
      <c r="G401" s="331" t="s">
        <v>429</v>
      </c>
      <c r="H401" s="99">
        <f>H294+H344</f>
        <v>44427.954000000005</v>
      </c>
      <c r="I401" s="99">
        <f>I294+I344</f>
        <v>17927.954000000002</v>
      </c>
      <c r="J401" s="99">
        <f>J294+J344</f>
        <v>21500</v>
      </c>
      <c r="K401" s="99">
        <f>K294+K344</f>
        <v>5000</v>
      </c>
      <c r="L401" s="437"/>
    </row>
    <row r="402" spans="1:12" ht="75" customHeight="1">
      <c r="A402" s="462"/>
      <c r="B402" s="390"/>
      <c r="C402" s="390"/>
      <c r="D402" s="391"/>
      <c r="E402" s="401"/>
      <c r="F402" s="464"/>
      <c r="G402" s="331" t="s">
        <v>91</v>
      </c>
      <c r="H402" s="99">
        <f>H361</f>
        <v>3139.2442000000001</v>
      </c>
      <c r="I402" s="99">
        <f>I361</f>
        <v>1018.1</v>
      </c>
      <c r="J402" s="99">
        <f>J361</f>
        <v>1034.2</v>
      </c>
      <c r="K402" s="99">
        <f>K361</f>
        <v>1086.9441999999999</v>
      </c>
      <c r="L402" s="437"/>
    </row>
    <row r="403" spans="1:12" ht="75" customHeight="1">
      <c r="A403" s="462"/>
      <c r="B403" s="390"/>
      <c r="C403" s="390"/>
      <c r="D403" s="391"/>
      <c r="E403" s="439" t="s">
        <v>75</v>
      </c>
      <c r="F403" s="464"/>
      <c r="G403" s="349" t="s">
        <v>90</v>
      </c>
      <c r="H403" s="98">
        <f>SUM(H404:H411)</f>
        <v>402134.41700000002</v>
      </c>
      <c r="I403" s="98">
        <f>SUM(I404:I411)</f>
        <v>161094.32500000001</v>
      </c>
      <c r="J403" s="98">
        <f>SUM(J404:J411)</f>
        <v>138497</v>
      </c>
      <c r="K403" s="98">
        <f>SUM(K404:K411)</f>
        <v>102642.09199999999</v>
      </c>
      <c r="L403" s="437"/>
    </row>
    <row r="404" spans="1:12" ht="75" customHeight="1">
      <c r="A404" s="462"/>
      <c r="B404" s="390"/>
      <c r="C404" s="390"/>
      <c r="D404" s="391"/>
      <c r="E404" s="440"/>
      <c r="F404" s="464"/>
      <c r="G404" s="346" t="s">
        <v>425</v>
      </c>
      <c r="H404" s="99">
        <f>H296+H333</f>
        <v>42831.604999999996</v>
      </c>
      <c r="I404" s="99">
        <f>I296+I333</f>
        <v>23201.383000000002</v>
      </c>
      <c r="J404" s="99">
        <f>J296+J333</f>
        <v>10495.03</v>
      </c>
      <c r="K404" s="99">
        <f>K296+K333</f>
        <v>9234.1920000000009</v>
      </c>
      <c r="L404" s="437"/>
    </row>
    <row r="405" spans="1:12" ht="75" customHeight="1">
      <c r="A405" s="462"/>
      <c r="B405" s="390"/>
      <c r="C405" s="390"/>
      <c r="D405" s="391"/>
      <c r="E405" s="440"/>
      <c r="F405" s="464"/>
      <c r="G405" s="329" t="s">
        <v>96</v>
      </c>
      <c r="H405" s="99">
        <f t="shared" ref="H405:K406" si="33">H297</f>
        <v>11848</v>
      </c>
      <c r="I405" s="99">
        <f t="shared" si="33"/>
        <v>11848</v>
      </c>
      <c r="J405" s="99">
        <f t="shared" si="33"/>
        <v>0</v>
      </c>
      <c r="K405" s="99">
        <f t="shared" si="33"/>
        <v>0</v>
      </c>
      <c r="L405" s="437"/>
    </row>
    <row r="406" spans="1:12" ht="162.75" customHeight="1">
      <c r="A406" s="462"/>
      <c r="B406" s="390"/>
      <c r="C406" s="390"/>
      <c r="D406" s="391"/>
      <c r="E406" s="440"/>
      <c r="F406" s="464"/>
      <c r="G406" s="329" t="s">
        <v>203</v>
      </c>
      <c r="H406" s="99">
        <f t="shared" si="33"/>
        <v>1187.9530000000004</v>
      </c>
      <c r="I406" s="99">
        <f t="shared" si="33"/>
        <v>1187.9530000000004</v>
      </c>
      <c r="J406" s="99">
        <f t="shared" si="33"/>
        <v>0</v>
      </c>
      <c r="K406" s="99">
        <f t="shared" si="33"/>
        <v>0</v>
      </c>
      <c r="L406" s="437"/>
    </row>
    <row r="407" spans="1:12" ht="75" customHeight="1">
      <c r="A407" s="462"/>
      <c r="B407" s="390"/>
      <c r="C407" s="390"/>
      <c r="D407" s="391"/>
      <c r="E407" s="440"/>
      <c r="F407" s="464"/>
      <c r="G407" s="346" t="s">
        <v>87</v>
      </c>
      <c r="H407" s="99">
        <f>H351</f>
        <v>241584.30000000002</v>
      </c>
      <c r="I407" s="99">
        <f>I351</f>
        <v>70008.100000000006</v>
      </c>
      <c r="J407" s="99">
        <f>J351</f>
        <v>83168.3</v>
      </c>
      <c r="K407" s="99">
        <f>K351</f>
        <v>88407.9</v>
      </c>
      <c r="L407" s="437"/>
    </row>
    <row r="408" spans="1:12" ht="75" customHeight="1">
      <c r="A408" s="462"/>
      <c r="B408" s="390"/>
      <c r="C408" s="390"/>
      <c r="D408" s="391"/>
      <c r="E408" s="440"/>
      <c r="F408" s="464"/>
      <c r="G408" s="331" t="s">
        <v>429</v>
      </c>
      <c r="H408" s="99">
        <f>H299+H334</f>
        <v>60779.889000000003</v>
      </c>
      <c r="I408" s="99">
        <f>I299+I334</f>
        <v>33010.389000000003</v>
      </c>
      <c r="J408" s="99">
        <f>J299+J334</f>
        <v>22769.5</v>
      </c>
      <c r="K408" s="99">
        <f>K299+K334</f>
        <v>5000</v>
      </c>
      <c r="L408" s="437"/>
    </row>
    <row r="409" spans="1:12" ht="75" customHeight="1">
      <c r="A409" s="462"/>
      <c r="B409" s="390"/>
      <c r="C409" s="390"/>
      <c r="D409" s="391"/>
      <c r="E409" s="440"/>
      <c r="F409" s="464"/>
      <c r="G409" s="346" t="s">
        <v>380</v>
      </c>
      <c r="H409" s="99">
        <f t="shared" ref="H409:K410" si="34">H335</f>
        <v>16186.17</v>
      </c>
      <c r="I409" s="99">
        <f t="shared" si="34"/>
        <v>14714.7</v>
      </c>
      <c r="J409" s="99">
        <f t="shared" si="34"/>
        <v>1471.47</v>
      </c>
      <c r="K409" s="99">
        <f t="shared" si="34"/>
        <v>0</v>
      </c>
      <c r="L409" s="437"/>
    </row>
    <row r="410" spans="1:12" ht="75" customHeight="1">
      <c r="A410" s="462"/>
      <c r="B410" s="390"/>
      <c r="C410" s="390"/>
      <c r="D410" s="391"/>
      <c r="E410" s="440"/>
      <c r="F410" s="464"/>
      <c r="G410" s="346" t="s">
        <v>84</v>
      </c>
      <c r="H410" s="99">
        <f t="shared" si="34"/>
        <v>885</v>
      </c>
      <c r="I410" s="99">
        <f t="shared" si="34"/>
        <v>885</v>
      </c>
      <c r="J410" s="99">
        <f t="shared" si="34"/>
        <v>0</v>
      </c>
      <c r="K410" s="99">
        <f t="shared" si="34"/>
        <v>0</v>
      </c>
      <c r="L410" s="437"/>
    </row>
    <row r="411" spans="1:12" ht="75" customHeight="1">
      <c r="A411" s="462"/>
      <c r="B411" s="390"/>
      <c r="C411" s="390"/>
      <c r="D411" s="391"/>
      <c r="E411" s="441"/>
      <c r="F411" s="464"/>
      <c r="G411" s="346" t="s">
        <v>104</v>
      </c>
      <c r="H411" s="99">
        <f>H338</f>
        <v>26831.5</v>
      </c>
      <c r="I411" s="99">
        <f>I338</f>
        <v>6238.8</v>
      </c>
      <c r="J411" s="99">
        <f>J338</f>
        <v>20592.7</v>
      </c>
      <c r="K411" s="99">
        <f>K338</f>
        <v>0</v>
      </c>
      <c r="L411" s="437"/>
    </row>
    <row r="412" spans="1:12" ht="75" customHeight="1">
      <c r="A412" s="462"/>
      <c r="B412" s="390"/>
      <c r="C412" s="390"/>
      <c r="D412" s="391"/>
      <c r="E412" s="401" t="s">
        <v>79</v>
      </c>
      <c r="F412" s="464"/>
      <c r="G412" s="349" t="s">
        <v>90</v>
      </c>
      <c r="H412" s="98">
        <f>SUM(H413:H418)</f>
        <v>206148.53279999999</v>
      </c>
      <c r="I412" s="98">
        <f>SUM(I413:I418)</f>
        <v>69132.47</v>
      </c>
      <c r="J412" s="98">
        <f>SUM(J413:J418)</f>
        <v>73020.399999999994</v>
      </c>
      <c r="K412" s="98">
        <f>SUM(K413:K418)</f>
        <v>64054.462799999994</v>
      </c>
      <c r="L412" s="437"/>
    </row>
    <row r="413" spans="1:12" ht="75" customHeight="1">
      <c r="A413" s="462"/>
      <c r="B413" s="390"/>
      <c r="C413" s="390"/>
      <c r="D413" s="391"/>
      <c r="E413" s="401"/>
      <c r="F413" s="464"/>
      <c r="G413" s="346" t="s">
        <v>425</v>
      </c>
      <c r="H413" s="99">
        <f>H301+H326</f>
        <v>13045.62</v>
      </c>
      <c r="I413" s="99">
        <f>I301+I326</f>
        <v>6272.9000000000005</v>
      </c>
      <c r="J413" s="99">
        <f>J301+J326</f>
        <v>3317.6000000000004</v>
      </c>
      <c r="K413" s="99">
        <f>K301+K326</f>
        <v>3513.92</v>
      </c>
      <c r="L413" s="437"/>
    </row>
    <row r="414" spans="1:12" ht="154.5" customHeight="1">
      <c r="A414" s="462"/>
      <c r="B414" s="390"/>
      <c r="C414" s="390"/>
      <c r="D414" s="391"/>
      <c r="E414" s="401"/>
      <c r="F414" s="464"/>
      <c r="G414" s="329" t="s">
        <v>203</v>
      </c>
      <c r="H414" s="99">
        <f>H303</f>
        <v>926</v>
      </c>
      <c r="I414" s="99">
        <f>I303</f>
        <v>926</v>
      </c>
      <c r="J414" s="99">
        <f>J303</f>
        <v>0</v>
      </c>
      <c r="K414" s="99">
        <f>K303</f>
        <v>0</v>
      </c>
      <c r="L414" s="437"/>
    </row>
    <row r="415" spans="1:12" ht="75" customHeight="1">
      <c r="A415" s="462"/>
      <c r="B415" s="390"/>
      <c r="C415" s="390"/>
      <c r="D415" s="391"/>
      <c r="E415" s="401"/>
      <c r="F415" s="464"/>
      <c r="G415" s="329" t="s">
        <v>96</v>
      </c>
      <c r="H415" s="99">
        <f>H302</f>
        <v>6347.6</v>
      </c>
      <c r="I415" s="99">
        <f>I302</f>
        <v>6347.6</v>
      </c>
      <c r="J415" s="99">
        <f>J302</f>
        <v>0</v>
      </c>
      <c r="K415" s="99">
        <f>K302</f>
        <v>0</v>
      </c>
      <c r="L415" s="437"/>
    </row>
    <row r="416" spans="1:12" ht="75" customHeight="1">
      <c r="A416" s="462"/>
      <c r="B416" s="390"/>
      <c r="C416" s="390"/>
      <c r="D416" s="391"/>
      <c r="E416" s="401"/>
      <c r="F416" s="464"/>
      <c r="G416" s="346" t="s">
        <v>87</v>
      </c>
      <c r="H416" s="99">
        <f>H352</f>
        <v>151724.92559999999</v>
      </c>
      <c r="I416" s="99">
        <f>I352</f>
        <v>36775.4</v>
      </c>
      <c r="J416" s="99">
        <f>J352</f>
        <v>56045.599999999999</v>
      </c>
      <c r="K416" s="99">
        <f>K352</f>
        <v>58903.925599999995</v>
      </c>
      <c r="L416" s="437"/>
    </row>
    <row r="417" spans="1:12" ht="75" customHeight="1">
      <c r="A417" s="462"/>
      <c r="B417" s="390"/>
      <c r="C417" s="390"/>
      <c r="D417" s="391"/>
      <c r="E417" s="401"/>
      <c r="F417" s="464"/>
      <c r="G417" s="331" t="s">
        <v>429</v>
      </c>
      <c r="H417" s="99">
        <f>H304+H345</f>
        <v>30056.87</v>
      </c>
      <c r="I417" s="99">
        <f>I304+I345</f>
        <v>17956.87</v>
      </c>
      <c r="J417" s="99">
        <f>J304+J345</f>
        <v>12100</v>
      </c>
      <c r="K417" s="99">
        <f>K304+K345</f>
        <v>0</v>
      </c>
      <c r="L417" s="437"/>
    </row>
    <row r="418" spans="1:12" ht="75" customHeight="1">
      <c r="A418" s="462"/>
      <c r="B418" s="390"/>
      <c r="C418" s="390"/>
      <c r="D418" s="391"/>
      <c r="E418" s="401"/>
      <c r="F418" s="464"/>
      <c r="G418" s="331" t="s">
        <v>91</v>
      </c>
      <c r="H418" s="99">
        <f>H362</f>
        <v>4047.5172000000002</v>
      </c>
      <c r="I418" s="99">
        <f>I362</f>
        <v>853.7</v>
      </c>
      <c r="J418" s="99">
        <f>J362</f>
        <v>1557.2</v>
      </c>
      <c r="K418" s="99">
        <f>K362</f>
        <v>1636.6171999999999</v>
      </c>
      <c r="L418" s="437"/>
    </row>
    <row r="419" spans="1:12" ht="75" customHeight="1">
      <c r="A419" s="462"/>
      <c r="B419" s="390"/>
      <c r="C419" s="390"/>
      <c r="D419" s="391"/>
      <c r="E419" s="401" t="s">
        <v>78</v>
      </c>
      <c r="F419" s="464"/>
      <c r="G419" s="349" t="s">
        <v>90</v>
      </c>
      <c r="H419" s="98">
        <f>SUM(H420:H424)</f>
        <v>55984.484700000001</v>
      </c>
      <c r="I419" s="98">
        <f>SUM(I420:I424)</f>
        <v>18568.599999999999</v>
      </c>
      <c r="J419" s="98">
        <f>SUM(J420:J424)</f>
        <v>18171.800000000003</v>
      </c>
      <c r="K419" s="98">
        <f>SUM(K420:K424)</f>
        <v>19244.084699999999</v>
      </c>
      <c r="L419" s="437"/>
    </row>
    <row r="420" spans="1:12" ht="75" customHeight="1">
      <c r="A420" s="462"/>
      <c r="B420" s="390"/>
      <c r="C420" s="390"/>
      <c r="D420" s="391"/>
      <c r="E420" s="401"/>
      <c r="F420" s="464"/>
      <c r="G420" s="346" t="s">
        <v>425</v>
      </c>
      <c r="H420" s="99">
        <f>H306+H327</f>
        <v>26750.7</v>
      </c>
      <c r="I420" s="99">
        <f>I306+I327</f>
        <v>7383</v>
      </c>
      <c r="J420" s="99">
        <f>J306+J327</f>
        <v>9372.1</v>
      </c>
      <c r="K420" s="99">
        <f>K306+K327</f>
        <v>9995.6</v>
      </c>
      <c r="L420" s="437"/>
    </row>
    <row r="421" spans="1:12" ht="75" customHeight="1">
      <c r="A421" s="462"/>
      <c r="B421" s="390"/>
      <c r="C421" s="390"/>
      <c r="D421" s="391"/>
      <c r="E421" s="401"/>
      <c r="F421" s="464"/>
      <c r="G421" s="329" t="s">
        <v>96</v>
      </c>
      <c r="H421" s="99">
        <f>H307</f>
        <v>1132.2</v>
      </c>
      <c r="I421" s="99">
        <f>I307</f>
        <v>1132.2</v>
      </c>
      <c r="J421" s="99">
        <f>J307</f>
        <v>0</v>
      </c>
      <c r="K421" s="99">
        <f>K307</f>
        <v>0</v>
      </c>
      <c r="L421" s="437"/>
    </row>
    <row r="422" spans="1:12" ht="75" customHeight="1">
      <c r="A422" s="462"/>
      <c r="B422" s="390"/>
      <c r="C422" s="390"/>
      <c r="D422" s="391"/>
      <c r="E422" s="401"/>
      <c r="F422" s="464"/>
      <c r="G422" s="346" t="s">
        <v>87</v>
      </c>
      <c r="H422" s="99">
        <f>H353</f>
        <v>3457.1846999999998</v>
      </c>
      <c r="I422" s="99">
        <f>I353</f>
        <v>1817</v>
      </c>
      <c r="J422" s="99">
        <f>J353</f>
        <v>799.7</v>
      </c>
      <c r="K422" s="99">
        <f>K353</f>
        <v>840.48469999999998</v>
      </c>
      <c r="L422" s="437"/>
    </row>
    <row r="423" spans="1:12" ht="75" customHeight="1">
      <c r="A423" s="462"/>
      <c r="B423" s="390"/>
      <c r="C423" s="390"/>
      <c r="D423" s="391"/>
      <c r="E423" s="401"/>
      <c r="F423" s="464"/>
      <c r="G423" s="331" t="s">
        <v>429</v>
      </c>
      <c r="H423" s="99">
        <f>H308</f>
        <v>1250</v>
      </c>
      <c r="I423" s="99">
        <f>I308</f>
        <v>1250</v>
      </c>
      <c r="J423" s="99">
        <f>J308</f>
        <v>0</v>
      </c>
      <c r="K423" s="99">
        <f>K308</f>
        <v>0</v>
      </c>
      <c r="L423" s="437"/>
    </row>
    <row r="424" spans="1:12" ht="75" customHeight="1">
      <c r="A424" s="462"/>
      <c r="B424" s="390"/>
      <c r="C424" s="390"/>
      <c r="D424" s="391"/>
      <c r="E424" s="401"/>
      <c r="F424" s="464"/>
      <c r="G424" s="331" t="s">
        <v>91</v>
      </c>
      <c r="H424" s="99">
        <f>H363</f>
        <v>23394.400000000001</v>
      </c>
      <c r="I424" s="99">
        <f>I363</f>
        <v>6986.4</v>
      </c>
      <c r="J424" s="99">
        <f>J363</f>
        <v>8000</v>
      </c>
      <c r="K424" s="99">
        <f>K363</f>
        <v>8408</v>
      </c>
      <c r="L424" s="437"/>
    </row>
    <row r="425" spans="1:12" ht="75" customHeight="1">
      <c r="A425" s="462"/>
      <c r="B425" s="390"/>
      <c r="C425" s="390"/>
      <c r="D425" s="391"/>
      <c r="E425" s="439" t="s">
        <v>80</v>
      </c>
      <c r="F425" s="464"/>
      <c r="G425" s="349" t="s">
        <v>90</v>
      </c>
      <c r="H425" s="98">
        <f>SUM(H426:H428)</f>
        <v>248056.66132849999</v>
      </c>
      <c r="I425" s="98">
        <f>SUM(I426:I428)</f>
        <v>77268.91</v>
      </c>
      <c r="J425" s="98">
        <f>SUM(J426:J428)</f>
        <v>83245.253499999992</v>
      </c>
      <c r="K425" s="98">
        <f>SUM(K426:K428)</f>
        <v>87590.497828499996</v>
      </c>
      <c r="L425" s="437"/>
    </row>
    <row r="426" spans="1:12" ht="75" customHeight="1">
      <c r="A426" s="462"/>
      <c r="B426" s="390"/>
      <c r="C426" s="390"/>
      <c r="D426" s="391"/>
      <c r="E426" s="440"/>
      <c r="F426" s="464"/>
      <c r="G426" s="346" t="s">
        <v>425</v>
      </c>
      <c r="H426" s="99">
        <f t="shared" ref="H426:K427" si="35">H310</f>
        <v>24646.31</v>
      </c>
      <c r="I426" s="99">
        <f t="shared" si="35"/>
        <v>7604.91</v>
      </c>
      <c r="J426" s="99">
        <f t="shared" si="35"/>
        <v>8283.5999999999985</v>
      </c>
      <c r="K426" s="99">
        <f t="shared" si="35"/>
        <v>8805.7999999999993</v>
      </c>
      <c r="L426" s="437"/>
    </row>
    <row r="427" spans="1:12" ht="204" customHeight="1">
      <c r="A427" s="462"/>
      <c r="B427" s="390"/>
      <c r="C427" s="390"/>
      <c r="D427" s="391"/>
      <c r="E427" s="440"/>
      <c r="F427" s="464"/>
      <c r="G427" s="180" t="s">
        <v>100</v>
      </c>
      <c r="H427" s="99">
        <f t="shared" si="35"/>
        <v>2.5</v>
      </c>
      <c r="I427" s="99">
        <f t="shared" si="35"/>
        <v>2.5</v>
      </c>
      <c r="J427" s="99">
        <f t="shared" si="35"/>
        <v>0</v>
      </c>
      <c r="K427" s="99">
        <f t="shared" si="35"/>
        <v>0</v>
      </c>
      <c r="L427" s="437"/>
    </row>
    <row r="428" spans="1:12" ht="75" customHeight="1">
      <c r="A428" s="462"/>
      <c r="B428" s="390"/>
      <c r="C428" s="390"/>
      <c r="D428" s="391"/>
      <c r="E428" s="441"/>
      <c r="F428" s="464"/>
      <c r="G428" s="150" t="s">
        <v>87</v>
      </c>
      <c r="H428" s="99">
        <f>H354+H356</f>
        <v>223407.85132849999</v>
      </c>
      <c r="I428" s="99">
        <f>I354+I356</f>
        <v>69661.5</v>
      </c>
      <c r="J428" s="99">
        <f>J354+J356</f>
        <v>74961.6535</v>
      </c>
      <c r="K428" s="99">
        <f>K354+K356</f>
        <v>78784.697828499993</v>
      </c>
      <c r="L428" s="437"/>
    </row>
    <row r="429" spans="1:12" ht="75" customHeight="1">
      <c r="A429" s="462"/>
      <c r="B429" s="390"/>
      <c r="C429" s="390"/>
      <c r="D429" s="391"/>
      <c r="E429" s="401" t="s">
        <v>81</v>
      </c>
      <c r="F429" s="464"/>
      <c r="G429" s="349" t="s">
        <v>90</v>
      </c>
      <c r="H429" s="98">
        <f>SUM(H430:H431)</f>
        <v>231711.24230000001</v>
      </c>
      <c r="I429" s="98">
        <f>SUM(I430:I431)</f>
        <v>77851.790000000008</v>
      </c>
      <c r="J429" s="98">
        <f>SUM(J430:J431)</f>
        <v>79981.899999999994</v>
      </c>
      <c r="K429" s="98">
        <f>SUM(K430:K431)</f>
        <v>73877.55230000001</v>
      </c>
      <c r="L429" s="437"/>
    </row>
    <row r="430" spans="1:12" ht="75" customHeight="1">
      <c r="A430" s="462"/>
      <c r="B430" s="390"/>
      <c r="C430" s="390"/>
      <c r="D430" s="391"/>
      <c r="E430" s="401"/>
      <c r="F430" s="464"/>
      <c r="G430" s="346" t="s">
        <v>425</v>
      </c>
      <c r="H430" s="99">
        <f>H313</f>
        <v>28108.1423</v>
      </c>
      <c r="I430" s="99">
        <f>I313</f>
        <v>8442.69</v>
      </c>
      <c r="J430" s="99">
        <f>J313</f>
        <v>9616.2000000000007</v>
      </c>
      <c r="K430" s="99">
        <f>K313</f>
        <v>10049.2523</v>
      </c>
      <c r="L430" s="437"/>
    </row>
    <row r="431" spans="1:12" ht="75" customHeight="1">
      <c r="A431" s="462"/>
      <c r="B431" s="390"/>
      <c r="C431" s="390"/>
      <c r="D431" s="391"/>
      <c r="E431" s="401"/>
      <c r="F431" s="464"/>
      <c r="G431" s="150" t="s">
        <v>87</v>
      </c>
      <c r="H431" s="99">
        <f>H355+H357</f>
        <v>203603.1</v>
      </c>
      <c r="I431" s="99">
        <f>I355+I357</f>
        <v>69409.100000000006</v>
      </c>
      <c r="J431" s="99">
        <f>J355+J357</f>
        <v>70365.7</v>
      </c>
      <c r="K431" s="99">
        <f>K355+K357</f>
        <v>63828.3</v>
      </c>
      <c r="L431" s="437"/>
    </row>
    <row r="432" spans="1:12" ht="75" customHeight="1">
      <c r="A432" s="462"/>
      <c r="B432" s="390"/>
      <c r="C432" s="390"/>
      <c r="D432" s="391"/>
      <c r="E432" s="320" t="s">
        <v>404</v>
      </c>
      <c r="F432" s="464"/>
      <c r="G432" s="346" t="s">
        <v>425</v>
      </c>
      <c r="H432" s="98">
        <f>H314</f>
        <v>3000</v>
      </c>
      <c r="I432" s="98">
        <f>I314</f>
        <v>3000</v>
      </c>
      <c r="J432" s="98">
        <f>J314</f>
        <v>0</v>
      </c>
      <c r="K432" s="98">
        <f>K314</f>
        <v>0</v>
      </c>
      <c r="L432" s="437"/>
    </row>
    <row r="433" spans="1:12" ht="75" customHeight="1">
      <c r="A433" s="462"/>
      <c r="B433" s="390"/>
      <c r="C433" s="390"/>
      <c r="D433" s="391"/>
      <c r="E433" s="401" t="s">
        <v>462</v>
      </c>
      <c r="F433" s="464"/>
      <c r="G433" s="349" t="s">
        <v>90</v>
      </c>
      <c r="H433" s="98">
        <f>SUM(H434:H439)</f>
        <v>88698.218999999997</v>
      </c>
      <c r="I433" s="98">
        <f>SUM(I434:I439)</f>
        <v>52752.919000000009</v>
      </c>
      <c r="J433" s="98">
        <f>SUM(J434:J439)</f>
        <v>32957.599999999999</v>
      </c>
      <c r="K433" s="98">
        <f>SUM(K434:K439)</f>
        <v>2987.7</v>
      </c>
      <c r="L433" s="437"/>
    </row>
    <row r="434" spans="1:12" ht="75" customHeight="1">
      <c r="A434" s="462"/>
      <c r="B434" s="390"/>
      <c r="C434" s="390"/>
      <c r="D434" s="391"/>
      <c r="E434" s="401"/>
      <c r="F434" s="464"/>
      <c r="G434" s="346" t="s">
        <v>425</v>
      </c>
      <c r="H434" s="99">
        <f>H316</f>
        <v>25819.200000000001</v>
      </c>
      <c r="I434" s="99">
        <f>I316</f>
        <v>17282.2</v>
      </c>
      <c r="J434" s="99">
        <f>J316</f>
        <v>5549.3</v>
      </c>
      <c r="K434" s="99">
        <f>K316</f>
        <v>2987.7</v>
      </c>
      <c r="L434" s="437"/>
    </row>
    <row r="435" spans="1:12" ht="227.25" customHeight="1">
      <c r="A435" s="462"/>
      <c r="B435" s="390"/>
      <c r="C435" s="390"/>
      <c r="D435" s="391"/>
      <c r="E435" s="401"/>
      <c r="F435" s="464"/>
      <c r="G435" s="329" t="s">
        <v>99</v>
      </c>
      <c r="H435" s="99">
        <f>H318</f>
        <v>1490.1</v>
      </c>
      <c r="I435" s="99">
        <f>I318</f>
        <v>1490.1</v>
      </c>
      <c r="J435" s="99">
        <f>J318</f>
        <v>0</v>
      </c>
      <c r="K435" s="99">
        <f>K318</f>
        <v>0</v>
      </c>
      <c r="L435" s="437"/>
    </row>
    <row r="436" spans="1:12" ht="260.25" customHeight="1">
      <c r="A436" s="462"/>
      <c r="B436" s="390"/>
      <c r="C436" s="390"/>
      <c r="D436" s="391"/>
      <c r="E436" s="401"/>
      <c r="F436" s="464"/>
      <c r="G436" s="180" t="s">
        <v>100</v>
      </c>
      <c r="H436" s="99">
        <f>H317</f>
        <v>14280.419000000002</v>
      </c>
      <c r="I436" s="99">
        <f>I317</f>
        <v>6609.6190000000006</v>
      </c>
      <c r="J436" s="99">
        <f>J317</f>
        <v>7670.8</v>
      </c>
      <c r="K436" s="99">
        <f>K317</f>
        <v>0</v>
      </c>
      <c r="L436" s="437"/>
    </row>
    <row r="437" spans="1:12" ht="75" customHeight="1">
      <c r="A437" s="462"/>
      <c r="B437" s="390"/>
      <c r="C437" s="390"/>
      <c r="D437" s="391"/>
      <c r="E437" s="401"/>
      <c r="F437" s="464"/>
      <c r="G437" s="330" t="s">
        <v>394</v>
      </c>
      <c r="H437" s="99">
        <f>H268</f>
        <v>799.7</v>
      </c>
      <c r="I437" s="99">
        <f>I268</f>
        <v>799.7</v>
      </c>
      <c r="J437" s="99">
        <f>J268</f>
        <v>0</v>
      </c>
      <c r="K437" s="99">
        <f>K268</f>
        <v>0</v>
      </c>
      <c r="L437" s="437"/>
    </row>
    <row r="438" spans="1:12" ht="126.75" customHeight="1">
      <c r="A438" s="462"/>
      <c r="B438" s="390"/>
      <c r="C438" s="390"/>
      <c r="D438" s="391"/>
      <c r="E438" s="401"/>
      <c r="F438" s="464"/>
      <c r="G438" s="331" t="s">
        <v>396</v>
      </c>
      <c r="H438" s="99">
        <f>H340</f>
        <v>6848</v>
      </c>
      <c r="I438" s="99">
        <f>I340</f>
        <v>6848</v>
      </c>
      <c r="J438" s="99">
        <f>J340</f>
        <v>0</v>
      </c>
      <c r="K438" s="99">
        <f>K340</f>
        <v>0</v>
      </c>
      <c r="L438" s="437"/>
    </row>
    <row r="439" spans="1:12" ht="75" customHeight="1">
      <c r="A439" s="463"/>
      <c r="B439" s="392"/>
      <c r="C439" s="392"/>
      <c r="D439" s="393"/>
      <c r="E439" s="401"/>
      <c r="F439" s="464"/>
      <c r="G439" s="331" t="s">
        <v>429</v>
      </c>
      <c r="H439" s="99">
        <f>H320</f>
        <v>39460.800000000003</v>
      </c>
      <c r="I439" s="99">
        <f>I320</f>
        <v>19723.3</v>
      </c>
      <c r="J439" s="99">
        <f>J320</f>
        <v>19737.5</v>
      </c>
      <c r="K439" s="99">
        <f>K320</f>
        <v>0</v>
      </c>
      <c r="L439" s="438"/>
    </row>
    <row r="441" spans="1:12" ht="75" customHeight="1">
      <c r="B441" s="91" t="s">
        <v>500</v>
      </c>
      <c r="I441" s="95" t="s">
        <v>501</v>
      </c>
    </row>
    <row r="443" spans="1:12" ht="75" customHeight="1">
      <c r="H443" s="190"/>
    </row>
    <row r="444" spans="1:12" ht="75" customHeight="1">
      <c r="A444" s="96" t="s">
        <v>28</v>
      </c>
    </row>
    <row r="446" spans="1:12" s="91" customFormat="1" ht="75" customHeight="1">
      <c r="C446" s="92"/>
      <c r="D446" s="93"/>
      <c r="F446" s="94"/>
      <c r="G446" s="94"/>
      <c r="H446" s="94"/>
      <c r="I446" s="95"/>
      <c r="J446" s="94"/>
      <c r="K446" s="123"/>
      <c r="L446" s="191"/>
    </row>
    <row r="447" spans="1:12" ht="75" customHeight="1">
      <c r="A447" s="28"/>
      <c r="B447" s="28"/>
      <c r="C447" s="34"/>
      <c r="D447" s="29"/>
      <c r="E447" s="35"/>
      <c r="F447" s="30"/>
      <c r="G447" s="27"/>
      <c r="H447" s="30"/>
      <c r="I447" s="31"/>
      <c r="J447" s="30"/>
    </row>
    <row r="448" spans="1:12" ht="75" customHeight="1">
      <c r="A448" s="28"/>
      <c r="B448" s="28"/>
      <c r="C448" s="34"/>
      <c r="D448" s="29"/>
      <c r="E448" s="35"/>
      <c r="F448" s="30"/>
      <c r="G448" s="27"/>
      <c r="H448" s="30"/>
      <c r="I448" s="31"/>
      <c r="J448" s="30"/>
    </row>
    <row r="449" spans="1:10" ht="75" customHeight="1">
      <c r="A449" s="28"/>
      <c r="B449" s="28"/>
      <c r="C449" s="34"/>
      <c r="D449" s="29"/>
      <c r="E449" s="35"/>
      <c r="F449" s="30"/>
      <c r="G449" s="27"/>
      <c r="H449" s="30"/>
      <c r="I449" s="31"/>
      <c r="J449" s="30"/>
    </row>
    <row r="450" spans="1:10" ht="75" customHeight="1">
      <c r="A450" s="96"/>
      <c r="B450" s="28"/>
      <c r="D450" s="29"/>
      <c r="E450" s="35"/>
      <c r="F450" s="30"/>
      <c r="G450" s="27"/>
      <c r="H450" s="30"/>
      <c r="I450" s="30"/>
      <c r="J450" s="30"/>
    </row>
  </sheetData>
  <autoFilter ref="A7:L439">
    <filterColumn colId="3">
      <filters>
        <filter val="0712152"/>
      </filters>
    </filterColumn>
    <filterColumn colId="7" showButton="0"/>
    <filterColumn colId="8" showButton="0"/>
    <filterColumn colId="9" showButton="0"/>
  </autoFilter>
  <mergeCells count="290">
    <mergeCell ref="E315:E320"/>
    <mergeCell ref="E219:E221"/>
    <mergeCell ref="F219:F226"/>
    <mergeCell ref="A185:D197"/>
    <mergeCell ref="A228:A250"/>
    <mergeCell ref="B228:B250"/>
    <mergeCell ref="D176:D177"/>
    <mergeCell ref="A155:A180"/>
    <mergeCell ref="B155:B180"/>
    <mergeCell ref="C155:C157"/>
    <mergeCell ref="F176:F180"/>
    <mergeCell ref="A217:B217"/>
    <mergeCell ref="F172:F174"/>
    <mergeCell ref="E176:E177"/>
    <mergeCell ref="C167:C169"/>
    <mergeCell ref="F156:F157"/>
    <mergeCell ref="L339:L340"/>
    <mergeCell ref="A340:D340"/>
    <mergeCell ref="D237:G237"/>
    <mergeCell ref="D229:G229"/>
    <mergeCell ref="F230:F236"/>
    <mergeCell ref="L270:L278"/>
    <mergeCell ref="A271:F278"/>
    <mergeCell ref="E267:E269"/>
    <mergeCell ref="G222:G226"/>
    <mergeCell ref="C228:C240"/>
    <mergeCell ref="D228:G228"/>
    <mergeCell ref="C242:C248"/>
    <mergeCell ref="D242:G242"/>
    <mergeCell ref="G230:G236"/>
    <mergeCell ref="A219:D226"/>
    <mergeCell ref="E279:E285"/>
    <mergeCell ref="F279:F320"/>
    <mergeCell ref="E286:E289"/>
    <mergeCell ref="E290:E294"/>
    <mergeCell ref="E295:E299"/>
    <mergeCell ref="E300:E304"/>
    <mergeCell ref="E305:E308"/>
    <mergeCell ref="E309:E311"/>
    <mergeCell ref="E312:E313"/>
    <mergeCell ref="G243:G249"/>
    <mergeCell ref="L228:L249"/>
    <mergeCell ref="B201:D201"/>
    <mergeCell ref="B199:B200"/>
    <mergeCell ref="E189:F189"/>
    <mergeCell ref="G188:G193"/>
    <mergeCell ref="A227:L227"/>
    <mergeCell ref="E190:F190"/>
    <mergeCell ref="E191:F191"/>
    <mergeCell ref="E192:F192"/>
    <mergeCell ref="E193:F193"/>
    <mergeCell ref="E194:F197"/>
    <mergeCell ref="L204:L212"/>
    <mergeCell ref="G207:G212"/>
    <mergeCell ref="L181:L197"/>
    <mergeCell ref="E188:F188"/>
    <mergeCell ref="A199:A200"/>
    <mergeCell ref="E185:F187"/>
    <mergeCell ref="L213:L215"/>
    <mergeCell ref="A214:F215"/>
    <mergeCell ref="F207:F212"/>
    <mergeCell ref="C204:C212"/>
    <mergeCell ref="D206:G206"/>
    <mergeCell ref="F122:F124"/>
    <mergeCell ref="F119:F121"/>
    <mergeCell ref="A130:D153"/>
    <mergeCell ref="G159:G160"/>
    <mergeCell ref="G156:G157"/>
    <mergeCell ref="C171:C174"/>
    <mergeCell ref="C175:C180"/>
    <mergeCell ref="L161:L166"/>
    <mergeCell ref="F238:F241"/>
    <mergeCell ref="G238:G241"/>
    <mergeCell ref="D168:D169"/>
    <mergeCell ref="A118:A121"/>
    <mergeCell ref="A122:D124"/>
    <mergeCell ref="E122:E124"/>
    <mergeCell ref="E145:E147"/>
    <mergeCell ref="E135:E137"/>
    <mergeCell ref="E138:E141"/>
    <mergeCell ref="L175:L180"/>
    <mergeCell ref="D204:G204"/>
    <mergeCell ref="D171:G171"/>
    <mergeCell ref="C158:C160"/>
    <mergeCell ref="L171:L174"/>
    <mergeCell ref="D172:D174"/>
    <mergeCell ref="E172:E174"/>
    <mergeCell ref="A12:A26"/>
    <mergeCell ref="L58:L59"/>
    <mergeCell ref="A30:A75"/>
    <mergeCell ref="D48:G48"/>
    <mergeCell ref="F16:F17"/>
    <mergeCell ref="D30:G30"/>
    <mergeCell ref="C30:C42"/>
    <mergeCell ref="G32:G35"/>
    <mergeCell ref="F58:F59"/>
    <mergeCell ref="D60:G60"/>
    <mergeCell ref="F22:F23"/>
    <mergeCell ref="G22:G23"/>
    <mergeCell ref="D21:G21"/>
    <mergeCell ref="C21:C23"/>
    <mergeCell ref="L27:L29"/>
    <mergeCell ref="G28:G29"/>
    <mergeCell ref="L18:L20"/>
    <mergeCell ref="F32:F42"/>
    <mergeCell ref="D73:G73"/>
    <mergeCell ref="E58:E59"/>
    <mergeCell ref="D64:G64"/>
    <mergeCell ref="G44:G47"/>
    <mergeCell ref="G65:G68"/>
    <mergeCell ref="L60:L63"/>
    <mergeCell ref="A108:A113"/>
    <mergeCell ref="B118:B121"/>
    <mergeCell ref="C108:C110"/>
    <mergeCell ref="D108:G108"/>
    <mergeCell ref="B30:B75"/>
    <mergeCell ref="F109:F114"/>
    <mergeCell ref="B108:B114"/>
    <mergeCell ref="G61:G63"/>
    <mergeCell ref="A115:D117"/>
    <mergeCell ref="C118:C120"/>
    <mergeCell ref="D109:D110"/>
    <mergeCell ref="E109:E110"/>
    <mergeCell ref="E107:F107"/>
    <mergeCell ref="A86:D107"/>
    <mergeCell ref="C78:C79"/>
    <mergeCell ref="D78:E78"/>
    <mergeCell ref="F74:F85"/>
    <mergeCell ref="E104:F106"/>
    <mergeCell ref="E86:F90"/>
    <mergeCell ref="E91:F91"/>
    <mergeCell ref="E92:F96"/>
    <mergeCell ref="E97:F99"/>
    <mergeCell ref="A11:L11"/>
    <mergeCell ref="F13:F14"/>
    <mergeCell ref="G13:G14"/>
    <mergeCell ref="F19:F20"/>
    <mergeCell ref="G19:G20"/>
    <mergeCell ref="D38:E38"/>
    <mergeCell ref="L43:L47"/>
    <mergeCell ref="L12:L17"/>
    <mergeCell ref="D57:G57"/>
    <mergeCell ref="C12:C14"/>
    <mergeCell ref="C15:C17"/>
    <mergeCell ref="C18:C20"/>
    <mergeCell ref="D12:G12"/>
    <mergeCell ref="D15:G15"/>
    <mergeCell ref="D18:G18"/>
    <mergeCell ref="G16:G17"/>
    <mergeCell ref="A27:D29"/>
    <mergeCell ref="E27:G27"/>
    <mergeCell ref="F28:F29"/>
    <mergeCell ref="D24:G24"/>
    <mergeCell ref="C24:C26"/>
    <mergeCell ref="F25:F26"/>
    <mergeCell ref="G25:G26"/>
    <mergeCell ref="B12:B26"/>
    <mergeCell ref="A5:L5"/>
    <mergeCell ref="A7:A9"/>
    <mergeCell ref="B7:B9"/>
    <mergeCell ref="C7:C9"/>
    <mergeCell ref="D7:D9"/>
    <mergeCell ref="E7:E9"/>
    <mergeCell ref="F7:F9"/>
    <mergeCell ref="G7:G9"/>
    <mergeCell ref="H7:K7"/>
    <mergeCell ref="L7:L9"/>
    <mergeCell ref="H8:H9"/>
    <mergeCell ref="I8:K8"/>
    <mergeCell ref="L30:L42"/>
    <mergeCell ref="E49:E50"/>
    <mergeCell ref="L48:L53"/>
    <mergeCell ref="D49:D50"/>
    <mergeCell ref="G38:G42"/>
    <mergeCell ref="G74:G85"/>
    <mergeCell ref="L78:L85"/>
    <mergeCell ref="C43:C47"/>
    <mergeCell ref="D43:G43"/>
    <mergeCell ref="F49:F53"/>
    <mergeCell ref="G51:G53"/>
    <mergeCell ref="C48:C53"/>
    <mergeCell ref="F44:F47"/>
    <mergeCell ref="C57:C59"/>
    <mergeCell ref="C60:C63"/>
    <mergeCell ref="C73:C75"/>
    <mergeCell ref="C64:C68"/>
    <mergeCell ref="D58:D59"/>
    <mergeCell ref="F61:F63"/>
    <mergeCell ref="L64:L68"/>
    <mergeCell ref="F65:F68"/>
    <mergeCell ref="L73:L75"/>
    <mergeCell ref="L358:L363"/>
    <mergeCell ref="L347:L357"/>
    <mergeCell ref="L337:L338"/>
    <mergeCell ref="A321:L321"/>
    <mergeCell ref="B322:F322"/>
    <mergeCell ref="L322:L327"/>
    <mergeCell ref="G359:G363"/>
    <mergeCell ref="F243:F250"/>
    <mergeCell ref="A251:G251"/>
    <mergeCell ref="L251:L269"/>
    <mergeCell ref="A252:F254"/>
    <mergeCell ref="E255:E257"/>
    <mergeCell ref="F255:F269"/>
    <mergeCell ref="G258:G259"/>
    <mergeCell ref="E263:E265"/>
    <mergeCell ref="A270:F270"/>
    <mergeCell ref="L341:L345"/>
    <mergeCell ref="G342:G346"/>
    <mergeCell ref="G323:G327"/>
    <mergeCell ref="G348:G357"/>
    <mergeCell ref="B347:E347"/>
    <mergeCell ref="E260:E262"/>
    <mergeCell ref="A348:D357"/>
    <mergeCell ref="B339:F339"/>
    <mergeCell ref="A343:D345"/>
    <mergeCell ref="A338:D338"/>
    <mergeCell ref="B341:F341"/>
    <mergeCell ref="A342:D342"/>
    <mergeCell ref="A329:D336"/>
    <mergeCell ref="A366:F366"/>
    <mergeCell ref="A323:D327"/>
    <mergeCell ref="F323:F327"/>
    <mergeCell ref="B328:F328"/>
    <mergeCell ref="E333:E336"/>
    <mergeCell ref="F359:F363"/>
    <mergeCell ref="A359:D363"/>
    <mergeCell ref="B337:F337"/>
    <mergeCell ref="F333:F335"/>
    <mergeCell ref="L366:L439"/>
    <mergeCell ref="A367:F380"/>
    <mergeCell ref="A381:D439"/>
    <mergeCell ref="E381:E389"/>
    <mergeCell ref="F381:F439"/>
    <mergeCell ref="E390:E395"/>
    <mergeCell ref="E396:E402"/>
    <mergeCell ref="E403:E411"/>
    <mergeCell ref="E412:E418"/>
    <mergeCell ref="E419:E424"/>
    <mergeCell ref="E425:E428"/>
    <mergeCell ref="E429:E431"/>
    <mergeCell ref="E433:E439"/>
    <mergeCell ref="L108:L113"/>
    <mergeCell ref="L86:L106"/>
    <mergeCell ref="L118:L121"/>
    <mergeCell ref="E142:E144"/>
    <mergeCell ref="L115:L117"/>
    <mergeCell ref="E115:E117"/>
    <mergeCell ref="L167:L169"/>
    <mergeCell ref="F115:F117"/>
    <mergeCell ref="E100:F103"/>
    <mergeCell ref="D118:G118"/>
    <mergeCell ref="E119:E120"/>
    <mergeCell ref="D119:D120"/>
    <mergeCell ref="L122:L124"/>
    <mergeCell ref="L158:L160"/>
    <mergeCell ref="F159:F160"/>
    <mergeCell ref="D167:G167"/>
    <mergeCell ref="F163:F166"/>
    <mergeCell ref="L155:L157"/>
    <mergeCell ref="L125:L153"/>
    <mergeCell ref="D158:G158"/>
    <mergeCell ref="D155:G155"/>
    <mergeCell ref="A154:L154"/>
    <mergeCell ref="G163:G166"/>
    <mergeCell ref="C162:C165"/>
    <mergeCell ref="A125:G125"/>
    <mergeCell ref="F130:F153"/>
    <mergeCell ref="A126:F129"/>
    <mergeCell ref="E130:E134"/>
    <mergeCell ref="E148:E150"/>
    <mergeCell ref="A216:F216"/>
    <mergeCell ref="B364:F364"/>
    <mergeCell ref="L364:L365"/>
    <mergeCell ref="A365:D365"/>
    <mergeCell ref="G178:G180"/>
    <mergeCell ref="F168:F169"/>
    <mergeCell ref="G168:G169"/>
    <mergeCell ref="D162:G162"/>
    <mergeCell ref="D175:G175"/>
    <mergeCell ref="L333:L336"/>
    <mergeCell ref="L216:L226"/>
    <mergeCell ref="A279:D320"/>
    <mergeCell ref="A255:D269"/>
    <mergeCell ref="A198:L198"/>
    <mergeCell ref="A181:F181"/>
    <mergeCell ref="A182:B182"/>
    <mergeCell ref="B213:D213"/>
    <mergeCell ref="A203:A213"/>
    <mergeCell ref="B203:B212"/>
  </mergeCells>
  <pageMargins left="1.1811023622047245" right="0.39370078740157483" top="0.19685039370078741" bottom="0.39370078740157483" header="0.31496062992125984" footer="0.31496062992125984"/>
  <pageSetup paperSize="9" scale="30" fitToHeight="25" orientation="landscape" r:id="rId1"/>
  <rowBreaks count="25" manualBreakCount="25">
    <brk id="23" max="11" man="1"/>
    <brk id="41" max="11" man="1"/>
    <brk id="56" max="11" man="1"/>
    <brk id="70" max="11" man="1"/>
    <brk id="88" min="1" max="11" man="1"/>
    <brk id="105" min="1" max="11" man="1"/>
    <brk id="123" max="11" man="1"/>
    <brk id="140" min="1" max="11" man="1"/>
    <brk id="155" min="1" max="11" man="1"/>
    <brk id="170" min="1" max="11" man="1"/>
    <brk id="183" min="1" max="11" man="1"/>
    <brk id="197" min="1" max="11" man="1"/>
    <brk id="209" max="11" man="1"/>
    <brk id="222" max="11" man="1"/>
    <brk id="242" max="11" man="1"/>
    <brk id="256" min="1" max="11" man="1"/>
    <brk id="273" min="1" max="11" man="1"/>
    <brk id="287" max="11" man="1"/>
    <brk id="304" max="11" man="1"/>
    <brk id="320" min="1" max="11" man="1"/>
    <brk id="339" min="1" max="11" man="1"/>
    <brk id="357" min="1" max="11" man="1"/>
    <brk id="373" max="11" man="1"/>
    <brk id="426" max="11" man="1"/>
    <brk id="440" max="11" man="1"/>
  </rowBreaks>
</worksheet>
</file>

<file path=xl/worksheets/sheet4.xml><?xml version="1.0" encoding="utf-8"?>
<worksheet xmlns="http://schemas.openxmlformats.org/spreadsheetml/2006/main" xmlns:r="http://schemas.openxmlformats.org/officeDocument/2006/relationships">
  <dimension ref="A1:M370"/>
  <sheetViews>
    <sheetView tabSelected="1" view="pageBreakPreview" zoomScale="50" zoomScaleNormal="61" zoomScaleSheetLayoutView="50" workbookViewId="0">
      <pane ySplit="10" topLeftCell="A320" activePane="bottomLeft" state="frozen"/>
      <selection pane="bottomLeft" activeCell="H3" sqref="H3:K3"/>
    </sheetView>
  </sheetViews>
  <sheetFormatPr defaultColWidth="9.140625" defaultRowHeight="20.25"/>
  <cols>
    <col min="1" max="1" width="87.140625" style="47" customWidth="1"/>
    <col min="2" max="2" width="23.42578125" style="47" customWidth="1"/>
    <col min="3" max="3" width="23.5703125" style="47" customWidth="1"/>
    <col min="4" max="4" width="20.5703125" style="47" customWidth="1"/>
    <col min="5" max="5" width="21.140625" style="47" customWidth="1"/>
    <col min="6" max="6" width="22.28515625" style="47" customWidth="1"/>
    <col min="7" max="7" width="19.7109375" style="47" customWidth="1"/>
    <col min="8" max="8" width="20.42578125" style="47" customWidth="1"/>
    <col min="9" max="9" width="19.140625" style="47" customWidth="1"/>
    <col min="10" max="10" width="21.140625" style="47" customWidth="1"/>
    <col min="11" max="11" width="20" style="47" customWidth="1"/>
    <col min="12" max="12" width="21.28515625" style="47" customWidth="1"/>
    <col min="13" max="13" width="19.28515625" style="47" bestFit="1" customWidth="1"/>
    <col min="14" max="14" width="13" style="47" bestFit="1" customWidth="1"/>
    <col min="15" max="16384" width="9.140625" style="47"/>
  </cols>
  <sheetData>
    <row r="1" spans="1:13" ht="27.75">
      <c r="H1" s="84" t="s">
        <v>431</v>
      </c>
    </row>
    <row r="2" spans="1:13" ht="171" customHeight="1">
      <c r="H2" s="629" t="s">
        <v>435</v>
      </c>
      <c r="I2" s="629"/>
      <c r="J2" s="629"/>
      <c r="K2" s="629"/>
    </row>
    <row r="3" spans="1:13" ht="30.75" customHeight="1">
      <c r="A3" s="48"/>
      <c r="H3" s="630" t="s">
        <v>503</v>
      </c>
      <c r="I3" s="630"/>
      <c r="J3" s="630"/>
      <c r="K3" s="630"/>
    </row>
    <row r="4" spans="1:13" ht="26.25" customHeight="1">
      <c r="H4" s="84"/>
      <c r="I4" s="84"/>
      <c r="J4" s="84"/>
      <c r="K4" s="85"/>
    </row>
    <row r="5" spans="1:13" ht="82.5" customHeight="1">
      <c r="A5" s="631" t="s">
        <v>415</v>
      </c>
      <c r="B5" s="631"/>
      <c r="C5" s="631"/>
      <c r="D5" s="631"/>
      <c r="E5" s="631"/>
      <c r="F5" s="631"/>
      <c r="G5" s="631"/>
      <c r="H5" s="631"/>
      <c r="I5" s="631"/>
      <c r="J5" s="631"/>
      <c r="K5" s="631"/>
    </row>
    <row r="6" spans="1:13" ht="15.75" customHeight="1">
      <c r="A6" s="49"/>
    </row>
    <row r="7" spans="1:13">
      <c r="A7" s="632" t="s">
        <v>110</v>
      </c>
      <c r="B7" s="632" t="s">
        <v>90</v>
      </c>
      <c r="C7" s="632" t="s">
        <v>111</v>
      </c>
      <c r="D7" s="632"/>
      <c r="E7" s="632"/>
      <c r="F7" s="632" t="s">
        <v>443</v>
      </c>
      <c r="G7" s="632"/>
      <c r="H7" s="632"/>
      <c r="I7" s="632" t="s">
        <v>112</v>
      </c>
      <c r="J7" s="632"/>
      <c r="K7" s="632"/>
    </row>
    <row r="8" spans="1:13">
      <c r="A8" s="632"/>
      <c r="B8" s="632"/>
      <c r="C8" s="632"/>
      <c r="D8" s="632"/>
      <c r="E8" s="632"/>
      <c r="F8" s="632"/>
      <c r="G8" s="632"/>
      <c r="H8" s="632"/>
      <c r="I8" s="632"/>
      <c r="J8" s="632"/>
      <c r="K8" s="632"/>
    </row>
    <row r="9" spans="1:13">
      <c r="A9" s="632"/>
      <c r="B9" s="632"/>
      <c r="C9" s="633" t="s">
        <v>98</v>
      </c>
      <c r="D9" s="633" t="s">
        <v>113</v>
      </c>
      <c r="E9" s="633"/>
      <c r="F9" s="633" t="s">
        <v>98</v>
      </c>
      <c r="G9" s="633" t="s">
        <v>113</v>
      </c>
      <c r="H9" s="633"/>
      <c r="I9" s="633" t="s">
        <v>98</v>
      </c>
      <c r="J9" s="633" t="s">
        <v>113</v>
      </c>
      <c r="K9" s="633"/>
    </row>
    <row r="10" spans="1:13" ht="40.5">
      <c r="A10" s="632"/>
      <c r="B10" s="632"/>
      <c r="C10" s="633"/>
      <c r="D10" s="235" t="s">
        <v>114</v>
      </c>
      <c r="E10" s="235" t="s">
        <v>115</v>
      </c>
      <c r="F10" s="633"/>
      <c r="G10" s="235" t="s">
        <v>114</v>
      </c>
      <c r="H10" s="235" t="s">
        <v>115</v>
      </c>
      <c r="I10" s="633"/>
      <c r="J10" s="235" t="s">
        <v>114</v>
      </c>
      <c r="K10" s="235" t="s">
        <v>115</v>
      </c>
    </row>
    <row r="11" spans="1:13">
      <c r="A11" s="234">
        <v>1</v>
      </c>
      <c r="B11" s="50">
        <v>2</v>
      </c>
      <c r="C11" s="235">
        <v>3</v>
      </c>
      <c r="D11" s="235">
        <v>4</v>
      </c>
      <c r="E11" s="235">
        <v>5</v>
      </c>
      <c r="F11" s="235">
        <v>6</v>
      </c>
      <c r="G11" s="235">
        <v>7</v>
      </c>
      <c r="H11" s="235">
        <v>8</v>
      </c>
      <c r="I11" s="235">
        <v>9</v>
      </c>
      <c r="J11" s="235">
        <v>10</v>
      </c>
      <c r="K11" s="235">
        <v>11</v>
      </c>
    </row>
    <row r="12" spans="1:13" ht="46.5">
      <c r="A12" s="51" t="s">
        <v>326</v>
      </c>
      <c r="B12" s="42">
        <f t="shared" ref="B12:K12" si="0">B15+B205+B291+B333</f>
        <v>554624340.29999995</v>
      </c>
      <c r="C12" s="42">
        <f t="shared" si="0"/>
        <v>291091831</v>
      </c>
      <c r="D12" s="42">
        <f t="shared" si="0"/>
        <v>188696142</v>
      </c>
      <c r="E12" s="42">
        <f t="shared" si="0"/>
        <v>102395689</v>
      </c>
      <c r="F12" s="42">
        <f t="shared" si="0"/>
        <v>175671680</v>
      </c>
      <c r="G12" s="42">
        <f t="shared" si="0"/>
        <v>77545180</v>
      </c>
      <c r="H12" s="42">
        <f t="shared" si="0"/>
        <v>98126500</v>
      </c>
      <c r="I12" s="42">
        <f t="shared" si="0"/>
        <v>88020929.299999997</v>
      </c>
      <c r="J12" s="42">
        <f t="shared" si="0"/>
        <v>68020929.299999997</v>
      </c>
      <c r="K12" s="42">
        <f t="shared" si="0"/>
        <v>20000000</v>
      </c>
      <c r="L12" s="47">
        <f>B12</f>
        <v>554624340.29999995</v>
      </c>
      <c r="M12" s="47">
        <v>551290340</v>
      </c>
    </row>
    <row r="13" spans="1:13" ht="45.75" customHeight="1">
      <c r="A13" s="625" t="s">
        <v>152</v>
      </c>
      <c r="B13" s="625"/>
      <c r="C13" s="625"/>
      <c r="D13" s="625"/>
      <c r="E13" s="625"/>
      <c r="F13" s="625"/>
      <c r="G13" s="625"/>
      <c r="H13" s="625"/>
      <c r="I13" s="625"/>
      <c r="J13" s="625"/>
      <c r="K13" s="625"/>
      <c r="L13" s="47">
        <f>L12-M12</f>
        <v>3334000.2999999523</v>
      </c>
    </row>
    <row r="14" spans="1:13" ht="22.5">
      <c r="A14" s="615" t="s">
        <v>266</v>
      </c>
      <c r="B14" s="615"/>
      <c r="C14" s="615"/>
      <c r="D14" s="615"/>
      <c r="E14" s="615"/>
      <c r="F14" s="615"/>
      <c r="G14" s="615"/>
      <c r="H14" s="615"/>
      <c r="I14" s="615"/>
      <c r="J14" s="615"/>
      <c r="K14" s="615"/>
    </row>
    <row r="15" spans="1:13" ht="22.5">
      <c r="A15" s="52" t="s">
        <v>302</v>
      </c>
      <c r="B15" s="42">
        <f>B19+B24+B29+B55+B60+B65+B70+B79+B94+B103+B111+B122+B129+B142+B154+B164+B188+B201+B136+B38+B171+B180</f>
        <v>228728530</v>
      </c>
      <c r="C15" s="42">
        <f>C19+C24+C29+C55+C60+C65+C70+C79+C94+C103+C111+C122+C129+C142+C154+C164+C188+C201+C136+C38</f>
        <v>136386123</v>
      </c>
      <c r="D15" s="42">
        <f>D19+D24+D29+D55+D60+D65+D70+D79+D94+D103+D111+D122+D129+D142+D154+D164+D188+D201+D136</f>
        <v>136386123</v>
      </c>
      <c r="E15" s="42">
        <f>E19+E24+E29+E55+E60+E65+E70+E79+E94+E103+E111+E122+E129+E142+E154+E164+E188+E201+E136</f>
        <v>0</v>
      </c>
      <c r="F15" s="42">
        <f>F19+F24+F29+F55+F60+F65+F70+F79+F94+F103+F111+F122+F129+F142+F154+F164+F188+F201+F136+F38+F171+F180+F47+F193</f>
        <v>46487480</v>
      </c>
      <c r="G15" s="42">
        <f>G19+G24+G29+G55+G60+G65+G70+G79+G94+G103+G111+G122+G129+G142+G154+G164+G188+G201+G136+G38+G171+G180+G47+G193</f>
        <v>46487480</v>
      </c>
      <c r="H15" s="42">
        <f>H19+H24+H29+H55+H60+H65+H70+H79+H94+H103+H111+H122+H129+H142+H154+H164+H188+H201+H136</f>
        <v>0</v>
      </c>
      <c r="I15" s="42">
        <f>I19+I24+I29+I55+I60+I65+I70+I79+I94+I103+I111+I122+I129+I142+I154+I164+I188+I201+I136+I38</f>
        <v>46015027</v>
      </c>
      <c r="J15" s="42">
        <f>J19+J24+J29+J55+J60+J65+J70+J79+J94+J103+J111+J122+J129+J142+J154+J164+J188+J201+J136+J38</f>
        <v>46015027</v>
      </c>
      <c r="K15" s="42">
        <f>K19+K24+K29+K55+K60+K65+K70+K79+K94+K103+K111+K122+K129+K142+K154+K164+K188+K201+K136</f>
        <v>0</v>
      </c>
      <c r="L15" s="47">
        <f>'Додаток 3'!J125-'Додаток 4'!F15/1000</f>
        <v>0</v>
      </c>
      <c r="M15" s="47">
        <v>707</v>
      </c>
    </row>
    <row r="16" spans="1:13" ht="22.5">
      <c r="A16" s="52" t="s">
        <v>118</v>
      </c>
      <c r="B16" s="616"/>
      <c r="C16" s="617"/>
      <c r="D16" s="617"/>
      <c r="E16" s="617"/>
      <c r="F16" s="617"/>
      <c r="G16" s="617"/>
      <c r="H16" s="617"/>
      <c r="I16" s="617"/>
      <c r="J16" s="617"/>
      <c r="K16" s="618"/>
      <c r="L16" s="47">
        <f>F24+F29+F38+F55+F60+F65+F70+F79+F94+F103+F111+F122+F129+F136+F142+F154+F164+F171+F180+F188+F201</f>
        <v>46327380</v>
      </c>
    </row>
    <row r="17" spans="1:11" ht="23.25">
      <c r="A17" s="53" t="s">
        <v>116</v>
      </c>
      <c r="B17" s="624" t="s">
        <v>284</v>
      </c>
      <c r="C17" s="624"/>
      <c r="D17" s="624"/>
      <c r="E17" s="624"/>
      <c r="F17" s="624"/>
      <c r="G17" s="624"/>
      <c r="H17" s="624"/>
      <c r="I17" s="624"/>
      <c r="J17" s="624"/>
      <c r="K17" s="624"/>
    </row>
    <row r="18" spans="1:11" ht="20.25" customHeight="1">
      <c r="A18" s="192" t="s">
        <v>161</v>
      </c>
      <c r="B18" s="612" t="s">
        <v>162</v>
      </c>
      <c r="C18" s="613"/>
      <c r="D18" s="613"/>
      <c r="E18" s="613"/>
      <c r="F18" s="613"/>
      <c r="G18" s="613"/>
      <c r="H18" s="613"/>
      <c r="I18" s="613"/>
      <c r="J18" s="613"/>
      <c r="K18" s="614"/>
    </row>
    <row r="19" spans="1:11" ht="22.5">
      <c r="A19" s="233" t="s">
        <v>121</v>
      </c>
      <c r="B19" s="42">
        <f>C19+F19+I19</f>
        <v>240000</v>
      </c>
      <c r="C19" s="43">
        <f>D19+E19</f>
        <v>240000</v>
      </c>
      <c r="D19" s="43">
        <f>'Додаток 3'!I12*1000</f>
        <v>240000</v>
      </c>
      <c r="E19" s="43">
        <v>0</v>
      </c>
      <c r="F19" s="43">
        <f>G19+H19</f>
        <v>0</v>
      </c>
      <c r="G19" s="43">
        <v>0</v>
      </c>
      <c r="H19" s="43">
        <v>0</v>
      </c>
      <c r="I19" s="43">
        <f>J19+K19</f>
        <v>0</v>
      </c>
      <c r="J19" s="43">
        <v>0</v>
      </c>
      <c r="K19" s="43">
        <v>0</v>
      </c>
    </row>
    <row r="20" spans="1:11" ht="23.25">
      <c r="A20" s="233" t="s">
        <v>364</v>
      </c>
      <c r="B20" s="42"/>
      <c r="C20" s="44">
        <v>2</v>
      </c>
      <c r="D20" s="44">
        <v>2</v>
      </c>
      <c r="E20" s="43"/>
      <c r="F20" s="44"/>
      <c r="G20" s="44"/>
      <c r="H20" s="44"/>
      <c r="I20" s="44"/>
      <c r="J20" s="43"/>
      <c r="K20" s="43"/>
    </row>
    <row r="21" spans="1:11" ht="46.5">
      <c r="A21" s="233" t="s">
        <v>365</v>
      </c>
      <c r="B21" s="46"/>
      <c r="C21" s="44">
        <f>C19/C20</f>
        <v>120000</v>
      </c>
      <c r="D21" s="44">
        <f>D19/D20</f>
        <v>120000</v>
      </c>
      <c r="E21" s="44"/>
      <c r="F21" s="44"/>
      <c r="G21" s="44"/>
      <c r="H21" s="44"/>
      <c r="I21" s="44"/>
      <c r="J21" s="44"/>
      <c r="K21" s="43"/>
    </row>
    <row r="22" spans="1:11" ht="23.25">
      <c r="A22" s="53" t="s">
        <v>116</v>
      </c>
      <c r="B22" s="624" t="s">
        <v>285</v>
      </c>
      <c r="C22" s="624"/>
      <c r="D22" s="624"/>
      <c r="E22" s="624"/>
      <c r="F22" s="624"/>
      <c r="G22" s="624"/>
      <c r="H22" s="624"/>
      <c r="I22" s="624"/>
      <c r="J22" s="624"/>
      <c r="K22" s="624"/>
    </row>
    <row r="23" spans="1:11" ht="20.25" customHeight="1">
      <c r="A23" s="192" t="s">
        <v>161</v>
      </c>
      <c r="B23" s="612" t="s">
        <v>162</v>
      </c>
      <c r="C23" s="613"/>
      <c r="D23" s="613"/>
      <c r="E23" s="613"/>
      <c r="F23" s="613"/>
      <c r="G23" s="613"/>
      <c r="H23" s="613"/>
      <c r="I23" s="613"/>
      <c r="J23" s="613"/>
      <c r="K23" s="614"/>
    </row>
    <row r="24" spans="1:11" ht="22.5">
      <c r="A24" s="233" t="s">
        <v>121</v>
      </c>
      <c r="B24" s="42">
        <f>C24+F24+I24</f>
        <v>7016410</v>
      </c>
      <c r="C24" s="43">
        <f>D24+E24</f>
        <v>1577810</v>
      </c>
      <c r="D24" s="43">
        <f>'Додаток 3'!I15*1000</f>
        <v>1577810</v>
      </c>
      <c r="E24" s="43">
        <v>0</v>
      </c>
      <c r="F24" s="43">
        <f>G24+H24</f>
        <v>2614700</v>
      </c>
      <c r="G24" s="43">
        <f>'Додаток 3'!J15*1000</f>
        <v>2614700</v>
      </c>
      <c r="H24" s="43">
        <v>0</v>
      </c>
      <c r="I24" s="43">
        <f>J24+K24</f>
        <v>2823899.9999999995</v>
      </c>
      <c r="J24" s="43">
        <f>'Додаток 3'!K15*1000</f>
        <v>2823899.9999999995</v>
      </c>
      <c r="K24" s="43">
        <v>0</v>
      </c>
    </row>
    <row r="25" spans="1:11" ht="23.25">
      <c r="A25" s="233" t="s">
        <v>364</v>
      </c>
      <c r="B25" s="42"/>
      <c r="C25" s="44">
        <v>2</v>
      </c>
      <c r="D25" s="44">
        <v>2</v>
      </c>
      <c r="E25" s="43"/>
      <c r="F25" s="44">
        <v>2</v>
      </c>
      <c r="G25" s="44">
        <v>2</v>
      </c>
      <c r="H25" s="44"/>
      <c r="I25" s="44">
        <v>2</v>
      </c>
      <c r="J25" s="44">
        <v>2</v>
      </c>
      <c r="K25" s="43"/>
    </row>
    <row r="26" spans="1:11" ht="46.5">
      <c r="A26" s="233" t="s">
        <v>365</v>
      </c>
      <c r="B26" s="46"/>
      <c r="C26" s="44">
        <f>C24/C25</f>
        <v>788905</v>
      </c>
      <c r="D26" s="44">
        <f>D24/D25</f>
        <v>788905</v>
      </c>
      <c r="E26" s="44"/>
      <c r="F26" s="44">
        <f>F24/F25</f>
        <v>1307350</v>
      </c>
      <c r="G26" s="44">
        <f>G24/G25</f>
        <v>1307350</v>
      </c>
      <c r="H26" s="44"/>
      <c r="I26" s="44">
        <f>I24/I25</f>
        <v>1411949.9999999998</v>
      </c>
      <c r="J26" s="44">
        <f>J24/J25</f>
        <v>1411949.9999999998</v>
      </c>
      <c r="K26" s="43"/>
    </row>
    <row r="27" spans="1:11" ht="23.25">
      <c r="A27" s="53" t="s">
        <v>116</v>
      </c>
      <c r="B27" s="624" t="s">
        <v>381</v>
      </c>
      <c r="C27" s="624"/>
      <c r="D27" s="624"/>
      <c r="E27" s="624"/>
      <c r="F27" s="624"/>
      <c r="G27" s="624"/>
      <c r="H27" s="624"/>
      <c r="I27" s="624"/>
      <c r="J27" s="624"/>
      <c r="K27" s="624"/>
    </row>
    <row r="28" spans="1:11" ht="20.25" customHeight="1">
      <c r="A28" s="192" t="s">
        <v>148</v>
      </c>
      <c r="B28" s="625" t="s">
        <v>416</v>
      </c>
      <c r="C28" s="625"/>
      <c r="D28" s="625"/>
      <c r="E28" s="625"/>
      <c r="F28" s="625"/>
      <c r="G28" s="625"/>
      <c r="H28" s="625"/>
      <c r="I28" s="625"/>
      <c r="J28" s="625"/>
      <c r="K28" s="625"/>
    </row>
    <row r="29" spans="1:11" ht="22.5">
      <c r="A29" s="233" t="s">
        <v>121</v>
      </c>
      <c r="B29" s="42">
        <f>C29+F29+I29</f>
        <v>3495100</v>
      </c>
      <c r="C29" s="43">
        <f>D29+E29</f>
        <v>1081800</v>
      </c>
      <c r="D29" s="43">
        <f>'Додаток 3'!I18*1000</f>
        <v>1081800</v>
      </c>
      <c r="E29" s="43">
        <v>0</v>
      </c>
      <c r="F29" s="43">
        <f>G29+H29</f>
        <v>1169300</v>
      </c>
      <c r="G29" s="43">
        <f>'Додаток 3'!J18*1000</f>
        <v>1169300</v>
      </c>
      <c r="H29" s="43">
        <v>0</v>
      </c>
      <c r="I29" s="43">
        <f>J29+K29</f>
        <v>1244000</v>
      </c>
      <c r="J29" s="43">
        <f>'Додаток 3'!K18*1000</f>
        <v>1244000</v>
      </c>
      <c r="K29" s="43">
        <v>0</v>
      </c>
    </row>
    <row r="30" spans="1:11" ht="23.25">
      <c r="A30" s="233" t="s">
        <v>287</v>
      </c>
      <c r="B30" s="42"/>
      <c r="C30" s="44"/>
      <c r="D30" s="43"/>
      <c r="E30" s="43"/>
      <c r="F30" s="44"/>
      <c r="G30" s="44"/>
      <c r="H30" s="44"/>
      <c r="I30" s="44"/>
      <c r="J30" s="43"/>
      <c r="K30" s="43"/>
    </row>
    <row r="31" spans="1:11" ht="26.25" customHeight="1">
      <c r="A31" s="54" t="s">
        <v>288</v>
      </c>
      <c r="B31" s="42"/>
      <c r="C31" s="44">
        <v>30486</v>
      </c>
      <c r="D31" s="44">
        <v>30486</v>
      </c>
      <c r="E31" s="43"/>
      <c r="F31" s="44">
        <v>36796</v>
      </c>
      <c r="G31" s="44">
        <v>36796</v>
      </c>
      <c r="H31" s="44"/>
      <c r="I31" s="44">
        <v>42186</v>
      </c>
      <c r="J31" s="44">
        <v>42186</v>
      </c>
      <c r="K31" s="43"/>
    </row>
    <row r="32" spans="1:11" ht="23.25">
      <c r="A32" s="54" t="s">
        <v>289</v>
      </c>
      <c r="B32" s="42"/>
      <c r="C32" s="44">
        <v>30486</v>
      </c>
      <c r="D32" s="44">
        <v>30486</v>
      </c>
      <c r="E32" s="43"/>
      <c r="F32" s="44">
        <v>36796</v>
      </c>
      <c r="G32" s="44">
        <v>36796</v>
      </c>
      <c r="H32" s="44"/>
      <c r="I32" s="44">
        <v>42186</v>
      </c>
      <c r="J32" s="44">
        <v>42186</v>
      </c>
      <c r="K32" s="43"/>
    </row>
    <row r="33" spans="1:11" ht="23.25">
      <c r="A33" s="233" t="s">
        <v>286</v>
      </c>
      <c r="B33" s="42"/>
      <c r="C33" s="44"/>
      <c r="D33" s="44"/>
      <c r="E33" s="44"/>
      <c r="F33" s="44"/>
      <c r="G33" s="44"/>
      <c r="H33" s="44"/>
      <c r="I33" s="44"/>
      <c r="J33" s="44"/>
      <c r="K33" s="43"/>
    </row>
    <row r="34" spans="1:11" ht="23.25">
      <c r="A34" s="54" t="s">
        <v>290</v>
      </c>
      <c r="B34" s="42"/>
      <c r="C34" s="44">
        <v>30.73</v>
      </c>
      <c r="D34" s="44">
        <v>30.73</v>
      </c>
      <c r="E34" s="44"/>
      <c r="F34" s="44">
        <v>31.78</v>
      </c>
      <c r="G34" s="44">
        <v>31.78</v>
      </c>
      <c r="H34" s="44"/>
      <c r="I34" s="44">
        <f>J29/I31</f>
        <v>29.488455885838903</v>
      </c>
      <c r="J34" s="44">
        <f>K29/J31</f>
        <v>0</v>
      </c>
      <c r="K34" s="43"/>
    </row>
    <row r="35" spans="1:11" ht="23.25" customHeight="1">
      <c r="A35" s="54" t="s">
        <v>182</v>
      </c>
      <c r="B35" s="46"/>
      <c r="C35" s="44">
        <f>C32/C31*100</f>
        <v>100</v>
      </c>
      <c r="D35" s="44">
        <f>D32/D31*100</f>
        <v>100</v>
      </c>
      <c r="E35" s="44"/>
      <c r="F35" s="44">
        <f>F32/F31*100</f>
        <v>100</v>
      </c>
      <c r="G35" s="44">
        <f>G32/G31*100</f>
        <v>100</v>
      </c>
      <c r="H35" s="44"/>
      <c r="I35" s="44">
        <f>I32/I31*100</f>
        <v>100</v>
      </c>
      <c r="J35" s="44">
        <f>J32/J31*100</f>
        <v>100</v>
      </c>
      <c r="K35" s="43"/>
    </row>
    <row r="36" spans="1:11" ht="23.25" customHeight="1">
      <c r="A36" s="200" t="s">
        <v>444</v>
      </c>
      <c r="B36" s="621" t="s">
        <v>445</v>
      </c>
      <c r="C36" s="622"/>
      <c r="D36" s="622"/>
      <c r="E36" s="622"/>
      <c r="F36" s="622"/>
      <c r="G36" s="622"/>
      <c r="H36" s="622"/>
      <c r="I36" s="622"/>
      <c r="J36" s="622"/>
      <c r="K36" s="623"/>
    </row>
    <row r="37" spans="1:11" ht="23.25" customHeight="1">
      <c r="A37" s="192" t="s">
        <v>148</v>
      </c>
      <c r="B37" s="625" t="s">
        <v>416</v>
      </c>
      <c r="C37" s="625"/>
      <c r="D37" s="625"/>
      <c r="E37" s="625"/>
      <c r="F37" s="625"/>
      <c r="G37" s="625"/>
      <c r="H37" s="625"/>
      <c r="I37" s="625"/>
      <c r="J37" s="625"/>
      <c r="K37" s="625"/>
    </row>
    <row r="38" spans="1:11" ht="23.25" customHeight="1">
      <c r="A38" s="233" t="s">
        <v>121</v>
      </c>
      <c r="B38" s="46">
        <f>C38+F38+I38</f>
        <v>1522000</v>
      </c>
      <c r="C38" s="44">
        <f>D38+E38</f>
        <v>0</v>
      </c>
      <c r="D38" s="44"/>
      <c r="E38" s="44">
        <v>0</v>
      </c>
      <c r="F38" s="44">
        <f>G38+H38</f>
        <v>813800.00000000012</v>
      </c>
      <c r="G38" s="45">
        <f>'Додаток 3'!J21*1000</f>
        <v>813800.00000000012</v>
      </c>
      <c r="H38" s="44">
        <v>0</v>
      </c>
      <c r="I38" s="44">
        <f>J38+K38</f>
        <v>708200</v>
      </c>
      <c r="J38" s="45">
        <f>'Додаток 3'!K21*1000</f>
        <v>708200</v>
      </c>
      <c r="K38" s="43">
        <v>0</v>
      </c>
    </row>
    <row r="39" spans="1:11" ht="23.25" customHeight="1">
      <c r="A39" s="233" t="s">
        <v>287</v>
      </c>
      <c r="B39" s="46"/>
      <c r="C39" s="44"/>
      <c r="D39" s="44"/>
      <c r="E39" s="44"/>
      <c r="F39" s="45"/>
      <c r="G39" s="45"/>
      <c r="H39" s="44"/>
      <c r="I39" s="45"/>
      <c r="J39" s="45"/>
      <c r="K39" s="43"/>
    </row>
    <row r="40" spans="1:11" ht="44.25" customHeight="1">
      <c r="A40" s="210" t="s">
        <v>446</v>
      </c>
      <c r="B40" s="46"/>
      <c r="C40" s="44"/>
      <c r="D40" s="44"/>
      <c r="E40" s="44"/>
      <c r="F40" s="62">
        <v>4</v>
      </c>
      <c r="G40" s="62">
        <v>4</v>
      </c>
      <c r="H40" s="44"/>
      <c r="I40" s="62">
        <v>4</v>
      </c>
      <c r="J40" s="62">
        <v>4</v>
      </c>
      <c r="K40" s="43"/>
    </row>
    <row r="41" spans="1:11" ht="56.25" customHeight="1">
      <c r="A41" s="210" t="s">
        <v>447</v>
      </c>
      <c r="B41" s="46"/>
      <c r="C41" s="44"/>
      <c r="D41" s="44"/>
      <c r="E41" s="44"/>
      <c r="F41" s="62">
        <v>26</v>
      </c>
      <c r="G41" s="62">
        <v>26</v>
      </c>
      <c r="H41" s="44"/>
      <c r="I41" s="62">
        <v>26</v>
      </c>
      <c r="J41" s="62">
        <v>26</v>
      </c>
      <c r="K41" s="43"/>
    </row>
    <row r="42" spans="1:11" ht="23.25" customHeight="1">
      <c r="A42" s="233" t="s">
        <v>286</v>
      </c>
      <c r="B42" s="46"/>
      <c r="C42" s="44"/>
      <c r="D42" s="44"/>
      <c r="E42" s="44"/>
      <c r="F42" s="62"/>
      <c r="G42" s="62"/>
      <c r="H42" s="44"/>
      <c r="I42" s="62"/>
      <c r="J42" s="62"/>
      <c r="K42" s="43"/>
    </row>
    <row r="43" spans="1:11" ht="23.25" customHeight="1">
      <c r="A43" s="215" t="s">
        <v>448</v>
      </c>
      <c r="B43" s="46"/>
      <c r="C43" s="44"/>
      <c r="D43" s="44"/>
      <c r="E43" s="44"/>
      <c r="F43" s="211">
        <v>142500</v>
      </c>
      <c r="G43" s="62">
        <v>142500</v>
      </c>
      <c r="H43" s="44"/>
      <c r="I43" s="62">
        <v>116000</v>
      </c>
      <c r="J43" s="62">
        <v>116000</v>
      </c>
      <c r="K43" s="43"/>
    </row>
    <row r="44" spans="1:11" ht="23.25" customHeight="1">
      <c r="A44" s="215" t="s">
        <v>449</v>
      </c>
      <c r="B44" s="46"/>
      <c r="C44" s="44"/>
      <c r="D44" s="44"/>
      <c r="E44" s="44"/>
      <c r="F44" s="62">
        <v>7838.4615384615381</v>
      </c>
      <c r="G44" s="62">
        <v>7838</v>
      </c>
      <c r="H44" s="44"/>
      <c r="I44" s="62">
        <v>7838.4615384615381</v>
      </c>
      <c r="J44" s="62">
        <v>7838</v>
      </c>
      <c r="K44" s="43"/>
    </row>
    <row r="45" spans="1:11" ht="23.25" customHeight="1">
      <c r="A45" s="200" t="s">
        <v>444</v>
      </c>
      <c r="B45" s="621" t="s">
        <v>478</v>
      </c>
      <c r="C45" s="622"/>
      <c r="D45" s="622"/>
      <c r="E45" s="622"/>
      <c r="F45" s="622"/>
      <c r="G45" s="622"/>
      <c r="H45" s="622"/>
      <c r="I45" s="622"/>
      <c r="J45" s="622"/>
      <c r="K45" s="623"/>
    </row>
    <row r="46" spans="1:11" ht="23.25" customHeight="1">
      <c r="A46" s="192" t="s">
        <v>161</v>
      </c>
      <c r="B46" s="612" t="s">
        <v>162</v>
      </c>
      <c r="C46" s="613"/>
      <c r="D46" s="613"/>
      <c r="E46" s="613"/>
      <c r="F46" s="613"/>
      <c r="G46" s="613"/>
      <c r="H46" s="613"/>
      <c r="I46" s="613"/>
      <c r="J46" s="613"/>
      <c r="K46" s="614"/>
    </row>
    <row r="47" spans="1:11" ht="23.25" customHeight="1">
      <c r="A47" s="233" t="s">
        <v>121</v>
      </c>
      <c r="B47" s="232">
        <f>C47+F47+I47</f>
        <v>101300</v>
      </c>
      <c r="C47" s="232">
        <f>D47</f>
        <v>0</v>
      </c>
      <c r="D47" s="232"/>
      <c r="E47" s="232"/>
      <c r="F47" s="232">
        <f>G47</f>
        <v>101300</v>
      </c>
      <c r="G47" s="232">
        <f>'Додаток 3'!J24*1000</f>
        <v>101300</v>
      </c>
      <c r="H47" s="232"/>
      <c r="I47" s="232">
        <f>J47</f>
        <v>0</v>
      </c>
      <c r="J47" s="232"/>
      <c r="K47" s="232"/>
    </row>
    <row r="48" spans="1:11" ht="23.25" customHeight="1">
      <c r="A48" s="212" t="s">
        <v>123</v>
      </c>
      <c r="B48" s="232"/>
      <c r="C48" s="44"/>
      <c r="D48" s="44"/>
      <c r="E48" s="44"/>
      <c r="F48" s="232"/>
      <c r="G48" s="62"/>
      <c r="H48" s="44"/>
      <c r="I48" s="62"/>
      <c r="J48" s="62"/>
      <c r="K48" s="43"/>
    </row>
    <row r="49" spans="1:11" ht="23.25" customHeight="1">
      <c r="A49" s="219" t="s">
        <v>480</v>
      </c>
      <c r="B49" s="232"/>
      <c r="C49" s="44"/>
      <c r="D49" s="44"/>
      <c r="E49" s="44"/>
      <c r="F49" s="232">
        <f t="shared" ref="F49:F52" si="1">G49</f>
        <v>5064</v>
      </c>
      <c r="G49" s="222">
        <v>5064</v>
      </c>
      <c r="H49" s="44"/>
      <c r="I49" s="62"/>
      <c r="J49" s="62"/>
      <c r="K49" s="43"/>
    </row>
    <row r="50" spans="1:11" ht="23.25" customHeight="1">
      <c r="A50" s="219" t="s">
        <v>454</v>
      </c>
      <c r="B50" s="232"/>
      <c r="C50" s="44"/>
      <c r="D50" s="44"/>
      <c r="E50" s="44"/>
      <c r="F50" s="232">
        <f t="shared" si="1"/>
        <v>1688</v>
      </c>
      <c r="G50" s="218">
        <v>1688</v>
      </c>
      <c r="H50" s="44"/>
      <c r="I50" s="62"/>
      <c r="J50" s="62"/>
      <c r="K50" s="43"/>
    </row>
    <row r="51" spans="1:11" ht="23.25" customHeight="1">
      <c r="A51" s="212" t="s">
        <v>124</v>
      </c>
      <c r="B51" s="232"/>
      <c r="C51" s="44"/>
      <c r="D51" s="44"/>
      <c r="E51" s="44"/>
      <c r="F51" s="232"/>
      <c r="G51" s="62"/>
      <c r="H51" s="44"/>
      <c r="I51" s="62"/>
      <c r="J51" s="62"/>
      <c r="K51" s="43"/>
    </row>
    <row r="52" spans="1:11" ht="23.25" customHeight="1">
      <c r="A52" s="223" t="s">
        <v>455</v>
      </c>
      <c r="B52" s="232"/>
      <c r="C52" s="44"/>
      <c r="D52" s="44"/>
      <c r="E52" s="44"/>
      <c r="F52" s="232">
        <f t="shared" si="1"/>
        <v>60.011848341232231</v>
      </c>
      <c r="G52" s="62">
        <f>G47/G50</f>
        <v>60.011848341232231</v>
      </c>
      <c r="H52" s="44"/>
      <c r="I52" s="62"/>
      <c r="J52" s="62"/>
      <c r="K52" s="43"/>
    </row>
    <row r="53" spans="1:11" ht="23.25">
      <c r="A53" s="53" t="s">
        <v>116</v>
      </c>
      <c r="B53" s="624" t="s">
        <v>291</v>
      </c>
      <c r="C53" s="624"/>
      <c r="D53" s="624"/>
      <c r="E53" s="624"/>
      <c r="F53" s="624"/>
      <c r="G53" s="624"/>
      <c r="H53" s="624"/>
      <c r="I53" s="624"/>
      <c r="J53" s="624"/>
      <c r="K53" s="624"/>
    </row>
    <row r="54" spans="1:11" ht="22.5">
      <c r="A54" s="192" t="s">
        <v>119</v>
      </c>
      <c r="B54" s="625" t="s">
        <v>120</v>
      </c>
      <c r="C54" s="625"/>
      <c r="D54" s="625"/>
      <c r="E54" s="625"/>
      <c r="F54" s="625"/>
      <c r="G54" s="625"/>
      <c r="H54" s="625"/>
      <c r="I54" s="625"/>
      <c r="J54" s="625"/>
      <c r="K54" s="625"/>
    </row>
    <row r="55" spans="1:11" ht="22.5">
      <c r="A55" s="233" t="s">
        <v>121</v>
      </c>
      <c r="B55" s="42">
        <f>C55+F55+I55</f>
        <v>73786530</v>
      </c>
      <c r="C55" s="43">
        <f>D55+E55</f>
        <v>72386530</v>
      </c>
      <c r="D55" s="43">
        <f>'Додаток 3'!I30*1000</f>
        <v>72386530</v>
      </c>
      <c r="E55" s="43">
        <v>0</v>
      </c>
      <c r="F55" s="43">
        <f>G55+H55</f>
        <v>1400000</v>
      </c>
      <c r="G55" s="43">
        <f>'Додаток 3'!J30*1000</f>
        <v>1400000</v>
      </c>
      <c r="H55" s="43">
        <v>0</v>
      </c>
      <c r="I55" s="43">
        <v>0</v>
      </c>
      <c r="J55" s="43">
        <v>0</v>
      </c>
      <c r="K55" s="43">
        <v>0</v>
      </c>
    </row>
    <row r="56" spans="1:11" ht="23.25">
      <c r="A56" s="233" t="s">
        <v>364</v>
      </c>
      <c r="B56" s="42"/>
      <c r="C56" s="44">
        <v>4</v>
      </c>
      <c r="D56" s="44">
        <v>4</v>
      </c>
      <c r="E56" s="43"/>
      <c r="F56" s="44">
        <v>4</v>
      </c>
      <c r="G56" s="44">
        <v>4</v>
      </c>
      <c r="H56" s="44"/>
      <c r="I56" s="44"/>
      <c r="J56" s="43"/>
      <c r="K56" s="43"/>
    </row>
    <row r="57" spans="1:11" ht="46.5">
      <c r="A57" s="233" t="s">
        <v>365</v>
      </c>
      <c r="B57" s="46"/>
      <c r="C57" s="44">
        <f>C55/C56</f>
        <v>18096632.5</v>
      </c>
      <c r="D57" s="44">
        <f>D55/D56</f>
        <v>18096632.5</v>
      </c>
      <c r="E57" s="44"/>
      <c r="F57" s="44">
        <f>F55/F56</f>
        <v>350000</v>
      </c>
      <c r="G57" s="44">
        <f>G55/G56</f>
        <v>350000</v>
      </c>
      <c r="H57" s="44"/>
      <c r="I57" s="44"/>
      <c r="J57" s="44"/>
      <c r="K57" s="43"/>
    </row>
    <row r="58" spans="1:11" ht="23.25">
      <c r="A58" s="53" t="s">
        <v>116</v>
      </c>
      <c r="B58" s="624" t="s">
        <v>292</v>
      </c>
      <c r="C58" s="624"/>
      <c r="D58" s="624"/>
      <c r="E58" s="624"/>
      <c r="F58" s="624"/>
      <c r="G58" s="624"/>
      <c r="H58" s="624"/>
      <c r="I58" s="624"/>
      <c r="J58" s="624"/>
      <c r="K58" s="624"/>
    </row>
    <row r="59" spans="1:11" ht="22.5">
      <c r="A59" s="192" t="s">
        <v>119</v>
      </c>
      <c r="B59" s="625" t="s">
        <v>120</v>
      </c>
      <c r="C59" s="625"/>
      <c r="D59" s="625"/>
      <c r="E59" s="625"/>
      <c r="F59" s="625"/>
      <c r="G59" s="625"/>
      <c r="H59" s="625"/>
      <c r="I59" s="625"/>
      <c r="J59" s="625"/>
      <c r="K59" s="625"/>
    </row>
    <row r="60" spans="1:11" ht="22.5">
      <c r="A60" s="233" t="s">
        <v>121</v>
      </c>
      <c r="B60" s="42">
        <f>C60+F60+I60</f>
        <v>54849512</v>
      </c>
      <c r="C60" s="43">
        <f>D60+E60</f>
        <v>18275899.999999996</v>
      </c>
      <c r="D60" s="43">
        <f>'Додаток 3'!I43*1000</f>
        <v>18275899.999999996</v>
      </c>
      <c r="E60" s="43">
        <v>0</v>
      </c>
      <c r="F60" s="43">
        <f>G60+H60</f>
        <v>17583480</v>
      </c>
      <c r="G60" s="43">
        <f>'Додаток 3'!J43*1000</f>
        <v>17583480</v>
      </c>
      <c r="H60" s="43">
        <v>0</v>
      </c>
      <c r="I60" s="43">
        <f>J60</f>
        <v>18990131.999999996</v>
      </c>
      <c r="J60" s="43">
        <f>'Додаток 3'!K43*1000</f>
        <v>18990131.999999996</v>
      </c>
      <c r="K60" s="43">
        <v>0</v>
      </c>
    </row>
    <row r="61" spans="1:11" ht="23.25">
      <c r="A61" s="233" t="s">
        <v>364</v>
      </c>
      <c r="B61" s="42"/>
      <c r="C61" s="44">
        <v>4</v>
      </c>
      <c r="D61" s="44">
        <v>4</v>
      </c>
      <c r="E61" s="43"/>
      <c r="F61" s="44">
        <v>4</v>
      </c>
      <c r="G61" s="44">
        <v>4</v>
      </c>
      <c r="H61" s="44"/>
      <c r="I61" s="44">
        <v>4</v>
      </c>
      <c r="J61" s="44">
        <v>4</v>
      </c>
      <c r="K61" s="43"/>
    </row>
    <row r="62" spans="1:11" ht="46.5">
      <c r="A62" s="233" t="s">
        <v>365</v>
      </c>
      <c r="B62" s="46"/>
      <c r="C62" s="44">
        <f>C60/C61</f>
        <v>4568974.9999999991</v>
      </c>
      <c r="D62" s="44">
        <f>D60/D61</f>
        <v>4568974.9999999991</v>
      </c>
      <c r="E62" s="44"/>
      <c r="F62" s="44">
        <f>G60/F61</f>
        <v>4395870</v>
      </c>
      <c r="G62" s="44">
        <f>H60/G61</f>
        <v>0</v>
      </c>
      <c r="H62" s="44"/>
      <c r="I62" s="44">
        <f>J60/I61</f>
        <v>4747532.9999999991</v>
      </c>
      <c r="J62" s="44">
        <f>K60/J61</f>
        <v>0</v>
      </c>
      <c r="K62" s="43"/>
    </row>
    <row r="63" spans="1:11" ht="23.25">
      <c r="A63" s="53" t="s">
        <v>116</v>
      </c>
      <c r="B63" s="624" t="s">
        <v>293</v>
      </c>
      <c r="C63" s="624"/>
      <c r="D63" s="624"/>
      <c r="E63" s="624"/>
      <c r="F63" s="624"/>
      <c r="G63" s="624"/>
      <c r="H63" s="624"/>
      <c r="I63" s="624"/>
      <c r="J63" s="624"/>
      <c r="K63" s="624"/>
    </row>
    <row r="64" spans="1:11" ht="22.5">
      <c r="A64" s="192" t="s">
        <v>119</v>
      </c>
      <c r="B64" s="625" t="s">
        <v>120</v>
      </c>
      <c r="C64" s="625"/>
      <c r="D64" s="625"/>
      <c r="E64" s="625"/>
      <c r="F64" s="625"/>
      <c r="G64" s="625"/>
      <c r="H64" s="625"/>
      <c r="I64" s="625"/>
      <c r="J64" s="625"/>
      <c r="K64" s="625"/>
    </row>
    <row r="65" spans="1:11" ht="22.5">
      <c r="A65" s="233" t="s">
        <v>121</v>
      </c>
      <c r="B65" s="42">
        <f>C65+F65+I65</f>
        <v>9972655</v>
      </c>
      <c r="C65" s="43">
        <f>D65+E65</f>
        <v>4584213</v>
      </c>
      <c r="D65" s="43">
        <f>'Додаток 3'!I48*1000</f>
        <v>4584213</v>
      </c>
      <c r="E65" s="43">
        <v>0</v>
      </c>
      <c r="F65" s="43">
        <f>G65+H65</f>
        <v>2606900</v>
      </c>
      <c r="G65" s="43">
        <f>'Додаток 3'!J48*1000</f>
        <v>2606900</v>
      </c>
      <c r="H65" s="43">
        <v>0</v>
      </c>
      <c r="I65" s="43">
        <f>J65+K65</f>
        <v>2781542</v>
      </c>
      <c r="J65" s="43">
        <f>'Додаток 3'!K48*1000</f>
        <v>2781542</v>
      </c>
      <c r="K65" s="43">
        <v>0</v>
      </c>
    </row>
    <row r="66" spans="1:11" ht="51" customHeight="1">
      <c r="A66" s="233" t="s">
        <v>482</v>
      </c>
      <c r="B66" s="42"/>
      <c r="C66" s="44">
        <v>439112</v>
      </c>
      <c r="D66" s="44">
        <v>439112</v>
      </c>
      <c r="E66" s="43"/>
      <c r="F66" s="44">
        <v>352641</v>
      </c>
      <c r="G66" s="44">
        <v>352641</v>
      </c>
      <c r="H66" s="44"/>
      <c r="I66" s="44">
        <v>352641</v>
      </c>
      <c r="J66" s="44">
        <v>352641</v>
      </c>
      <c r="K66" s="43"/>
    </row>
    <row r="67" spans="1:11" ht="51" customHeight="1">
      <c r="A67" s="233" t="s">
        <v>391</v>
      </c>
      <c r="B67" s="46"/>
      <c r="C67" s="44">
        <f>C65/C66</f>
        <v>10.43973519284374</v>
      </c>
      <c r="D67" s="44">
        <f>D65/D66</f>
        <v>10.43973519284374</v>
      </c>
      <c r="E67" s="44"/>
      <c r="F67" s="44">
        <f>F65/F66</f>
        <v>7.3925039913112771</v>
      </c>
      <c r="G67" s="44">
        <f>G65/G66</f>
        <v>7.3925039913112771</v>
      </c>
      <c r="H67" s="44"/>
      <c r="I67" s="44">
        <f>I65/I66</f>
        <v>7.8877441931029004</v>
      </c>
      <c r="J67" s="44">
        <f>J65/J66</f>
        <v>7.8877441931029004</v>
      </c>
      <c r="K67" s="43"/>
    </row>
    <row r="68" spans="1:11" ht="23.25">
      <c r="A68" s="53" t="s">
        <v>116</v>
      </c>
      <c r="B68" s="624" t="s">
        <v>52</v>
      </c>
      <c r="C68" s="624"/>
      <c r="D68" s="624"/>
      <c r="E68" s="624"/>
      <c r="F68" s="624"/>
      <c r="G68" s="624"/>
      <c r="H68" s="624"/>
      <c r="I68" s="624"/>
      <c r="J68" s="624"/>
      <c r="K68" s="624"/>
    </row>
    <row r="69" spans="1:11" ht="22.5">
      <c r="A69" s="192" t="s">
        <v>119</v>
      </c>
      <c r="B69" s="625" t="s">
        <v>120</v>
      </c>
      <c r="C69" s="625"/>
      <c r="D69" s="625"/>
      <c r="E69" s="625"/>
      <c r="F69" s="625"/>
      <c r="G69" s="625"/>
      <c r="H69" s="625"/>
      <c r="I69" s="625"/>
      <c r="J69" s="625"/>
      <c r="K69" s="625"/>
    </row>
    <row r="70" spans="1:11" ht="22.5">
      <c r="A70" s="233" t="s">
        <v>121</v>
      </c>
      <c r="B70" s="42">
        <f>C70+F70+I70</f>
        <v>1307300</v>
      </c>
      <c r="C70" s="43">
        <f>D70+E70</f>
        <v>690000</v>
      </c>
      <c r="D70" s="43">
        <f>'Додаток 3'!I54*1000</f>
        <v>690000</v>
      </c>
      <c r="E70" s="43">
        <v>0</v>
      </c>
      <c r="F70" s="43">
        <f>G70+H70</f>
        <v>300000</v>
      </c>
      <c r="G70" s="43">
        <f>'Додаток 3'!J54*1000</f>
        <v>300000</v>
      </c>
      <c r="H70" s="43">
        <v>0</v>
      </c>
      <c r="I70" s="43">
        <f>J70+K70</f>
        <v>317300</v>
      </c>
      <c r="J70" s="43">
        <f>'Додаток 3'!K54*1000</f>
        <v>317300</v>
      </c>
      <c r="K70" s="43">
        <v>0</v>
      </c>
    </row>
    <row r="71" spans="1:11" ht="24" customHeight="1">
      <c r="A71" s="233" t="s">
        <v>287</v>
      </c>
      <c r="B71" s="42"/>
      <c r="C71" s="44"/>
      <c r="D71" s="43"/>
      <c r="E71" s="43"/>
      <c r="F71" s="44"/>
      <c r="G71" s="44"/>
      <c r="H71" s="44"/>
      <c r="I71" s="44"/>
      <c r="J71" s="43"/>
      <c r="K71" s="43"/>
    </row>
    <row r="72" spans="1:11" ht="24" customHeight="1">
      <c r="A72" s="54" t="s">
        <v>484</v>
      </c>
      <c r="B72" s="42"/>
      <c r="C72" s="44">
        <v>170</v>
      </c>
      <c r="D72" s="44">
        <v>170</v>
      </c>
      <c r="E72" s="43"/>
      <c r="F72" s="44">
        <v>170</v>
      </c>
      <c r="G72" s="44">
        <v>170</v>
      </c>
      <c r="H72" s="44"/>
      <c r="I72" s="44">
        <v>170</v>
      </c>
      <c r="J72" s="44">
        <v>170</v>
      </c>
      <c r="K72" s="43"/>
    </row>
    <row r="73" spans="1:11" ht="24" customHeight="1">
      <c r="A73" s="54" t="s">
        <v>483</v>
      </c>
      <c r="B73" s="42"/>
      <c r="C73" s="44">
        <v>170</v>
      </c>
      <c r="D73" s="44">
        <v>170</v>
      </c>
      <c r="E73" s="43"/>
      <c r="F73" s="44">
        <v>170</v>
      </c>
      <c r="G73" s="44">
        <v>170</v>
      </c>
      <c r="H73" s="44"/>
      <c r="I73" s="44">
        <v>170</v>
      </c>
      <c r="J73" s="44">
        <v>170</v>
      </c>
      <c r="K73" s="43"/>
    </row>
    <row r="74" spans="1:11" ht="23.25">
      <c r="A74" s="233" t="s">
        <v>286</v>
      </c>
      <c r="B74" s="46"/>
      <c r="C74" s="44"/>
      <c r="D74" s="44"/>
      <c r="E74" s="44"/>
      <c r="F74" s="44"/>
      <c r="G74" s="44"/>
      <c r="H74" s="44"/>
      <c r="I74" s="44"/>
      <c r="J74" s="44"/>
      <c r="K74" s="43"/>
    </row>
    <row r="75" spans="1:11" ht="46.5">
      <c r="A75" s="54" t="s">
        <v>294</v>
      </c>
      <c r="B75" s="46"/>
      <c r="C75" s="44">
        <f>C70/C72</f>
        <v>4058.8235294117649</v>
      </c>
      <c r="D75" s="44">
        <f>D70/D72</f>
        <v>4058.8235294117649</v>
      </c>
      <c r="E75" s="44"/>
      <c r="F75" s="44">
        <f>F70/F72</f>
        <v>1764.7058823529412</v>
      </c>
      <c r="G75" s="44">
        <f>G70/G72</f>
        <v>1764.7058823529412</v>
      </c>
      <c r="H75" s="44"/>
      <c r="I75" s="44">
        <f>I70/I72</f>
        <v>1866.4705882352941</v>
      </c>
      <c r="J75" s="44">
        <f>J70/J72</f>
        <v>1866.4705882352941</v>
      </c>
      <c r="K75" s="43"/>
    </row>
    <row r="76" spans="1:11" ht="23.25" customHeight="1">
      <c r="A76" s="54" t="s">
        <v>295</v>
      </c>
      <c r="B76" s="46"/>
      <c r="C76" s="44">
        <f>C73/C72*100</f>
        <v>100</v>
      </c>
      <c r="D76" s="44">
        <f>D73/D72*100</f>
        <v>100</v>
      </c>
      <c r="E76" s="44"/>
      <c r="F76" s="44">
        <f>F73/F72*100</f>
        <v>100</v>
      </c>
      <c r="G76" s="44">
        <f>G73/G72*100</f>
        <v>100</v>
      </c>
      <c r="H76" s="44"/>
      <c r="I76" s="44">
        <f>I73/I72*100</f>
        <v>100</v>
      </c>
      <c r="J76" s="44">
        <f>J73/J72*100</f>
        <v>100</v>
      </c>
      <c r="K76" s="43"/>
    </row>
    <row r="77" spans="1:11" ht="23.25">
      <c r="A77" s="53" t="s">
        <v>116</v>
      </c>
      <c r="B77" s="624" t="s">
        <v>53</v>
      </c>
      <c r="C77" s="624"/>
      <c r="D77" s="624"/>
      <c r="E77" s="624"/>
      <c r="F77" s="624"/>
      <c r="G77" s="624"/>
      <c r="H77" s="624"/>
      <c r="I77" s="624"/>
      <c r="J77" s="624"/>
      <c r="K77" s="624"/>
    </row>
    <row r="78" spans="1:11" ht="22.5">
      <c r="A78" s="192" t="s">
        <v>119</v>
      </c>
      <c r="B78" s="625" t="s">
        <v>120</v>
      </c>
      <c r="C78" s="625"/>
      <c r="D78" s="625"/>
      <c r="E78" s="625"/>
      <c r="F78" s="625"/>
      <c r="G78" s="625"/>
      <c r="H78" s="625"/>
      <c r="I78" s="625"/>
      <c r="J78" s="625"/>
      <c r="K78" s="625"/>
    </row>
    <row r="79" spans="1:11" ht="22.5">
      <c r="A79" s="233" t="s">
        <v>121</v>
      </c>
      <c r="B79" s="42">
        <f>C79+F79+I79</f>
        <v>1200000</v>
      </c>
      <c r="C79" s="43">
        <f>D79+E79</f>
        <v>1200000</v>
      </c>
      <c r="D79" s="43">
        <f>'Додаток 3'!I55*1000</f>
        <v>1200000</v>
      </c>
      <c r="E79" s="43">
        <v>0</v>
      </c>
      <c r="F79" s="43">
        <f>G79+H79</f>
        <v>0</v>
      </c>
      <c r="G79" s="43">
        <f>'Додаток 3'!J55*1000</f>
        <v>0</v>
      </c>
      <c r="H79" s="43">
        <v>0</v>
      </c>
      <c r="I79" s="43">
        <f>J79+K79</f>
        <v>0</v>
      </c>
      <c r="J79" s="43">
        <f>'Додаток 3'!K55*1000</f>
        <v>0</v>
      </c>
      <c r="K79" s="43">
        <v>0</v>
      </c>
    </row>
    <row r="80" spans="1:11" ht="22.5" customHeight="1">
      <c r="A80" s="55" t="s">
        <v>132</v>
      </c>
      <c r="B80" s="42"/>
      <c r="C80" s="43">
        <v>200000</v>
      </c>
      <c r="D80" s="43">
        <v>200000</v>
      </c>
      <c r="E80" s="43"/>
      <c r="F80" s="43"/>
      <c r="G80" s="43"/>
      <c r="H80" s="43"/>
      <c r="I80" s="43"/>
      <c r="J80" s="43"/>
      <c r="K80" s="43"/>
    </row>
    <row r="81" spans="1:11" ht="46.5">
      <c r="A81" s="55" t="s">
        <v>133</v>
      </c>
      <c r="B81" s="42"/>
      <c r="C81" s="43">
        <v>1000000</v>
      </c>
      <c r="D81" s="43">
        <v>1000000</v>
      </c>
      <c r="E81" s="43"/>
      <c r="F81" s="43"/>
      <c r="G81" s="43"/>
      <c r="H81" s="43"/>
      <c r="I81" s="43"/>
      <c r="J81" s="43"/>
      <c r="K81" s="43"/>
    </row>
    <row r="82" spans="1:11" ht="24" customHeight="1">
      <c r="A82" s="233" t="s">
        <v>287</v>
      </c>
      <c r="B82" s="42"/>
      <c r="C82" s="44"/>
      <c r="D82" s="43"/>
      <c r="E82" s="43"/>
      <c r="F82" s="44"/>
      <c r="G82" s="44"/>
      <c r="H82" s="44"/>
      <c r="I82" s="44"/>
      <c r="J82" s="43"/>
      <c r="K82" s="43"/>
    </row>
    <row r="83" spans="1:11" ht="46.5">
      <c r="A83" s="55" t="s">
        <v>134</v>
      </c>
      <c r="B83" s="46"/>
      <c r="C83" s="193">
        <v>30</v>
      </c>
      <c r="D83" s="193">
        <v>30</v>
      </c>
      <c r="E83" s="44"/>
      <c r="F83" s="193"/>
      <c r="G83" s="44"/>
      <c r="H83" s="44"/>
      <c r="I83" s="193"/>
      <c r="J83" s="44"/>
      <c r="K83" s="43"/>
    </row>
    <row r="84" spans="1:11" ht="46.5">
      <c r="A84" s="55" t="s">
        <v>135</v>
      </c>
      <c r="B84" s="46"/>
      <c r="C84" s="193">
        <v>170</v>
      </c>
      <c r="D84" s="193">
        <v>170</v>
      </c>
      <c r="E84" s="44"/>
      <c r="F84" s="193"/>
      <c r="G84" s="44"/>
      <c r="H84" s="44"/>
      <c r="I84" s="193"/>
      <c r="J84" s="44"/>
      <c r="K84" s="43"/>
    </row>
    <row r="85" spans="1:11" ht="23.25" customHeight="1">
      <c r="A85" s="55" t="s">
        <v>136</v>
      </c>
      <c r="B85" s="46"/>
      <c r="C85" s="193">
        <v>30</v>
      </c>
      <c r="D85" s="193">
        <v>30</v>
      </c>
      <c r="E85" s="44"/>
      <c r="F85" s="193"/>
      <c r="G85" s="44"/>
      <c r="H85" s="44"/>
      <c r="I85" s="193"/>
      <c r="J85" s="44"/>
      <c r="K85" s="43"/>
    </row>
    <row r="86" spans="1:11" ht="46.5">
      <c r="A86" s="55" t="s">
        <v>137</v>
      </c>
      <c r="B86" s="46"/>
      <c r="C86" s="193">
        <v>55</v>
      </c>
      <c r="D86" s="193">
        <v>55</v>
      </c>
      <c r="E86" s="44"/>
      <c r="F86" s="193"/>
      <c r="G86" s="44"/>
      <c r="H86" s="44"/>
      <c r="I86" s="193"/>
      <c r="J86" s="44"/>
      <c r="K86" s="43"/>
    </row>
    <row r="87" spans="1:11" ht="23.25">
      <c r="A87" s="233" t="s">
        <v>124</v>
      </c>
      <c r="B87" s="46"/>
      <c r="C87" s="44"/>
      <c r="D87" s="44"/>
      <c r="E87" s="44"/>
      <c r="F87" s="44"/>
      <c r="G87" s="44"/>
      <c r="H87" s="44"/>
      <c r="I87" s="44"/>
      <c r="J87" s="44"/>
      <c r="K87" s="43"/>
    </row>
    <row r="88" spans="1:11" ht="23.25">
      <c r="A88" s="55" t="s">
        <v>138</v>
      </c>
      <c r="B88" s="46"/>
      <c r="C88" s="44">
        <f>C80/C83</f>
        <v>6666.666666666667</v>
      </c>
      <c r="D88" s="44">
        <f>D80/D83</f>
        <v>6666.666666666667</v>
      </c>
      <c r="E88" s="44"/>
      <c r="F88" s="44"/>
      <c r="G88" s="44"/>
      <c r="H88" s="44"/>
      <c r="I88" s="44"/>
      <c r="J88" s="44"/>
      <c r="K88" s="43"/>
    </row>
    <row r="89" spans="1:11" ht="46.5">
      <c r="A89" s="55" t="s">
        <v>139</v>
      </c>
      <c r="B89" s="46"/>
      <c r="C89" s="44">
        <f>C81/C86</f>
        <v>18181.81818181818</v>
      </c>
      <c r="D89" s="44">
        <f>D81/D86</f>
        <v>18181.81818181818</v>
      </c>
      <c r="E89" s="44"/>
      <c r="F89" s="44"/>
      <c r="G89" s="44"/>
      <c r="H89" s="44"/>
      <c r="I89" s="44"/>
      <c r="J89" s="44"/>
      <c r="K89" s="43"/>
    </row>
    <row r="90" spans="1:11" ht="46.5">
      <c r="A90" s="55" t="s">
        <v>140</v>
      </c>
      <c r="B90" s="46"/>
      <c r="C90" s="44">
        <f>C85/C83*100</f>
        <v>100</v>
      </c>
      <c r="D90" s="44">
        <f>D85/D83*100</f>
        <v>100</v>
      </c>
      <c r="E90" s="44"/>
      <c r="F90" s="44"/>
      <c r="G90" s="44"/>
      <c r="H90" s="44"/>
      <c r="I90" s="44"/>
      <c r="J90" s="44"/>
      <c r="K90" s="43"/>
    </row>
    <row r="91" spans="1:11" ht="46.5">
      <c r="A91" s="55" t="s">
        <v>141</v>
      </c>
      <c r="B91" s="46"/>
      <c r="C91" s="44">
        <f>C86/C84*100</f>
        <v>32.352941176470587</v>
      </c>
      <c r="D91" s="44">
        <f>D86/D84*100</f>
        <v>32.352941176470587</v>
      </c>
      <c r="E91" s="44"/>
      <c r="F91" s="44"/>
      <c r="G91" s="44"/>
      <c r="H91" s="44"/>
      <c r="I91" s="44"/>
      <c r="J91" s="44"/>
      <c r="K91" s="43"/>
    </row>
    <row r="92" spans="1:11" ht="23.25">
      <c r="A92" s="53" t="s">
        <v>116</v>
      </c>
      <c r="B92" s="624" t="s">
        <v>366</v>
      </c>
      <c r="C92" s="624"/>
      <c r="D92" s="624"/>
      <c r="E92" s="624"/>
      <c r="F92" s="624"/>
      <c r="G92" s="624"/>
      <c r="H92" s="624"/>
      <c r="I92" s="624"/>
      <c r="J92" s="624"/>
      <c r="K92" s="624"/>
    </row>
    <row r="93" spans="1:11" ht="22.5">
      <c r="A93" s="192" t="s">
        <v>119</v>
      </c>
      <c r="B93" s="625" t="s">
        <v>120</v>
      </c>
      <c r="C93" s="625"/>
      <c r="D93" s="625"/>
      <c r="E93" s="625"/>
      <c r="F93" s="625"/>
      <c r="G93" s="625"/>
      <c r="H93" s="625"/>
      <c r="I93" s="625"/>
      <c r="J93" s="625"/>
      <c r="K93" s="625"/>
    </row>
    <row r="94" spans="1:11" ht="22.5">
      <c r="A94" s="233" t="s">
        <v>121</v>
      </c>
      <c r="B94" s="42">
        <f>C94+F94+I94</f>
        <v>1300000</v>
      </c>
      <c r="C94" s="43">
        <f>D94+E94</f>
        <v>1000000</v>
      </c>
      <c r="D94" s="43">
        <f>'Додаток 3'!I56*1000</f>
        <v>1000000</v>
      </c>
      <c r="E94" s="43">
        <v>0</v>
      </c>
      <c r="F94" s="43">
        <f>G94+H94</f>
        <v>300000</v>
      </c>
      <c r="G94" s="43">
        <f>'Додаток 3'!J56*1000</f>
        <v>300000</v>
      </c>
      <c r="H94" s="43">
        <v>0</v>
      </c>
      <c r="I94" s="43">
        <f>J94+K94</f>
        <v>0</v>
      </c>
      <c r="J94" s="43">
        <f>'Додаток 3'!K56*1000</f>
        <v>0</v>
      </c>
      <c r="K94" s="43">
        <v>0</v>
      </c>
    </row>
    <row r="95" spans="1:11" ht="24" customHeight="1">
      <c r="A95" s="233" t="s">
        <v>287</v>
      </c>
      <c r="B95" s="42"/>
      <c r="C95" s="44"/>
      <c r="D95" s="43"/>
      <c r="E95" s="43"/>
      <c r="F95" s="44"/>
      <c r="G95" s="44"/>
      <c r="H95" s="44"/>
      <c r="I95" s="44"/>
      <c r="J95" s="43"/>
      <c r="K95" s="43"/>
    </row>
    <row r="96" spans="1:11" ht="46.5">
      <c r="A96" s="55" t="s">
        <v>142</v>
      </c>
      <c r="B96" s="46"/>
      <c r="C96" s="193">
        <v>750</v>
      </c>
      <c r="D96" s="193">
        <v>750</v>
      </c>
      <c r="E96" s="44"/>
      <c r="F96" s="193">
        <v>750</v>
      </c>
      <c r="G96" s="193">
        <v>750</v>
      </c>
      <c r="H96" s="44"/>
      <c r="I96" s="193"/>
      <c r="J96" s="44"/>
      <c r="K96" s="43"/>
    </row>
    <row r="97" spans="1:11" ht="23.25">
      <c r="A97" s="55" t="s">
        <v>143</v>
      </c>
      <c r="B97" s="46"/>
      <c r="C97" s="193">
        <v>37</v>
      </c>
      <c r="D97" s="193">
        <v>37</v>
      </c>
      <c r="E97" s="44"/>
      <c r="F97" s="193">
        <v>10</v>
      </c>
      <c r="G97" s="193">
        <v>10</v>
      </c>
      <c r="H97" s="44"/>
      <c r="I97" s="193"/>
      <c r="J97" s="44"/>
      <c r="K97" s="43"/>
    </row>
    <row r="98" spans="1:11" ht="23.25">
      <c r="A98" s="233" t="s">
        <v>124</v>
      </c>
      <c r="B98" s="46"/>
      <c r="C98" s="44"/>
      <c r="D98" s="44"/>
      <c r="E98" s="44"/>
      <c r="F98" s="44"/>
      <c r="G98" s="44"/>
      <c r="H98" s="44"/>
      <c r="I98" s="44"/>
      <c r="J98" s="44"/>
      <c r="K98" s="43"/>
    </row>
    <row r="99" spans="1:11" ht="26.25" customHeight="1">
      <c r="A99" s="55" t="s">
        <v>138</v>
      </c>
      <c r="B99" s="46"/>
      <c r="C99" s="44">
        <f>C94/C97</f>
        <v>27027.027027027027</v>
      </c>
      <c r="D99" s="44">
        <f>D94/D97</f>
        <v>27027.027027027027</v>
      </c>
      <c r="E99" s="44"/>
      <c r="F99" s="44">
        <f>F94/F97</f>
        <v>30000</v>
      </c>
      <c r="G99" s="44">
        <f>G94/G97</f>
        <v>30000</v>
      </c>
      <c r="H99" s="44"/>
      <c r="I99" s="44"/>
      <c r="J99" s="44"/>
      <c r="K99" s="43"/>
    </row>
    <row r="100" spans="1:11" ht="46.5">
      <c r="A100" s="55" t="s">
        <v>144</v>
      </c>
      <c r="B100" s="46"/>
      <c r="C100" s="44">
        <f>C97/C96*100</f>
        <v>4.9333333333333336</v>
      </c>
      <c r="D100" s="44">
        <f>D97/D96*100</f>
        <v>4.9333333333333336</v>
      </c>
      <c r="E100" s="44"/>
      <c r="F100" s="44">
        <f>F97/F96*100</f>
        <v>1.3333333333333335</v>
      </c>
      <c r="G100" s="44">
        <f>G97/G96*100</f>
        <v>1.3333333333333335</v>
      </c>
      <c r="H100" s="44"/>
      <c r="I100" s="44"/>
      <c r="J100" s="44"/>
      <c r="K100" s="43"/>
    </row>
    <row r="101" spans="1:11" ht="23.25">
      <c r="A101" s="53" t="s">
        <v>116</v>
      </c>
      <c r="B101" s="624" t="s">
        <v>390</v>
      </c>
      <c r="C101" s="624"/>
      <c r="D101" s="624"/>
      <c r="E101" s="624"/>
      <c r="F101" s="624"/>
      <c r="G101" s="624"/>
      <c r="H101" s="624"/>
      <c r="I101" s="624"/>
      <c r="J101" s="624"/>
      <c r="K101" s="624"/>
    </row>
    <row r="102" spans="1:11" ht="22.5">
      <c r="A102" s="192" t="s">
        <v>119</v>
      </c>
      <c r="B102" s="625" t="s">
        <v>120</v>
      </c>
      <c r="C102" s="625"/>
      <c r="D102" s="625"/>
      <c r="E102" s="625"/>
      <c r="F102" s="625"/>
      <c r="G102" s="625"/>
      <c r="H102" s="625"/>
      <c r="I102" s="625"/>
      <c r="J102" s="625"/>
      <c r="K102" s="625"/>
    </row>
    <row r="103" spans="1:11" ht="22.5">
      <c r="A103" s="233" t="s">
        <v>121</v>
      </c>
      <c r="B103" s="233">
        <f>C103+F103+I103</f>
        <v>3883000</v>
      </c>
      <c r="C103" s="43">
        <f>D103+E103</f>
        <v>3883000</v>
      </c>
      <c r="D103" s="43">
        <f>'Додаток 3'!I57*1000</f>
        <v>3883000</v>
      </c>
      <c r="E103" s="43">
        <v>0</v>
      </c>
      <c r="F103" s="43">
        <f>G103+H103</f>
        <v>0</v>
      </c>
      <c r="G103" s="43">
        <f>'Додаток 3'!J57*1000</f>
        <v>0</v>
      </c>
      <c r="H103" s="43">
        <v>0</v>
      </c>
      <c r="I103" s="43">
        <f>J103+K103</f>
        <v>0</v>
      </c>
      <c r="J103" s="43">
        <f>'Додаток 3'!K57*1000</f>
        <v>0</v>
      </c>
      <c r="K103" s="43">
        <v>0</v>
      </c>
    </row>
    <row r="104" spans="1:11" ht="24" customHeight="1">
      <c r="A104" s="233" t="s">
        <v>287</v>
      </c>
      <c r="B104" s="42"/>
      <c r="C104" s="44"/>
      <c r="D104" s="43"/>
      <c r="E104" s="43"/>
      <c r="F104" s="44"/>
      <c r="G104" s="44"/>
      <c r="H104" s="44"/>
      <c r="I104" s="44"/>
      <c r="J104" s="43"/>
      <c r="K104" s="43"/>
    </row>
    <row r="105" spans="1:11" ht="48.75" customHeight="1">
      <c r="A105" s="55" t="s">
        <v>145</v>
      </c>
      <c r="B105" s="46"/>
      <c r="C105" s="44">
        <v>70</v>
      </c>
      <c r="D105" s="44">
        <v>70</v>
      </c>
      <c r="E105" s="44"/>
      <c r="F105" s="44"/>
      <c r="G105" s="44"/>
      <c r="H105" s="44"/>
      <c r="I105" s="44"/>
      <c r="J105" s="44"/>
      <c r="K105" s="43"/>
    </row>
    <row r="106" spans="1:11" ht="47.25" customHeight="1">
      <c r="A106" s="55" t="s">
        <v>363</v>
      </c>
      <c r="B106" s="46"/>
      <c r="C106" s="193">
        <v>70</v>
      </c>
      <c r="D106" s="193">
        <v>70</v>
      </c>
      <c r="E106" s="44"/>
      <c r="F106" s="193"/>
      <c r="G106" s="44"/>
      <c r="H106" s="44"/>
      <c r="I106" s="193"/>
      <c r="J106" s="44"/>
      <c r="K106" s="43"/>
    </row>
    <row r="107" spans="1:11" ht="23.25">
      <c r="A107" s="233" t="s">
        <v>124</v>
      </c>
      <c r="B107" s="46"/>
      <c r="C107" s="44"/>
      <c r="D107" s="44"/>
      <c r="E107" s="44"/>
      <c r="F107" s="44"/>
      <c r="G107" s="44"/>
      <c r="H107" s="44"/>
      <c r="I107" s="44"/>
      <c r="J107" s="44"/>
      <c r="K107" s="43"/>
    </row>
    <row r="108" spans="1:11" ht="69.75">
      <c r="A108" s="55" t="s">
        <v>146</v>
      </c>
      <c r="B108" s="46"/>
      <c r="C108" s="44">
        <f>C103/C106</f>
        <v>55471.428571428572</v>
      </c>
      <c r="D108" s="44">
        <f>D103/D106</f>
        <v>55471.428571428572</v>
      </c>
      <c r="E108" s="44"/>
      <c r="F108" s="44"/>
      <c r="G108" s="44"/>
      <c r="H108" s="44"/>
      <c r="I108" s="44"/>
      <c r="J108" s="44"/>
      <c r="K108" s="43"/>
    </row>
    <row r="109" spans="1:11" ht="23.25">
      <c r="A109" s="53" t="s">
        <v>116</v>
      </c>
      <c r="B109" s="626" t="s">
        <v>56</v>
      </c>
      <c r="C109" s="627"/>
      <c r="D109" s="627"/>
      <c r="E109" s="627"/>
      <c r="F109" s="627"/>
      <c r="G109" s="627"/>
      <c r="H109" s="627"/>
      <c r="I109" s="627"/>
      <c r="J109" s="627"/>
      <c r="K109" s="628"/>
    </row>
    <row r="110" spans="1:11" ht="22.5">
      <c r="A110" s="192" t="s">
        <v>119</v>
      </c>
      <c r="B110" s="620" t="s">
        <v>120</v>
      </c>
      <c r="C110" s="620"/>
      <c r="D110" s="620"/>
      <c r="E110" s="620"/>
      <c r="F110" s="620"/>
      <c r="G110" s="620"/>
      <c r="H110" s="620"/>
      <c r="I110" s="620"/>
      <c r="J110" s="620"/>
      <c r="K110" s="620"/>
    </row>
    <row r="111" spans="1:11" ht="22.5">
      <c r="A111" s="233" t="s">
        <v>121</v>
      </c>
      <c r="B111" s="233">
        <f>C111+F111+I111</f>
        <v>850000</v>
      </c>
      <c r="C111" s="43">
        <f>D111+E111</f>
        <v>850000</v>
      </c>
      <c r="D111" s="43">
        <f>'Додаток 3'!I60*1000</f>
        <v>850000</v>
      </c>
      <c r="E111" s="233"/>
      <c r="F111" s="194"/>
      <c r="G111" s="194">
        <f>'Додаток 3'!J60*1000</f>
        <v>0</v>
      </c>
      <c r="H111" s="194"/>
      <c r="I111" s="194"/>
      <c r="J111" s="194"/>
      <c r="K111" s="194"/>
    </row>
    <row r="112" spans="1:11" ht="23.25">
      <c r="A112" s="233" t="s">
        <v>123</v>
      </c>
      <c r="B112" s="44"/>
      <c r="C112" s="44"/>
      <c r="D112" s="44"/>
      <c r="E112" s="44"/>
      <c r="F112" s="44"/>
      <c r="G112" s="44"/>
      <c r="H112" s="44"/>
      <c r="I112" s="44"/>
      <c r="J112" s="44"/>
      <c r="K112" s="43"/>
    </row>
    <row r="113" spans="1:11" ht="22.5" customHeight="1">
      <c r="A113" s="55" t="s">
        <v>367</v>
      </c>
      <c r="B113" s="46"/>
      <c r="C113" s="44">
        <v>1200</v>
      </c>
      <c r="D113" s="44">
        <v>1200</v>
      </c>
      <c r="E113" s="44"/>
      <c r="F113" s="44"/>
      <c r="G113" s="44"/>
      <c r="H113" s="44"/>
      <c r="I113" s="44"/>
      <c r="J113" s="44"/>
      <c r="K113" s="43"/>
    </row>
    <row r="114" spans="1:11" ht="23.25">
      <c r="A114" s="55" t="s">
        <v>205</v>
      </c>
      <c r="B114" s="46"/>
      <c r="C114" s="193">
        <v>845</v>
      </c>
      <c r="D114" s="193">
        <v>845</v>
      </c>
      <c r="E114" s="44"/>
      <c r="F114" s="193"/>
      <c r="G114" s="44"/>
      <c r="H114" s="44"/>
      <c r="I114" s="193"/>
      <c r="J114" s="44"/>
      <c r="K114" s="43"/>
    </row>
    <row r="115" spans="1:11" ht="23.25">
      <c r="A115" s="233" t="s">
        <v>124</v>
      </c>
      <c r="B115" s="46"/>
      <c r="C115" s="44"/>
      <c r="D115" s="44"/>
      <c r="E115" s="44"/>
      <c r="F115" s="44"/>
      <c r="G115" s="44"/>
      <c r="H115" s="44"/>
      <c r="I115" s="44"/>
      <c r="J115" s="44"/>
      <c r="K115" s="43"/>
    </row>
    <row r="116" spans="1:11" ht="23.25">
      <c r="A116" s="55" t="s">
        <v>389</v>
      </c>
      <c r="B116" s="46"/>
      <c r="C116" s="44">
        <f>C111/C114</f>
        <v>1005.9171597633136</v>
      </c>
      <c r="D116" s="44">
        <f>D111/D114</f>
        <v>1005.9171597633136</v>
      </c>
      <c r="E116" s="44"/>
      <c r="F116" s="44"/>
      <c r="G116" s="44"/>
      <c r="H116" s="44"/>
      <c r="I116" s="44"/>
      <c r="J116" s="44"/>
      <c r="K116" s="43"/>
    </row>
    <row r="117" spans="1:11" ht="23.25">
      <c r="A117" s="63" t="s">
        <v>125</v>
      </c>
      <c r="B117" s="46"/>
      <c r="C117" s="44"/>
      <c r="D117" s="44"/>
      <c r="E117" s="44"/>
      <c r="F117" s="44"/>
      <c r="G117" s="44"/>
      <c r="H117" s="44"/>
      <c r="I117" s="44"/>
      <c r="J117" s="44"/>
      <c r="K117" s="43"/>
    </row>
    <row r="118" spans="1:11" ht="23.25">
      <c r="A118" s="55" t="s">
        <v>368</v>
      </c>
      <c r="B118" s="46"/>
      <c r="C118" s="44">
        <f>C114/C113*100</f>
        <v>70.416666666666671</v>
      </c>
      <c r="D118" s="44">
        <f>D114/D113*100</f>
        <v>70.416666666666671</v>
      </c>
      <c r="E118" s="44"/>
      <c r="F118" s="44"/>
      <c r="G118" s="44"/>
      <c r="H118" s="44"/>
      <c r="I118" s="44"/>
      <c r="J118" s="44"/>
      <c r="K118" s="43"/>
    </row>
    <row r="119" spans="1:11" ht="23.25">
      <c r="A119" s="56" t="s">
        <v>116</v>
      </c>
      <c r="B119" s="619" t="s">
        <v>296</v>
      </c>
      <c r="C119" s="619"/>
      <c r="D119" s="619"/>
      <c r="E119" s="619"/>
      <c r="F119" s="619"/>
      <c r="G119" s="619"/>
      <c r="H119" s="619"/>
      <c r="I119" s="619"/>
      <c r="J119" s="619"/>
      <c r="K119" s="619"/>
    </row>
    <row r="120" spans="1:11" ht="22.5">
      <c r="A120" s="192" t="s">
        <v>119</v>
      </c>
      <c r="B120" s="620" t="s">
        <v>120</v>
      </c>
      <c r="C120" s="620"/>
      <c r="D120" s="620"/>
      <c r="E120" s="620"/>
      <c r="F120" s="620"/>
      <c r="G120" s="620"/>
      <c r="H120" s="620"/>
      <c r="I120" s="620"/>
      <c r="J120" s="620"/>
      <c r="K120" s="620"/>
    </row>
    <row r="121" spans="1:11" ht="22.5">
      <c r="A121" s="192" t="s">
        <v>126</v>
      </c>
      <c r="B121" s="620" t="s">
        <v>127</v>
      </c>
      <c r="C121" s="620"/>
      <c r="D121" s="620"/>
      <c r="E121" s="620"/>
      <c r="F121" s="620"/>
      <c r="G121" s="620"/>
      <c r="H121" s="620"/>
      <c r="I121" s="620"/>
      <c r="J121" s="620"/>
      <c r="K121" s="620"/>
    </row>
    <row r="122" spans="1:11" ht="22.5">
      <c r="A122" s="233" t="s">
        <v>121</v>
      </c>
      <c r="B122" s="233">
        <f>C122+F122+I122</f>
        <v>6385688.0000000009</v>
      </c>
      <c r="C122" s="194">
        <f>D122+E122</f>
        <v>2947900.0000000005</v>
      </c>
      <c r="D122" s="194">
        <f>('Додаток 3'!I64+'Додаток 3'!I113)*1000</f>
        <v>2947900.0000000005</v>
      </c>
      <c r="E122" s="233"/>
      <c r="F122" s="194">
        <f>G122+H122</f>
        <v>1659800.0000000002</v>
      </c>
      <c r="G122" s="194">
        <f>('Додаток 3'!J113+'Додаток 3'!J64)*1000</f>
        <v>1659800.0000000002</v>
      </c>
      <c r="H122" s="194"/>
      <c r="I122" s="194">
        <f>J122+K122</f>
        <v>1777987.9999999998</v>
      </c>
      <c r="J122" s="194">
        <f>('Додаток 3'!K64+'Додаток 3'!K113)*1000</f>
        <v>1777987.9999999998</v>
      </c>
      <c r="K122" s="194"/>
    </row>
    <row r="123" spans="1:11" ht="23.25">
      <c r="A123" s="233" t="s">
        <v>123</v>
      </c>
      <c r="B123" s="46"/>
      <c r="C123" s="44"/>
      <c r="D123" s="44"/>
      <c r="E123" s="44"/>
      <c r="F123" s="44"/>
      <c r="G123" s="44"/>
      <c r="H123" s="44"/>
      <c r="I123" s="44"/>
      <c r="J123" s="44"/>
      <c r="K123" s="43"/>
    </row>
    <row r="124" spans="1:11" ht="23.25">
      <c r="A124" s="57" t="s">
        <v>131</v>
      </c>
      <c r="B124" s="46"/>
      <c r="C124" s="44">
        <v>46</v>
      </c>
      <c r="D124" s="44">
        <v>46</v>
      </c>
      <c r="E124" s="44"/>
      <c r="F124" s="44">
        <f>20+3</f>
        <v>23</v>
      </c>
      <c r="G124" s="44">
        <f>20+3</f>
        <v>23</v>
      </c>
      <c r="H124" s="44"/>
      <c r="I124" s="44">
        <v>23</v>
      </c>
      <c r="J124" s="44">
        <v>23</v>
      </c>
      <c r="K124" s="43"/>
    </row>
    <row r="125" spans="1:11" ht="23.25">
      <c r="A125" s="233" t="s">
        <v>124</v>
      </c>
      <c r="B125" s="46"/>
      <c r="C125" s="44"/>
      <c r="D125" s="44"/>
      <c r="E125" s="44"/>
      <c r="F125" s="44"/>
      <c r="G125" s="44"/>
      <c r="H125" s="44"/>
      <c r="I125" s="44"/>
      <c r="J125" s="44"/>
      <c r="K125" s="43"/>
    </row>
    <row r="126" spans="1:11" ht="45.75" customHeight="1">
      <c r="A126" s="57" t="s">
        <v>370</v>
      </c>
      <c r="B126" s="46"/>
      <c r="C126" s="44">
        <f>C122/C124</f>
        <v>64084.782608695663</v>
      </c>
      <c r="D126" s="44">
        <f>D122/D124</f>
        <v>64084.782608695663</v>
      </c>
      <c r="E126" s="44"/>
      <c r="F126" s="44">
        <f>F122/F124</f>
        <v>72165.217391304352</v>
      </c>
      <c r="G126" s="44">
        <f>G122/G124</f>
        <v>72165.217391304352</v>
      </c>
      <c r="H126" s="44"/>
      <c r="I126" s="44">
        <f>I122/I124</f>
        <v>77303.826086956513</v>
      </c>
      <c r="J126" s="44">
        <f>J122/J124</f>
        <v>77303.826086956513</v>
      </c>
      <c r="K126" s="43"/>
    </row>
    <row r="127" spans="1:11" ht="21" customHeight="1">
      <c r="A127" s="56" t="s">
        <v>116</v>
      </c>
      <c r="B127" s="619" t="s">
        <v>297</v>
      </c>
      <c r="C127" s="619"/>
      <c r="D127" s="619"/>
      <c r="E127" s="619"/>
      <c r="F127" s="619"/>
      <c r="G127" s="619"/>
      <c r="H127" s="619"/>
      <c r="I127" s="619"/>
      <c r="J127" s="619"/>
      <c r="K127" s="619"/>
    </row>
    <row r="128" spans="1:11" ht="22.5" customHeight="1">
      <c r="A128" s="192" t="s">
        <v>148</v>
      </c>
      <c r="B128" s="612" t="s">
        <v>166</v>
      </c>
      <c r="C128" s="613"/>
      <c r="D128" s="613"/>
      <c r="E128" s="613"/>
      <c r="F128" s="613"/>
      <c r="G128" s="613"/>
      <c r="H128" s="613"/>
      <c r="I128" s="613"/>
      <c r="J128" s="613"/>
      <c r="K128" s="614"/>
    </row>
    <row r="129" spans="1:11" ht="22.5">
      <c r="A129" s="233" t="s">
        <v>121</v>
      </c>
      <c r="B129" s="233">
        <f>C129+F129+I129</f>
        <v>5834000</v>
      </c>
      <c r="C129" s="233">
        <f>D129+E129</f>
        <v>1700000</v>
      </c>
      <c r="D129" s="233">
        <f>'Додаток 3'!I69*1000</f>
        <v>1700000</v>
      </c>
      <c r="E129" s="194"/>
      <c r="F129" s="194">
        <f>G129+H129</f>
        <v>2000000</v>
      </c>
      <c r="G129" s="194">
        <f>'Додаток 3'!J69*1000</f>
        <v>2000000</v>
      </c>
      <c r="H129" s="194"/>
      <c r="I129" s="194">
        <f>J129+K129</f>
        <v>2134000</v>
      </c>
      <c r="J129" s="194">
        <f>'Додаток 3'!K69*1000</f>
        <v>2134000</v>
      </c>
      <c r="K129" s="194"/>
    </row>
    <row r="130" spans="1:11" ht="23.25">
      <c r="A130" s="233" t="s">
        <v>123</v>
      </c>
      <c r="B130" s="46"/>
      <c r="C130" s="44"/>
      <c r="D130" s="44"/>
      <c r="E130" s="44"/>
      <c r="F130" s="44"/>
      <c r="G130" s="44"/>
      <c r="H130" s="44"/>
      <c r="I130" s="44"/>
      <c r="J130" s="44"/>
      <c r="K130" s="43"/>
    </row>
    <row r="131" spans="1:11" ht="80.25" customHeight="1">
      <c r="A131" s="57" t="s">
        <v>485</v>
      </c>
      <c r="B131" s="46"/>
      <c r="C131" s="44">
        <v>6217</v>
      </c>
      <c r="D131" s="44">
        <v>6217</v>
      </c>
      <c r="E131" s="44"/>
      <c r="F131" s="44">
        <v>6601</v>
      </c>
      <c r="G131" s="44">
        <v>6601</v>
      </c>
      <c r="H131" s="44"/>
      <c r="I131" s="44">
        <v>6217</v>
      </c>
      <c r="J131" s="44">
        <v>6217</v>
      </c>
      <c r="K131" s="43"/>
    </row>
    <row r="132" spans="1:11" ht="23.25">
      <c r="A132" s="233" t="s">
        <v>124</v>
      </c>
      <c r="B132" s="46"/>
      <c r="C132" s="44"/>
      <c r="D132" s="44"/>
      <c r="E132" s="44"/>
      <c r="F132" s="44"/>
      <c r="G132" s="44"/>
      <c r="H132" s="44"/>
      <c r="I132" s="44"/>
      <c r="J132" s="44"/>
      <c r="K132" s="43"/>
    </row>
    <row r="133" spans="1:11" ht="48.75" customHeight="1">
      <c r="A133" s="57" t="s">
        <v>371</v>
      </c>
      <c r="B133" s="46"/>
      <c r="C133" s="44">
        <f>C129/C131</f>
        <v>273.44378317516487</v>
      </c>
      <c r="D133" s="44">
        <f>D129/D131</f>
        <v>273.44378317516487</v>
      </c>
      <c r="E133" s="44"/>
      <c r="F133" s="44">
        <f>F129/F131</f>
        <v>302.98439630359036</v>
      </c>
      <c r="G133" s="44">
        <f>G129/G131</f>
        <v>302.98439630359036</v>
      </c>
      <c r="H133" s="44"/>
      <c r="I133" s="44">
        <f>I129/I131</f>
        <v>343.25237252694228</v>
      </c>
      <c r="J133" s="44">
        <f>J129/J131</f>
        <v>343.25237252694228</v>
      </c>
      <c r="K133" s="43"/>
    </row>
    <row r="134" spans="1:11" ht="23.25">
      <c r="A134" s="53" t="s">
        <v>116</v>
      </c>
      <c r="B134" s="624" t="s">
        <v>430</v>
      </c>
      <c r="C134" s="624"/>
      <c r="D134" s="624"/>
      <c r="E134" s="624"/>
      <c r="F134" s="624"/>
      <c r="G134" s="624"/>
      <c r="H134" s="624"/>
      <c r="I134" s="624"/>
      <c r="J134" s="624"/>
      <c r="K134" s="624"/>
    </row>
    <row r="135" spans="1:11" ht="20.25" customHeight="1">
      <c r="A135" s="192" t="s">
        <v>410</v>
      </c>
      <c r="B135" s="612" t="s">
        <v>411</v>
      </c>
      <c r="C135" s="613"/>
      <c r="D135" s="613"/>
      <c r="E135" s="613"/>
      <c r="F135" s="613"/>
      <c r="G135" s="613"/>
      <c r="H135" s="613"/>
      <c r="I135" s="613"/>
      <c r="J135" s="613"/>
      <c r="K135" s="614"/>
    </row>
    <row r="136" spans="1:11" ht="22.5">
      <c r="A136" s="233" t="s">
        <v>121</v>
      </c>
      <c r="B136" s="42">
        <f>C136+F136+I136</f>
        <v>3000000</v>
      </c>
      <c r="C136" s="43">
        <f>D136+E136</f>
        <v>3000000</v>
      </c>
      <c r="D136" s="43">
        <f>'Додаток 3'!I70*1000</f>
        <v>3000000</v>
      </c>
      <c r="E136" s="43">
        <v>0</v>
      </c>
      <c r="F136" s="43">
        <f>G136+H136</f>
        <v>0</v>
      </c>
      <c r="G136" s="43">
        <v>0</v>
      </c>
      <c r="H136" s="43">
        <v>0</v>
      </c>
      <c r="I136" s="43">
        <f>J136+K136</f>
        <v>0</v>
      </c>
      <c r="J136" s="43">
        <v>0</v>
      </c>
      <c r="K136" s="43">
        <v>0</v>
      </c>
    </row>
    <row r="137" spans="1:11" ht="23.25">
      <c r="A137" s="233" t="s">
        <v>364</v>
      </c>
      <c r="B137" s="42"/>
      <c r="C137" s="44">
        <v>1</v>
      </c>
      <c r="D137" s="44">
        <v>1</v>
      </c>
      <c r="E137" s="43"/>
      <c r="F137" s="44"/>
      <c r="G137" s="44"/>
      <c r="H137" s="44"/>
      <c r="I137" s="44"/>
      <c r="J137" s="43"/>
      <c r="K137" s="43"/>
    </row>
    <row r="138" spans="1:11" ht="46.5">
      <c r="A138" s="233" t="s">
        <v>369</v>
      </c>
      <c r="B138" s="46"/>
      <c r="C138" s="44">
        <f>C136/C137/3</f>
        <v>1000000</v>
      </c>
      <c r="D138" s="44">
        <f>D136/D137/3</f>
        <v>1000000</v>
      </c>
      <c r="E138" s="44"/>
      <c r="F138" s="44"/>
      <c r="G138" s="44"/>
      <c r="H138" s="44"/>
      <c r="I138" s="44"/>
      <c r="J138" s="44"/>
      <c r="K138" s="43"/>
    </row>
    <row r="139" spans="1:11" ht="23.25">
      <c r="A139" s="56" t="s">
        <v>116</v>
      </c>
      <c r="B139" s="619" t="s">
        <v>490</v>
      </c>
      <c r="C139" s="619"/>
      <c r="D139" s="619"/>
      <c r="E139" s="619"/>
      <c r="F139" s="619"/>
      <c r="G139" s="619"/>
      <c r="H139" s="619"/>
      <c r="I139" s="619"/>
      <c r="J139" s="619"/>
      <c r="K139" s="619"/>
    </row>
    <row r="140" spans="1:11" ht="22.5">
      <c r="A140" s="192" t="s">
        <v>119</v>
      </c>
      <c r="B140" s="620" t="s">
        <v>486</v>
      </c>
      <c r="C140" s="620"/>
      <c r="D140" s="620"/>
      <c r="E140" s="620"/>
      <c r="F140" s="620"/>
      <c r="G140" s="620"/>
      <c r="H140" s="620"/>
      <c r="I140" s="620"/>
      <c r="J140" s="620"/>
      <c r="K140" s="620"/>
    </row>
    <row r="141" spans="1:11" ht="22.5">
      <c r="A141" s="192" t="s">
        <v>148</v>
      </c>
      <c r="B141" s="612" t="s">
        <v>487</v>
      </c>
      <c r="C141" s="613"/>
      <c r="D141" s="613"/>
      <c r="E141" s="613"/>
      <c r="F141" s="613"/>
      <c r="G141" s="613"/>
      <c r="H141" s="613"/>
      <c r="I141" s="613"/>
      <c r="J141" s="613"/>
      <c r="K141" s="614"/>
    </row>
    <row r="142" spans="1:11" ht="22.5">
      <c r="A142" s="233" t="s">
        <v>121</v>
      </c>
      <c r="B142" s="232">
        <f>C142+F142+I142</f>
        <v>2173500</v>
      </c>
      <c r="C142" s="232">
        <f>D142+E142</f>
        <v>1867700</v>
      </c>
      <c r="D142" s="232">
        <f>'Додаток 3'!I71*1000</f>
        <v>1867700</v>
      </c>
      <c r="E142" s="232"/>
      <c r="F142" s="232">
        <f>G142+H142</f>
        <v>305800</v>
      </c>
      <c r="G142" s="232">
        <f>'Додаток 3'!J71*1000</f>
        <v>305800</v>
      </c>
      <c r="H142" s="232"/>
      <c r="I142" s="232">
        <f>J142+K142</f>
        <v>0</v>
      </c>
      <c r="J142" s="232">
        <f>'Додаток 3'!K71*1000</f>
        <v>0</v>
      </c>
      <c r="K142" s="196"/>
    </row>
    <row r="143" spans="1:11" ht="50.25" customHeight="1">
      <c r="A143" s="55" t="s">
        <v>386</v>
      </c>
      <c r="B143" s="46"/>
      <c r="C143" s="44">
        <v>44900</v>
      </c>
      <c r="D143" s="44">
        <v>44900</v>
      </c>
      <c r="E143" s="44"/>
      <c r="F143" s="44">
        <v>40000</v>
      </c>
      <c r="G143" s="44">
        <v>40000</v>
      </c>
      <c r="H143" s="44"/>
      <c r="I143" s="44"/>
      <c r="J143" s="44"/>
      <c r="K143" s="43"/>
    </row>
    <row r="144" spans="1:11" ht="23.25">
      <c r="A144" s="55" t="s">
        <v>153</v>
      </c>
      <c r="B144" s="46"/>
      <c r="C144" s="44">
        <v>335300</v>
      </c>
      <c r="D144" s="44">
        <v>335300</v>
      </c>
      <c r="E144" s="44"/>
      <c r="F144" s="44">
        <v>243800</v>
      </c>
      <c r="G144" s="44">
        <v>243800</v>
      </c>
      <c r="H144" s="44"/>
      <c r="I144" s="44"/>
      <c r="J144" s="44"/>
      <c r="K144" s="43"/>
    </row>
    <row r="145" spans="1:11" ht="23.25">
      <c r="A145" s="233" t="s">
        <v>123</v>
      </c>
      <c r="B145" s="46"/>
      <c r="C145" s="44"/>
      <c r="D145" s="44"/>
      <c r="E145" s="44"/>
      <c r="F145" s="44"/>
      <c r="G145" s="44"/>
      <c r="H145" s="44"/>
      <c r="I145" s="44"/>
      <c r="J145" s="44"/>
      <c r="K145" s="43"/>
    </row>
    <row r="146" spans="1:11" ht="45.75" customHeight="1">
      <c r="A146" s="197" t="s">
        <v>385</v>
      </c>
      <c r="B146" s="46"/>
      <c r="C146" s="44">
        <v>8</v>
      </c>
      <c r="D146" s="44">
        <v>8</v>
      </c>
      <c r="E146" s="44"/>
      <c r="F146" s="44">
        <v>7</v>
      </c>
      <c r="G146" s="44">
        <v>7</v>
      </c>
      <c r="H146" s="44"/>
      <c r="I146" s="44"/>
      <c r="J146" s="44"/>
      <c r="K146" s="43"/>
    </row>
    <row r="147" spans="1:11" ht="23.25">
      <c r="A147" s="197" t="s">
        <v>154</v>
      </c>
      <c r="B147" s="46"/>
      <c r="C147" s="44">
        <v>100</v>
      </c>
      <c r="D147" s="44">
        <v>100</v>
      </c>
      <c r="E147" s="44"/>
      <c r="F147" s="44">
        <v>26</v>
      </c>
      <c r="G147" s="44">
        <v>26</v>
      </c>
      <c r="H147" s="44"/>
      <c r="I147" s="44"/>
      <c r="J147" s="44"/>
      <c r="K147" s="43"/>
    </row>
    <row r="148" spans="1:11" ht="23.25">
      <c r="A148" s="233" t="s">
        <v>124</v>
      </c>
      <c r="B148" s="46"/>
      <c r="C148" s="44"/>
      <c r="D148" s="44"/>
      <c r="E148" s="44"/>
      <c r="F148" s="44"/>
      <c r="G148" s="44"/>
      <c r="H148" s="44"/>
      <c r="I148" s="44"/>
      <c r="J148" s="44"/>
      <c r="K148" s="43"/>
    </row>
    <row r="149" spans="1:11" ht="47.25" customHeight="1">
      <c r="A149" s="198" t="s">
        <v>388</v>
      </c>
      <c r="B149" s="46"/>
      <c r="C149" s="44">
        <f>C143/C146/12</f>
        <v>467.70833333333331</v>
      </c>
      <c r="D149" s="44">
        <f>D143/D146/12</f>
        <v>467.70833333333331</v>
      </c>
      <c r="E149" s="44"/>
      <c r="F149" s="44">
        <v>7838</v>
      </c>
      <c r="G149" s="44">
        <v>7838</v>
      </c>
      <c r="H149" s="44"/>
      <c r="I149" s="44"/>
      <c r="J149" s="44"/>
      <c r="K149" s="43"/>
    </row>
    <row r="150" spans="1:11" ht="46.5">
      <c r="A150" s="198" t="s">
        <v>387</v>
      </c>
      <c r="B150" s="46"/>
      <c r="C150" s="44">
        <f>C144/C147/12</f>
        <v>279.41666666666669</v>
      </c>
      <c r="D150" s="44">
        <f>D144/D147/12</f>
        <v>279.41666666666669</v>
      </c>
      <c r="E150" s="44"/>
      <c r="F150" s="44">
        <v>5714</v>
      </c>
      <c r="G150" s="44">
        <v>5714</v>
      </c>
      <c r="H150" s="44"/>
      <c r="I150" s="44"/>
      <c r="J150" s="44"/>
      <c r="K150" s="43"/>
    </row>
    <row r="151" spans="1:11" ht="46.5">
      <c r="A151" s="198" t="s">
        <v>299</v>
      </c>
      <c r="B151" s="46"/>
      <c r="C151" s="44">
        <f>C142/12</f>
        <v>155641.66666666666</v>
      </c>
      <c r="D151" s="44">
        <f>D142/12</f>
        <v>155641.66666666666</v>
      </c>
      <c r="E151" s="44"/>
      <c r="F151" s="44">
        <v>142500</v>
      </c>
      <c r="G151" s="44">
        <v>142500</v>
      </c>
      <c r="H151" s="44"/>
      <c r="I151" s="44">
        <f>I142/12</f>
        <v>0</v>
      </c>
      <c r="J151" s="44"/>
      <c r="K151" s="43"/>
    </row>
    <row r="152" spans="1:11" ht="23.25">
      <c r="A152" s="56" t="s">
        <v>116</v>
      </c>
      <c r="B152" s="619" t="s">
        <v>298</v>
      </c>
      <c r="C152" s="619"/>
      <c r="D152" s="619"/>
      <c r="E152" s="619"/>
      <c r="F152" s="619"/>
      <c r="G152" s="619"/>
      <c r="H152" s="619"/>
      <c r="I152" s="619"/>
      <c r="J152" s="619"/>
      <c r="K152" s="619"/>
    </row>
    <row r="153" spans="1:11" ht="22.5">
      <c r="A153" s="192" t="s">
        <v>119</v>
      </c>
      <c r="B153" s="620" t="s">
        <v>120</v>
      </c>
      <c r="C153" s="620"/>
      <c r="D153" s="620"/>
      <c r="E153" s="620"/>
      <c r="F153" s="620"/>
      <c r="G153" s="620"/>
      <c r="H153" s="620"/>
      <c r="I153" s="620"/>
      <c r="J153" s="620"/>
      <c r="K153" s="620"/>
    </row>
    <row r="154" spans="1:11" ht="22.5">
      <c r="A154" s="233" t="s">
        <v>121</v>
      </c>
      <c r="B154" s="232">
        <f>C154+F154+I154</f>
        <v>3716540</v>
      </c>
      <c r="C154" s="232">
        <f>D154+E154</f>
        <v>946270</v>
      </c>
      <c r="D154" s="232">
        <f>'Додаток 3'!I72*1000</f>
        <v>946270</v>
      </c>
      <c r="E154" s="232"/>
      <c r="F154" s="232">
        <f>G154+H154</f>
        <v>1337300</v>
      </c>
      <c r="G154" s="232">
        <f>'Додаток 3'!J72*1000</f>
        <v>1337300</v>
      </c>
      <c r="H154" s="232"/>
      <c r="I154" s="232">
        <f>J154+K154</f>
        <v>1432970</v>
      </c>
      <c r="J154" s="232">
        <f>'Додаток 3'!K72*1000</f>
        <v>1432970</v>
      </c>
      <c r="K154" s="196"/>
    </row>
    <row r="155" spans="1:11" ht="23.25">
      <c r="A155" s="199" t="s">
        <v>155</v>
      </c>
      <c r="B155" s="46"/>
      <c r="C155" s="220">
        <v>8.25</v>
      </c>
      <c r="D155" s="220">
        <v>8.25</v>
      </c>
      <c r="E155" s="44"/>
      <c r="F155" s="220">
        <v>8.25</v>
      </c>
      <c r="G155" s="220">
        <v>8.25</v>
      </c>
      <c r="H155" s="44"/>
      <c r="I155" s="220">
        <v>8.25</v>
      </c>
      <c r="J155" s="220">
        <v>8.25</v>
      </c>
      <c r="K155" s="43"/>
    </row>
    <row r="156" spans="1:11" ht="23.25">
      <c r="A156" s="201" t="s">
        <v>156</v>
      </c>
      <c r="B156" s="46"/>
      <c r="C156" s="220">
        <v>2.75</v>
      </c>
      <c r="D156" s="220">
        <v>2.75</v>
      </c>
      <c r="E156" s="44"/>
      <c r="F156" s="220">
        <v>2.75</v>
      </c>
      <c r="G156" s="220">
        <v>2.75</v>
      </c>
      <c r="H156" s="44"/>
      <c r="I156" s="220">
        <v>2.75</v>
      </c>
      <c r="J156" s="220">
        <v>2.75</v>
      </c>
      <c r="K156" s="43"/>
    </row>
    <row r="157" spans="1:11" ht="23.25">
      <c r="A157" s="233" t="s">
        <v>123</v>
      </c>
      <c r="B157" s="46"/>
      <c r="C157" s="44"/>
      <c r="D157" s="44"/>
      <c r="E157" s="44"/>
      <c r="F157" s="44"/>
      <c r="G157" s="44"/>
      <c r="H157" s="44"/>
      <c r="I157" s="44"/>
      <c r="J157" s="44"/>
      <c r="K157" s="43"/>
    </row>
    <row r="158" spans="1:11" ht="23.25">
      <c r="A158" s="197" t="s">
        <v>157</v>
      </c>
      <c r="B158" s="46"/>
      <c r="C158" s="57">
        <v>2915</v>
      </c>
      <c r="D158" s="57">
        <v>2915</v>
      </c>
      <c r="E158" s="57"/>
      <c r="F158" s="57">
        <v>3148</v>
      </c>
      <c r="G158" s="57">
        <v>3148</v>
      </c>
      <c r="H158" s="57"/>
      <c r="I158" s="57">
        <v>3148</v>
      </c>
      <c r="J158" s="57">
        <v>3148</v>
      </c>
      <c r="K158" s="43"/>
    </row>
    <row r="159" spans="1:11" ht="23.25">
      <c r="A159" s="233" t="s">
        <v>124</v>
      </c>
      <c r="B159" s="46"/>
      <c r="C159" s="44"/>
      <c r="D159" s="44"/>
      <c r="E159" s="44"/>
      <c r="F159" s="44"/>
      <c r="G159" s="44"/>
      <c r="H159" s="44"/>
      <c r="I159" s="44"/>
      <c r="J159" s="44"/>
      <c r="K159" s="43"/>
    </row>
    <row r="160" spans="1:11" ht="46.5">
      <c r="A160" s="58" t="s">
        <v>158</v>
      </c>
      <c r="B160" s="46"/>
      <c r="C160" s="200">
        <f>C158/C156</f>
        <v>1060</v>
      </c>
      <c r="D160" s="200">
        <f>D158/D156</f>
        <v>1060</v>
      </c>
      <c r="E160" s="200"/>
      <c r="F160" s="200">
        <f>F158/F156</f>
        <v>1144.7272727272727</v>
      </c>
      <c r="G160" s="200">
        <f>G158/G156</f>
        <v>1144.7272727272727</v>
      </c>
      <c r="H160" s="200"/>
      <c r="I160" s="200">
        <f>I158/I156</f>
        <v>1144.7272727272727</v>
      </c>
      <c r="J160" s="200">
        <f>J158/J156</f>
        <v>1144.7272727272727</v>
      </c>
      <c r="K160" s="43"/>
    </row>
    <row r="161" spans="1:11" ht="46.5">
      <c r="A161" s="198" t="s">
        <v>300</v>
      </c>
      <c r="B161" s="46"/>
      <c r="C161" s="200">
        <f>C154/12</f>
        <v>78855.833333333328</v>
      </c>
      <c r="D161" s="200">
        <f>D154/12</f>
        <v>78855.833333333328</v>
      </c>
      <c r="E161" s="200"/>
      <c r="F161" s="200">
        <f>F154/12</f>
        <v>111441.66666666667</v>
      </c>
      <c r="G161" s="200">
        <f>G154/12</f>
        <v>111441.66666666667</v>
      </c>
      <c r="H161" s="200"/>
      <c r="I161" s="200">
        <f>I154/12</f>
        <v>119414.16666666667</v>
      </c>
      <c r="J161" s="200">
        <f>J154/12</f>
        <v>119414.16666666667</v>
      </c>
      <c r="K161" s="43"/>
    </row>
    <row r="162" spans="1:11" ht="23.25">
      <c r="A162" s="56" t="s">
        <v>116</v>
      </c>
      <c r="B162" s="619" t="s">
        <v>301</v>
      </c>
      <c r="C162" s="619"/>
      <c r="D162" s="619"/>
      <c r="E162" s="619"/>
      <c r="F162" s="619"/>
      <c r="G162" s="619"/>
      <c r="H162" s="619"/>
      <c r="I162" s="619"/>
      <c r="J162" s="619"/>
      <c r="K162" s="619"/>
    </row>
    <row r="163" spans="1:11" ht="22.5">
      <c r="A163" s="192" t="s">
        <v>119</v>
      </c>
      <c r="B163" s="620" t="s">
        <v>120</v>
      </c>
      <c r="C163" s="620"/>
      <c r="D163" s="620"/>
      <c r="E163" s="620"/>
      <c r="F163" s="620"/>
      <c r="G163" s="620"/>
      <c r="H163" s="620"/>
      <c r="I163" s="620"/>
      <c r="J163" s="620"/>
      <c r="K163" s="620"/>
    </row>
    <row r="164" spans="1:11" ht="22.5">
      <c r="A164" s="233" t="s">
        <v>121</v>
      </c>
      <c r="B164" s="232">
        <f>C164+F164+I164</f>
        <v>6073800</v>
      </c>
      <c r="C164" s="232">
        <f>D164+E164</f>
        <v>1217800</v>
      </c>
      <c r="D164" s="232">
        <f>'Додаток 3'!I73*1000</f>
        <v>1217800</v>
      </c>
      <c r="E164" s="232"/>
      <c r="F164" s="232">
        <f>G164+H164</f>
        <v>2344000</v>
      </c>
      <c r="G164" s="232">
        <f>'Додаток 3'!J73*1000</f>
        <v>2344000</v>
      </c>
      <c r="H164" s="232"/>
      <c r="I164" s="232">
        <f>J164+K164</f>
        <v>2512000</v>
      </c>
      <c r="J164" s="232">
        <f>'Додаток 3'!K73*1000</f>
        <v>2512000</v>
      </c>
      <c r="K164" s="232"/>
    </row>
    <row r="165" spans="1:11" ht="23.25">
      <c r="A165" s="233" t="s">
        <v>123</v>
      </c>
      <c r="B165" s="46"/>
      <c r="C165" s="44"/>
      <c r="D165" s="45"/>
      <c r="E165" s="44"/>
      <c r="F165" s="200"/>
      <c r="G165" s="200"/>
      <c r="H165" s="200"/>
      <c r="I165" s="200"/>
      <c r="J165" s="44"/>
      <c r="K165" s="43"/>
    </row>
    <row r="166" spans="1:11" ht="23.25">
      <c r="A166" s="197" t="s">
        <v>159</v>
      </c>
      <c r="B166" s="46"/>
      <c r="C166" s="57">
        <v>600</v>
      </c>
      <c r="D166" s="57">
        <v>600</v>
      </c>
      <c r="E166" s="44"/>
      <c r="F166" s="200">
        <f>G166</f>
        <v>607</v>
      </c>
      <c r="G166" s="200">
        <v>607</v>
      </c>
      <c r="H166" s="200"/>
      <c r="I166" s="200">
        <f>J166</f>
        <v>607</v>
      </c>
      <c r="J166" s="44">
        <v>607</v>
      </c>
      <c r="K166" s="43"/>
    </row>
    <row r="167" spans="1:11" ht="23.25">
      <c r="A167" s="233" t="s">
        <v>124</v>
      </c>
      <c r="B167" s="46"/>
      <c r="C167" s="44"/>
      <c r="D167" s="44"/>
      <c r="E167" s="44"/>
      <c r="F167" s="44"/>
      <c r="G167" s="44"/>
      <c r="H167" s="44"/>
      <c r="I167" s="44"/>
      <c r="J167" s="44"/>
      <c r="K167" s="43"/>
    </row>
    <row r="168" spans="1:11" ht="23.25">
      <c r="A168" s="202" t="s">
        <v>160</v>
      </c>
      <c r="B168" s="46"/>
      <c r="C168" s="200">
        <f>C164/C166</f>
        <v>2029.6666666666667</v>
      </c>
      <c r="D168" s="200">
        <f>D164/D166</f>
        <v>2029.6666666666667</v>
      </c>
      <c r="E168" s="200"/>
      <c r="F168" s="200">
        <f>F164/F166</f>
        <v>3861.6144975288303</v>
      </c>
      <c r="G168" s="200">
        <f>G164/G166</f>
        <v>3861.6144975288303</v>
      </c>
      <c r="H168" s="200"/>
      <c r="I168" s="200">
        <f>I164/I166</f>
        <v>4138.3855024711693</v>
      </c>
      <c r="J168" s="44">
        <f>J164/J166</f>
        <v>4138.3855024711693</v>
      </c>
      <c r="K168" s="43"/>
    </row>
    <row r="169" spans="1:11" ht="23.25">
      <c r="A169" s="56" t="s">
        <v>116</v>
      </c>
      <c r="B169" s="621" t="s">
        <v>452</v>
      </c>
      <c r="C169" s="622"/>
      <c r="D169" s="622"/>
      <c r="E169" s="622"/>
      <c r="F169" s="622"/>
      <c r="G169" s="622"/>
      <c r="H169" s="622"/>
      <c r="I169" s="622"/>
      <c r="J169" s="622"/>
      <c r="K169" s="623"/>
    </row>
    <row r="170" spans="1:11" ht="22.5">
      <c r="A170" s="192" t="s">
        <v>119</v>
      </c>
      <c r="B170" s="620" t="s">
        <v>120</v>
      </c>
      <c r="C170" s="620"/>
      <c r="D170" s="620"/>
      <c r="E170" s="620"/>
      <c r="F170" s="620"/>
      <c r="G170" s="620"/>
      <c r="H170" s="620"/>
      <c r="I170" s="620"/>
      <c r="J170" s="620"/>
      <c r="K170" s="620"/>
    </row>
    <row r="171" spans="1:11" ht="23.25">
      <c r="A171" s="202"/>
      <c r="B171" s="46">
        <f>C171+F171+I171</f>
        <v>1000000</v>
      </c>
      <c r="C171" s="200"/>
      <c r="D171" s="200"/>
      <c r="E171" s="200"/>
      <c r="F171" s="200">
        <f>G171</f>
        <v>1000000</v>
      </c>
      <c r="G171" s="200">
        <v>1000000</v>
      </c>
      <c r="H171" s="200"/>
      <c r="I171" s="200"/>
      <c r="J171" s="44"/>
      <c r="K171" s="43"/>
    </row>
    <row r="172" spans="1:11" ht="23.25">
      <c r="A172" s="212" t="s">
        <v>121</v>
      </c>
      <c r="B172" s="46"/>
      <c r="C172" s="200"/>
      <c r="D172" s="200"/>
      <c r="E172" s="200"/>
      <c r="F172" s="200"/>
      <c r="G172" s="200"/>
      <c r="H172" s="200"/>
      <c r="I172" s="200"/>
      <c r="J172" s="44"/>
      <c r="K172" s="43"/>
    </row>
    <row r="173" spans="1:11" ht="23.25">
      <c r="A173" s="212" t="s">
        <v>123</v>
      </c>
      <c r="B173" s="46"/>
      <c r="C173" s="200"/>
      <c r="D173" s="200"/>
      <c r="E173" s="200"/>
      <c r="F173" s="200"/>
      <c r="G173" s="200"/>
      <c r="H173" s="200"/>
      <c r="I173" s="200"/>
      <c r="J173" s="44"/>
      <c r="K173" s="43"/>
    </row>
    <row r="174" spans="1:11" ht="30.75" customHeight="1">
      <c r="A174" s="221" t="s">
        <v>488</v>
      </c>
      <c r="B174" s="46"/>
      <c r="C174" s="200"/>
      <c r="D174" s="200"/>
      <c r="E174" s="200"/>
      <c r="F174" s="200">
        <f>G174</f>
        <v>600</v>
      </c>
      <c r="G174" s="200">
        <v>600</v>
      </c>
      <c r="H174" s="200"/>
      <c r="I174" s="200"/>
      <c r="J174" s="44"/>
      <c r="K174" s="43"/>
    </row>
    <row r="175" spans="1:11" ht="46.5">
      <c r="A175" s="213" t="s">
        <v>450</v>
      </c>
      <c r="B175" s="46"/>
      <c r="C175" s="200"/>
      <c r="D175" s="200"/>
      <c r="E175" s="200"/>
      <c r="F175" s="200">
        <f>G175</f>
        <v>14</v>
      </c>
      <c r="G175" s="200">
        <v>14</v>
      </c>
      <c r="H175" s="200"/>
      <c r="I175" s="200"/>
      <c r="J175" s="44"/>
      <c r="K175" s="43"/>
    </row>
    <row r="176" spans="1:11" ht="23.25">
      <c r="A176" s="212" t="s">
        <v>124</v>
      </c>
      <c r="B176" s="46"/>
      <c r="C176" s="200"/>
      <c r="D176" s="200"/>
      <c r="E176" s="200"/>
      <c r="F176" s="200"/>
      <c r="G176" s="200"/>
      <c r="H176" s="200"/>
      <c r="I176" s="200"/>
      <c r="J176" s="44"/>
      <c r="K176" s="43"/>
    </row>
    <row r="177" spans="1:13" ht="23.25">
      <c r="A177" s="214" t="s">
        <v>451</v>
      </c>
      <c r="B177" s="46"/>
      <c r="C177" s="200"/>
      <c r="D177" s="200"/>
      <c r="E177" s="200"/>
      <c r="F177" s="200">
        <f>G177</f>
        <v>71428.571428571435</v>
      </c>
      <c r="G177" s="200">
        <f>G171/G175</f>
        <v>71428.571428571435</v>
      </c>
      <c r="H177" s="200"/>
      <c r="I177" s="200"/>
      <c r="J177" s="44"/>
      <c r="K177" s="43"/>
    </row>
    <row r="178" spans="1:13" ht="23.25" customHeight="1">
      <c r="A178" s="56" t="s">
        <v>116</v>
      </c>
      <c r="B178" s="634" t="s">
        <v>453</v>
      </c>
      <c r="C178" s="635"/>
      <c r="D178" s="635"/>
      <c r="E178" s="635"/>
      <c r="F178" s="635"/>
      <c r="G178" s="635"/>
      <c r="H178" s="635"/>
      <c r="I178" s="635"/>
      <c r="J178" s="635"/>
      <c r="K178" s="636"/>
    </row>
    <row r="179" spans="1:13" ht="23.25" customHeight="1">
      <c r="A179" s="192" t="s">
        <v>119</v>
      </c>
      <c r="B179" s="620" t="s">
        <v>120</v>
      </c>
      <c r="C179" s="620"/>
      <c r="D179" s="620"/>
      <c r="E179" s="620"/>
      <c r="F179" s="620"/>
      <c r="G179" s="620"/>
      <c r="H179" s="620"/>
      <c r="I179" s="620"/>
      <c r="J179" s="620"/>
      <c r="K179" s="620"/>
    </row>
    <row r="180" spans="1:13" ht="23.25">
      <c r="A180" s="212" t="s">
        <v>121</v>
      </c>
      <c r="B180" s="46">
        <f>C180+F180+I180</f>
        <v>339900</v>
      </c>
      <c r="C180" s="200"/>
      <c r="D180" s="200"/>
      <c r="E180" s="200"/>
      <c r="F180" s="200">
        <f>G180</f>
        <v>339900</v>
      </c>
      <c r="G180" s="200">
        <f>('Додаток 3'!J79+'Додаток 3'!J80+'Додаток 3'!J81+'Додаток 3'!J82)*1000</f>
        <v>339900</v>
      </c>
      <c r="H180" s="200"/>
      <c r="I180" s="200"/>
      <c r="J180" s="44"/>
      <c r="K180" s="43"/>
    </row>
    <row r="181" spans="1:13" ht="23.25">
      <c r="A181" s="212" t="s">
        <v>123</v>
      </c>
      <c r="B181" s="46"/>
      <c r="C181" s="200"/>
      <c r="D181" s="200"/>
      <c r="E181" s="200"/>
      <c r="F181" s="200"/>
      <c r="G181" s="200"/>
      <c r="H181" s="200"/>
      <c r="I181" s="200"/>
      <c r="J181" s="44"/>
      <c r="K181" s="43"/>
    </row>
    <row r="182" spans="1:13" ht="46.5">
      <c r="A182" s="219" t="s">
        <v>481</v>
      </c>
      <c r="B182" s="46"/>
      <c r="C182" s="200"/>
      <c r="D182" s="200"/>
      <c r="E182" s="200"/>
      <c r="F182" s="200">
        <f t="shared" ref="F182:F185" si="2">G182</f>
        <v>28236</v>
      </c>
      <c r="G182" s="200">
        <v>28236</v>
      </c>
      <c r="H182" s="200"/>
      <c r="I182" s="200"/>
      <c r="J182" s="44"/>
      <c r="K182" s="43"/>
    </row>
    <row r="183" spans="1:13" ht="23.25">
      <c r="A183" s="219" t="s">
        <v>454</v>
      </c>
      <c r="B183" s="46"/>
      <c r="C183" s="200"/>
      <c r="D183" s="200"/>
      <c r="E183" s="200"/>
      <c r="F183" s="200">
        <f t="shared" si="2"/>
        <v>5665</v>
      </c>
      <c r="G183" s="200">
        <v>5665</v>
      </c>
      <c r="H183" s="200"/>
      <c r="I183" s="200"/>
      <c r="J183" s="44"/>
      <c r="K183" s="43"/>
    </row>
    <row r="184" spans="1:13" ht="23.25">
      <c r="A184" s="212" t="s">
        <v>124</v>
      </c>
      <c r="B184" s="46"/>
      <c r="C184" s="200"/>
      <c r="D184" s="200"/>
      <c r="E184" s="200"/>
      <c r="F184" s="200"/>
      <c r="G184" s="200"/>
      <c r="H184" s="200"/>
      <c r="I184" s="200"/>
      <c r="J184" s="44"/>
      <c r="K184" s="43"/>
    </row>
    <row r="185" spans="1:13" ht="46.5">
      <c r="A185" s="223" t="s">
        <v>455</v>
      </c>
      <c r="B185" s="46"/>
      <c r="C185" s="200"/>
      <c r="D185" s="200"/>
      <c r="E185" s="200"/>
      <c r="F185" s="200">
        <f t="shared" si="2"/>
        <v>60</v>
      </c>
      <c r="G185" s="200">
        <f>G180/G183</f>
        <v>60</v>
      </c>
      <c r="H185" s="200"/>
      <c r="I185" s="200"/>
      <c r="J185" s="44"/>
      <c r="K185" s="43"/>
    </row>
    <row r="186" spans="1:13" ht="23.25">
      <c r="A186" s="53" t="s">
        <v>116</v>
      </c>
      <c r="B186" s="624" t="s">
        <v>226</v>
      </c>
      <c r="C186" s="624"/>
      <c r="D186" s="624"/>
      <c r="E186" s="624"/>
      <c r="F186" s="624"/>
      <c r="G186" s="624"/>
      <c r="H186" s="624"/>
      <c r="I186" s="624"/>
      <c r="J186" s="624"/>
      <c r="K186" s="624"/>
    </row>
    <row r="187" spans="1:13" ht="20.25" customHeight="1">
      <c r="A187" s="192" t="s">
        <v>126</v>
      </c>
      <c r="B187" s="620" t="s">
        <v>164</v>
      </c>
      <c r="C187" s="620"/>
      <c r="D187" s="620"/>
      <c r="E187" s="620"/>
      <c r="F187" s="620"/>
      <c r="G187" s="620"/>
      <c r="H187" s="620"/>
      <c r="I187" s="620"/>
      <c r="J187" s="620"/>
      <c r="K187" s="620"/>
    </row>
    <row r="188" spans="1:13" ht="22.5">
      <c r="A188" s="233" t="s">
        <v>121</v>
      </c>
      <c r="B188" s="42">
        <f>C188+F188+I188</f>
        <v>18410420</v>
      </c>
      <c r="C188" s="43">
        <f>D188+E188</f>
        <v>12199200</v>
      </c>
      <c r="D188" s="43">
        <f>('Додаток 3'!I108+'Додаток 3'!I111+'Додаток 3'!I112)*1000</f>
        <v>12199200</v>
      </c>
      <c r="E188" s="43"/>
      <c r="F188" s="43">
        <f>G188+H188</f>
        <v>2987800</v>
      </c>
      <c r="G188" s="43">
        <f>('Додаток 3'!J108+'Додаток 3'!J111+'Додаток 3'!J112)*1000</f>
        <v>2987800</v>
      </c>
      <c r="H188" s="43"/>
      <c r="I188" s="43">
        <f>J188+K188</f>
        <v>3223420</v>
      </c>
      <c r="J188" s="43">
        <f>('Додаток 3'!K108+'Додаток 3'!K111+'Додаток 3'!K112)*1000</f>
        <v>3223420</v>
      </c>
      <c r="K188" s="43"/>
      <c r="M188" s="48"/>
    </row>
    <row r="189" spans="1:13" ht="23.25">
      <c r="A189" s="233" t="s">
        <v>364</v>
      </c>
      <c r="B189" s="42"/>
      <c r="C189" s="44">
        <v>1</v>
      </c>
      <c r="D189" s="44">
        <v>1</v>
      </c>
      <c r="E189" s="43"/>
      <c r="F189" s="44">
        <v>1</v>
      </c>
      <c r="G189" s="44">
        <v>1</v>
      </c>
      <c r="H189" s="44"/>
      <c r="I189" s="44">
        <v>1</v>
      </c>
      <c r="J189" s="44">
        <v>1</v>
      </c>
      <c r="K189" s="43"/>
      <c r="M189" s="224"/>
    </row>
    <row r="190" spans="1:13" ht="46.5">
      <c r="A190" s="233" t="s">
        <v>369</v>
      </c>
      <c r="B190" s="46"/>
      <c r="C190" s="44">
        <f>C188/C189/12</f>
        <v>1016600</v>
      </c>
      <c r="D190" s="44">
        <f>D188/D189/12</f>
        <v>1016600</v>
      </c>
      <c r="E190" s="44"/>
      <c r="F190" s="44">
        <f>F188/F189/12</f>
        <v>248983.33333333334</v>
      </c>
      <c r="G190" s="44">
        <f>G188/G189/12</f>
        <v>248983.33333333334</v>
      </c>
      <c r="H190" s="44"/>
      <c r="I190" s="44">
        <f>I188/I189/12</f>
        <v>268618.33333333331</v>
      </c>
      <c r="J190" s="44">
        <f>J188/J189/12</f>
        <v>268618.33333333331</v>
      </c>
      <c r="K190" s="43"/>
      <c r="M190" s="224"/>
    </row>
    <row r="191" spans="1:13" ht="23.25">
      <c r="A191" s="56" t="s">
        <v>116</v>
      </c>
      <c r="B191" s="621" t="s">
        <v>479</v>
      </c>
      <c r="C191" s="622"/>
      <c r="D191" s="622"/>
      <c r="E191" s="622"/>
      <c r="F191" s="622"/>
      <c r="G191" s="622"/>
      <c r="H191" s="622"/>
      <c r="I191" s="622"/>
      <c r="J191" s="622"/>
      <c r="K191" s="623"/>
      <c r="M191" s="225"/>
    </row>
    <row r="192" spans="1:13" ht="23.25">
      <c r="A192" s="192" t="s">
        <v>126</v>
      </c>
      <c r="B192" s="620" t="s">
        <v>164</v>
      </c>
      <c r="C192" s="620"/>
      <c r="D192" s="620"/>
      <c r="E192" s="620"/>
      <c r="F192" s="620"/>
      <c r="G192" s="620"/>
      <c r="H192" s="620"/>
      <c r="I192" s="620"/>
      <c r="J192" s="620"/>
      <c r="K192" s="620"/>
      <c r="M192" s="226"/>
    </row>
    <row r="193" spans="1:13" ht="23.25">
      <c r="A193" s="212" t="s">
        <v>121</v>
      </c>
      <c r="B193" s="46">
        <f>C193+F193+I193</f>
        <v>58800</v>
      </c>
      <c r="C193" s="44">
        <f>D193</f>
        <v>0</v>
      </c>
      <c r="D193" s="44"/>
      <c r="E193" s="44"/>
      <c r="F193" s="44">
        <f>G193</f>
        <v>58800</v>
      </c>
      <c r="G193" s="44">
        <f>'Додаток 3'!J114*1000</f>
        <v>58800</v>
      </c>
      <c r="H193" s="44"/>
      <c r="I193" s="44">
        <f>J193</f>
        <v>0</v>
      </c>
      <c r="J193" s="44"/>
      <c r="K193" s="43"/>
      <c r="M193" s="224"/>
    </row>
    <row r="194" spans="1:13" ht="23.25">
      <c r="A194" s="212" t="s">
        <v>123</v>
      </c>
      <c r="B194" s="46"/>
      <c r="C194" s="44"/>
      <c r="D194" s="44"/>
      <c r="E194" s="44"/>
      <c r="F194" s="44"/>
      <c r="G194" s="44"/>
      <c r="H194" s="44"/>
      <c r="I194" s="44"/>
      <c r="J194" s="44"/>
      <c r="K194" s="43"/>
      <c r="M194" s="224"/>
    </row>
    <row r="195" spans="1:13" ht="46.5">
      <c r="A195" s="219" t="s">
        <v>481</v>
      </c>
      <c r="B195" s="46"/>
      <c r="C195" s="44"/>
      <c r="D195" s="44"/>
      <c r="E195" s="44"/>
      <c r="F195" s="44">
        <f t="shared" ref="F195:F198" si="3">G195</f>
        <v>2940</v>
      </c>
      <c r="G195" s="44">
        <v>2940</v>
      </c>
      <c r="H195" s="44"/>
      <c r="I195" s="44"/>
      <c r="J195" s="44"/>
      <c r="K195" s="43"/>
      <c r="M195" s="224"/>
    </row>
    <row r="196" spans="1:13" ht="23.25">
      <c r="A196" s="219" t="s">
        <v>454</v>
      </c>
      <c r="B196" s="46"/>
      <c r="C196" s="44"/>
      <c r="D196" s="44"/>
      <c r="E196" s="44"/>
      <c r="F196" s="44">
        <f t="shared" si="3"/>
        <v>980</v>
      </c>
      <c r="G196" s="44">
        <v>980</v>
      </c>
      <c r="H196" s="44"/>
      <c r="I196" s="44"/>
      <c r="J196" s="44"/>
      <c r="K196" s="43"/>
      <c r="M196" s="224"/>
    </row>
    <row r="197" spans="1:13" ht="23.25">
      <c r="A197" s="212" t="s">
        <v>124</v>
      </c>
      <c r="B197" s="46"/>
      <c r="C197" s="44"/>
      <c r="D197" s="44"/>
      <c r="E197" s="44"/>
      <c r="F197" s="44"/>
      <c r="G197" s="44"/>
      <c r="H197" s="44"/>
      <c r="I197" s="44"/>
      <c r="J197" s="44"/>
      <c r="K197" s="43"/>
      <c r="M197" s="224"/>
    </row>
    <row r="198" spans="1:13" ht="46.5">
      <c r="A198" s="223" t="s">
        <v>455</v>
      </c>
      <c r="B198" s="46"/>
      <c r="C198" s="44"/>
      <c r="D198" s="44"/>
      <c r="E198" s="44"/>
      <c r="F198" s="44">
        <f t="shared" si="3"/>
        <v>60</v>
      </c>
      <c r="G198" s="44">
        <f>G193/G196</f>
        <v>60</v>
      </c>
      <c r="H198" s="44"/>
      <c r="I198" s="44"/>
      <c r="J198" s="44"/>
      <c r="K198" s="43"/>
      <c r="M198" s="227"/>
    </row>
    <row r="199" spans="1:13" ht="23.25">
      <c r="A199" s="53" t="s">
        <v>116</v>
      </c>
      <c r="B199" s="624" t="s">
        <v>270</v>
      </c>
      <c r="C199" s="624"/>
      <c r="D199" s="624"/>
      <c r="E199" s="624"/>
      <c r="F199" s="624"/>
      <c r="G199" s="624"/>
      <c r="H199" s="624"/>
      <c r="I199" s="624"/>
      <c r="J199" s="624"/>
      <c r="K199" s="624"/>
    </row>
    <row r="200" spans="1:13" ht="20.25" customHeight="1">
      <c r="A200" s="192" t="s">
        <v>128</v>
      </c>
      <c r="B200" s="625" t="s">
        <v>129</v>
      </c>
      <c r="C200" s="625"/>
      <c r="D200" s="625"/>
      <c r="E200" s="625"/>
      <c r="F200" s="625"/>
      <c r="G200" s="625"/>
      <c r="H200" s="625"/>
      <c r="I200" s="625"/>
      <c r="J200" s="625"/>
      <c r="K200" s="625"/>
    </row>
    <row r="201" spans="1:13" ht="22.5">
      <c r="A201" s="233" t="s">
        <v>121</v>
      </c>
      <c r="B201" s="42">
        <f>C201+F201+I201</f>
        <v>22372175</v>
      </c>
      <c r="C201" s="233">
        <f>D201+E201</f>
        <v>6738000</v>
      </c>
      <c r="D201" s="233">
        <f>'Додаток 3'!I122*1000</f>
        <v>6738000</v>
      </c>
      <c r="E201" s="233"/>
      <c r="F201" s="233">
        <f>G201</f>
        <v>7564600</v>
      </c>
      <c r="G201" s="233">
        <f>'Додаток 3'!J122*1000</f>
        <v>7564600</v>
      </c>
      <c r="H201" s="233"/>
      <c r="I201" s="233">
        <f>J201</f>
        <v>8069575</v>
      </c>
      <c r="J201" s="233">
        <f>'Додаток 3'!K122*1000</f>
        <v>8069575</v>
      </c>
      <c r="K201" s="233"/>
    </row>
    <row r="202" spans="1:13" ht="23.25">
      <c r="A202" s="233" t="s">
        <v>364</v>
      </c>
      <c r="B202" s="42"/>
      <c r="C202" s="44">
        <v>1</v>
      </c>
      <c r="D202" s="44">
        <v>1</v>
      </c>
      <c r="E202" s="43"/>
      <c r="F202" s="44">
        <f>G202</f>
        <v>1</v>
      </c>
      <c r="G202" s="44">
        <v>1</v>
      </c>
      <c r="H202" s="44"/>
      <c r="I202" s="44">
        <f>J202</f>
        <v>1</v>
      </c>
      <c r="J202" s="43">
        <v>1</v>
      </c>
      <c r="K202" s="43"/>
    </row>
    <row r="203" spans="1:13" ht="46.5">
      <c r="A203" s="233" t="s">
        <v>372</v>
      </c>
      <c r="B203" s="46"/>
      <c r="C203" s="44">
        <f>C201/C202/12</f>
        <v>561500</v>
      </c>
      <c r="D203" s="44">
        <f>D201/D202/12</f>
        <v>561500</v>
      </c>
      <c r="E203" s="44"/>
      <c r="F203" s="44">
        <f>G203</f>
        <v>630383.33333333337</v>
      </c>
      <c r="G203" s="44">
        <f>G201/G202/12</f>
        <v>630383.33333333337</v>
      </c>
      <c r="H203" s="44"/>
      <c r="I203" s="44">
        <f>J203</f>
        <v>672464.58333333337</v>
      </c>
      <c r="J203" s="44">
        <f>J201/J202/12</f>
        <v>672464.58333333337</v>
      </c>
      <c r="K203" s="43"/>
    </row>
    <row r="204" spans="1:13" ht="22.5">
      <c r="A204" s="615" t="s">
        <v>211</v>
      </c>
      <c r="B204" s="615"/>
      <c r="C204" s="615"/>
      <c r="D204" s="615"/>
      <c r="E204" s="615"/>
      <c r="F204" s="615"/>
      <c r="G204" s="615"/>
      <c r="H204" s="615"/>
      <c r="I204" s="615"/>
      <c r="J204" s="615"/>
      <c r="K204" s="615"/>
    </row>
    <row r="205" spans="1:13" ht="22.5">
      <c r="A205" s="52" t="s">
        <v>303</v>
      </c>
      <c r="B205" s="42">
        <f t="shared" ref="B205:K205" si="4">B209+B216+B230+B238+B245+B252+B261+B277+B285</f>
        <v>73695431.299999997</v>
      </c>
      <c r="C205" s="42">
        <f t="shared" si="4"/>
        <v>29168829</v>
      </c>
      <c r="D205" s="42">
        <f t="shared" si="4"/>
        <v>29168829</v>
      </c>
      <c r="E205" s="42">
        <f t="shared" si="4"/>
        <v>0</v>
      </c>
      <c r="F205" s="42">
        <f>F209+F216+F230+F238+F245+F252+F261+F277+F285</f>
        <v>25508400</v>
      </c>
      <c r="G205" s="42">
        <f>G209+G216+G230+G238+G245+G252+G261+G277+G285</f>
        <v>25508400</v>
      </c>
      <c r="H205" s="42">
        <f t="shared" si="4"/>
        <v>0</v>
      </c>
      <c r="I205" s="42">
        <f t="shared" si="4"/>
        <v>19018202.300000001</v>
      </c>
      <c r="J205" s="42">
        <f t="shared" si="4"/>
        <v>19018202.300000001</v>
      </c>
      <c r="K205" s="42">
        <f t="shared" si="4"/>
        <v>0</v>
      </c>
    </row>
    <row r="206" spans="1:13" ht="22.5">
      <c r="A206" s="52" t="s">
        <v>118</v>
      </c>
      <c r="B206" s="616"/>
      <c r="C206" s="617"/>
      <c r="D206" s="617"/>
      <c r="E206" s="617"/>
      <c r="F206" s="617"/>
      <c r="G206" s="617"/>
      <c r="H206" s="617"/>
      <c r="I206" s="617"/>
      <c r="J206" s="617"/>
      <c r="K206" s="618"/>
    </row>
    <row r="207" spans="1:13" ht="23.25">
      <c r="A207" s="56" t="s">
        <v>116</v>
      </c>
      <c r="B207" s="619" t="s">
        <v>304</v>
      </c>
      <c r="C207" s="619"/>
      <c r="D207" s="619"/>
      <c r="E207" s="619"/>
      <c r="F207" s="619"/>
      <c r="G207" s="619"/>
      <c r="H207" s="619"/>
      <c r="I207" s="619"/>
      <c r="J207" s="619"/>
      <c r="K207" s="619"/>
    </row>
    <row r="208" spans="1:13" ht="22.5">
      <c r="A208" s="192" t="s">
        <v>148</v>
      </c>
      <c r="B208" s="612" t="s">
        <v>166</v>
      </c>
      <c r="C208" s="613"/>
      <c r="D208" s="613"/>
      <c r="E208" s="613"/>
      <c r="F208" s="613"/>
      <c r="G208" s="613"/>
      <c r="H208" s="613"/>
      <c r="I208" s="613"/>
      <c r="J208" s="613"/>
      <c r="K208" s="614"/>
    </row>
    <row r="209" spans="1:11" ht="22.5">
      <c r="A209" s="233" t="s">
        <v>121</v>
      </c>
      <c r="B209" s="232">
        <f>C209+F209+I209</f>
        <v>16126574.089599997</v>
      </c>
      <c r="C209" s="232">
        <f>D209+E209</f>
        <v>5194000</v>
      </c>
      <c r="D209" s="232">
        <f>'Додаток 3'!I155*1000</f>
        <v>5194000</v>
      </c>
      <c r="E209" s="232"/>
      <c r="F209" s="232">
        <f>G209+H209</f>
        <v>5234409.5999999987</v>
      </c>
      <c r="G209" s="232">
        <f>'Додаток 3'!J155*1000</f>
        <v>5234409.5999999987</v>
      </c>
      <c r="H209" s="232"/>
      <c r="I209" s="232">
        <f>J209+K209</f>
        <v>5698164.4896</v>
      </c>
      <c r="J209" s="232">
        <f>'Додаток 3'!K155*1000</f>
        <v>5698164.4896</v>
      </c>
      <c r="K209" s="203"/>
    </row>
    <row r="210" spans="1:11" ht="23.25">
      <c r="A210" s="233" t="s">
        <v>123</v>
      </c>
      <c r="B210" s="46"/>
      <c r="C210" s="44"/>
      <c r="D210" s="44"/>
      <c r="E210" s="44"/>
      <c r="F210" s="44"/>
      <c r="G210" s="44"/>
      <c r="H210" s="44"/>
      <c r="I210" s="44"/>
      <c r="J210" s="44"/>
      <c r="K210" s="43"/>
    </row>
    <row r="211" spans="1:11" ht="23.25">
      <c r="A211" s="57" t="s">
        <v>165</v>
      </c>
      <c r="B211" s="46"/>
      <c r="C211" s="44">
        <v>51807</v>
      </c>
      <c r="D211" s="44">
        <v>51807</v>
      </c>
      <c r="E211" s="44"/>
      <c r="F211" s="44">
        <f>G211</f>
        <v>46138</v>
      </c>
      <c r="G211" s="44">
        <v>46138</v>
      </c>
      <c r="H211" s="44"/>
      <c r="I211" s="44">
        <v>46138</v>
      </c>
      <c r="J211" s="44">
        <v>46138</v>
      </c>
      <c r="K211" s="43"/>
    </row>
    <row r="212" spans="1:11" ht="23.25">
      <c r="A212" s="233" t="s">
        <v>124</v>
      </c>
      <c r="B212" s="46"/>
      <c r="C212" s="44"/>
      <c r="D212" s="44"/>
      <c r="E212" s="44"/>
      <c r="F212" s="44"/>
      <c r="G212" s="44"/>
      <c r="H212" s="44"/>
      <c r="I212" s="44"/>
      <c r="J212" s="44"/>
      <c r="K212" s="43"/>
    </row>
    <row r="213" spans="1:11" ht="23.25">
      <c r="A213" s="55" t="s">
        <v>305</v>
      </c>
      <c r="B213" s="46"/>
      <c r="C213" s="44">
        <f>C209/C211</f>
        <v>100.25672206458587</v>
      </c>
      <c r="D213" s="44">
        <f>D209/D211</f>
        <v>100.25672206458587</v>
      </c>
      <c r="E213" s="44"/>
      <c r="F213" s="44">
        <f>G213</f>
        <v>113.45115956478388</v>
      </c>
      <c r="G213" s="44">
        <f>G209/G211</f>
        <v>113.45115956478388</v>
      </c>
      <c r="H213" s="44"/>
      <c r="I213" s="44">
        <f>I209/I211</f>
        <v>123.50263317872469</v>
      </c>
      <c r="J213" s="44">
        <f>J209/J211</f>
        <v>123.50263317872469</v>
      </c>
      <c r="K213" s="43"/>
    </row>
    <row r="214" spans="1:11" ht="23.25">
      <c r="A214" s="56" t="s">
        <v>116</v>
      </c>
      <c r="B214" s="619" t="s">
        <v>306</v>
      </c>
      <c r="C214" s="619"/>
      <c r="D214" s="619"/>
      <c r="E214" s="619"/>
      <c r="F214" s="619"/>
      <c r="G214" s="619"/>
      <c r="H214" s="619"/>
      <c r="I214" s="619"/>
      <c r="J214" s="619"/>
      <c r="K214" s="619"/>
    </row>
    <row r="215" spans="1:11" ht="22.5">
      <c r="A215" s="192" t="s">
        <v>148</v>
      </c>
      <c r="B215" s="612" t="s">
        <v>166</v>
      </c>
      <c r="C215" s="613"/>
      <c r="D215" s="613"/>
      <c r="E215" s="613"/>
      <c r="F215" s="613"/>
      <c r="G215" s="613"/>
      <c r="H215" s="613"/>
      <c r="I215" s="613"/>
      <c r="J215" s="613"/>
      <c r="K215" s="614"/>
    </row>
    <row r="216" spans="1:11" ht="22.5">
      <c r="A216" s="233" t="s">
        <v>121</v>
      </c>
      <c r="B216" s="232">
        <f>C216+F216+I216</f>
        <v>2688952.3</v>
      </c>
      <c r="C216" s="232">
        <f>D216+E216</f>
        <v>833400.00000000012</v>
      </c>
      <c r="D216" s="232">
        <f>'Додаток 3'!I158*1000</f>
        <v>833400.00000000012</v>
      </c>
      <c r="E216" s="232"/>
      <c r="F216" s="232">
        <f>G216+H216</f>
        <v>900700</v>
      </c>
      <c r="G216" s="232">
        <f>'Додаток 3'!J158*1000</f>
        <v>900700</v>
      </c>
      <c r="H216" s="232"/>
      <c r="I216" s="232">
        <f>J216+K216</f>
        <v>954852.3</v>
      </c>
      <c r="J216" s="232">
        <f>'Додаток 3'!K158*1000</f>
        <v>954852.3</v>
      </c>
      <c r="K216" s="232"/>
    </row>
    <row r="217" spans="1:11" ht="23.25">
      <c r="A217" s="59" t="s">
        <v>375</v>
      </c>
      <c r="B217" s="232"/>
      <c r="C217" s="193">
        <v>665590</v>
      </c>
      <c r="D217" s="61"/>
      <c r="E217" s="204"/>
      <c r="F217" s="193">
        <v>567300</v>
      </c>
      <c r="G217" s="193">
        <v>567300</v>
      </c>
      <c r="H217" s="204"/>
      <c r="I217" s="193">
        <v>604449</v>
      </c>
      <c r="J217" s="193">
        <v>604449</v>
      </c>
      <c r="K217" s="232"/>
    </row>
    <row r="218" spans="1:11" ht="46.5">
      <c r="A218" s="59" t="s">
        <v>376</v>
      </c>
      <c r="B218" s="232"/>
      <c r="C218" s="193">
        <v>155810</v>
      </c>
      <c r="D218" s="193">
        <v>155810</v>
      </c>
      <c r="E218" s="204"/>
      <c r="F218" s="193">
        <v>300000</v>
      </c>
      <c r="G218" s="193">
        <v>300000</v>
      </c>
      <c r="H218" s="204"/>
      <c r="I218" s="193">
        <f>F218*1.051</f>
        <v>315300</v>
      </c>
      <c r="J218" s="193">
        <f>G218*1.051</f>
        <v>315300</v>
      </c>
      <c r="K218" s="232"/>
    </row>
    <row r="219" spans="1:11" ht="47.25" customHeight="1">
      <c r="A219" s="59" t="s">
        <v>377</v>
      </c>
      <c r="B219" s="232"/>
      <c r="C219" s="193">
        <v>12000</v>
      </c>
      <c r="D219" s="193">
        <v>12000</v>
      </c>
      <c r="E219" s="204"/>
      <c r="F219" s="193">
        <v>33400</v>
      </c>
      <c r="G219" s="193">
        <v>33400</v>
      </c>
      <c r="H219" s="204"/>
      <c r="I219" s="193">
        <f>F219*1.051</f>
        <v>35103.399999999994</v>
      </c>
      <c r="J219" s="193">
        <f>G219*1.051</f>
        <v>35103.399999999994</v>
      </c>
      <c r="K219" s="232"/>
    </row>
    <row r="220" spans="1:11" ht="23.25">
      <c r="A220" s="233" t="s">
        <v>123</v>
      </c>
      <c r="B220" s="46"/>
      <c r="C220" s="44"/>
      <c r="D220" s="44"/>
      <c r="E220" s="44"/>
      <c r="F220" s="44"/>
      <c r="G220" s="44"/>
      <c r="H220" s="44"/>
      <c r="I220" s="44"/>
      <c r="J220" s="44"/>
      <c r="K220" s="43"/>
    </row>
    <row r="221" spans="1:11" ht="23.25">
      <c r="A221" s="59" t="s">
        <v>167</v>
      </c>
      <c r="B221" s="46"/>
      <c r="C221" s="44">
        <v>60100</v>
      </c>
      <c r="D221" s="44">
        <v>60100</v>
      </c>
      <c r="E221" s="44"/>
      <c r="F221" s="44">
        <v>54221</v>
      </c>
      <c r="G221" s="44">
        <v>54221</v>
      </c>
      <c r="H221" s="44"/>
      <c r="I221" s="44">
        <v>60100</v>
      </c>
      <c r="J221" s="44">
        <v>60100</v>
      </c>
      <c r="K221" s="43"/>
    </row>
    <row r="222" spans="1:11" ht="23.25">
      <c r="A222" s="59" t="s">
        <v>168</v>
      </c>
      <c r="B222" s="46"/>
      <c r="C222" s="44">
        <v>2250</v>
      </c>
      <c r="D222" s="44">
        <v>2250</v>
      </c>
      <c r="E222" s="44"/>
      <c r="F222" s="44">
        <v>3281</v>
      </c>
      <c r="G222" s="44">
        <v>3281</v>
      </c>
      <c r="H222" s="44"/>
      <c r="I222" s="44">
        <v>2250</v>
      </c>
      <c r="J222" s="44">
        <v>2250</v>
      </c>
      <c r="K222" s="43"/>
    </row>
    <row r="223" spans="1:11" ht="23.25">
      <c r="A223" s="59" t="s">
        <v>169</v>
      </c>
      <c r="B223" s="46"/>
      <c r="C223" s="44">
        <v>150</v>
      </c>
      <c r="D223" s="44">
        <v>150</v>
      </c>
      <c r="E223" s="44"/>
      <c r="F223" s="44">
        <v>3895</v>
      </c>
      <c r="G223" s="44">
        <v>3895</v>
      </c>
      <c r="H223" s="44"/>
      <c r="I223" s="44">
        <v>3895</v>
      </c>
      <c r="J223" s="44">
        <v>3895</v>
      </c>
      <c r="K223" s="43"/>
    </row>
    <row r="224" spans="1:11" ht="23.25">
      <c r="A224" s="233" t="s">
        <v>124</v>
      </c>
      <c r="B224" s="46"/>
      <c r="C224" s="44"/>
      <c r="D224" s="44"/>
      <c r="E224" s="44"/>
      <c r="F224" s="44"/>
      <c r="G224" s="44"/>
      <c r="H224" s="44"/>
      <c r="I224" s="44"/>
      <c r="J224" s="44"/>
      <c r="K224" s="43"/>
    </row>
    <row r="225" spans="1:11" ht="23.25">
      <c r="A225" s="55" t="s">
        <v>170</v>
      </c>
      <c r="B225" s="46"/>
      <c r="C225" s="44">
        <f t="shared" ref="C225:D227" si="5">C217/C221</f>
        <v>11.074708818635607</v>
      </c>
      <c r="D225" s="44">
        <f t="shared" si="5"/>
        <v>0</v>
      </c>
      <c r="E225" s="44"/>
      <c r="F225" s="44">
        <f t="shared" ref="F225:G227" si="6">F217/F221</f>
        <v>10.462735840357057</v>
      </c>
      <c r="G225" s="44">
        <f t="shared" si="6"/>
        <v>10.462735840357057</v>
      </c>
      <c r="H225" s="44"/>
      <c r="I225" s="44">
        <f t="shared" ref="I225:J227" si="7">I217/I221</f>
        <v>10.057387687188021</v>
      </c>
      <c r="J225" s="44">
        <f t="shared" si="7"/>
        <v>10.057387687188021</v>
      </c>
      <c r="K225" s="43"/>
    </row>
    <row r="226" spans="1:11" ht="46.5">
      <c r="A226" s="55" t="s">
        <v>373</v>
      </c>
      <c r="B226" s="46"/>
      <c r="C226" s="44">
        <f t="shared" si="5"/>
        <v>69.248888888888885</v>
      </c>
      <c r="D226" s="44">
        <f t="shared" si="5"/>
        <v>69.248888888888885</v>
      </c>
      <c r="E226" s="44"/>
      <c r="F226" s="44">
        <f t="shared" si="6"/>
        <v>91.435537945748251</v>
      </c>
      <c r="G226" s="44">
        <f t="shared" si="6"/>
        <v>91.435537945748251</v>
      </c>
      <c r="H226" s="44"/>
      <c r="I226" s="44">
        <f t="shared" si="7"/>
        <v>140.13333333333333</v>
      </c>
      <c r="J226" s="44">
        <f t="shared" si="7"/>
        <v>140.13333333333333</v>
      </c>
      <c r="K226" s="43"/>
    </row>
    <row r="227" spans="1:11" ht="46.5">
      <c r="A227" s="55" t="s">
        <v>374</v>
      </c>
      <c r="B227" s="46"/>
      <c r="C227" s="44">
        <f t="shared" si="5"/>
        <v>80</v>
      </c>
      <c r="D227" s="44">
        <f t="shared" si="5"/>
        <v>80</v>
      </c>
      <c r="E227" s="44"/>
      <c r="F227" s="44">
        <f t="shared" si="6"/>
        <v>8.5750962772785631</v>
      </c>
      <c r="G227" s="44">
        <f t="shared" si="6"/>
        <v>8.5750962772785631</v>
      </c>
      <c r="H227" s="44"/>
      <c r="I227" s="44">
        <f t="shared" si="7"/>
        <v>9.0124261874197682</v>
      </c>
      <c r="J227" s="44">
        <f t="shared" si="7"/>
        <v>9.0124261874197682</v>
      </c>
      <c r="K227" s="43"/>
    </row>
    <row r="228" spans="1:11" ht="23.25">
      <c r="A228" s="56" t="s">
        <v>116</v>
      </c>
      <c r="B228" s="619" t="s">
        <v>307</v>
      </c>
      <c r="C228" s="619"/>
      <c r="D228" s="619"/>
      <c r="E228" s="619"/>
      <c r="F228" s="619"/>
      <c r="G228" s="619"/>
      <c r="H228" s="619"/>
      <c r="I228" s="619"/>
      <c r="J228" s="619"/>
      <c r="K228" s="619"/>
    </row>
    <row r="229" spans="1:11" ht="22.5">
      <c r="A229" s="192" t="s">
        <v>119</v>
      </c>
      <c r="B229" s="612" t="s">
        <v>163</v>
      </c>
      <c r="C229" s="613"/>
      <c r="D229" s="613"/>
      <c r="E229" s="613"/>
      <c r="F229" s="613"/>
      <c r="G229" s="613"/>
      <c r="H229" s="613"/>
      <c r="I229" s="613"/>
      <c r="J229" s="613"/>
      <c r="K229" s="614"/>
    </row>
    <row r="230" spans="1:11" ht="23.25">
      <c r="A230" s="233" t="s">
        <v>121</v>
      </c>
      <c r="B230" s="232">
        <f>C230+F230+I230</f>
        <v>900000</v>
      </c>
      <c r="C230" s="232">
        <f>D230+E230</f>
        <v>900000</v>
      </c>
      <c r="D230" s="229">
        <f>'Додаток 3'!I161*1000</f>
        <v>900000</v>
      </c>
      <c r="E230" s="232"/>
      <c r="F230" s="232">
        <f>G230+H230</f>
        <v>0</v>
      </c>
      <c r="G230" s="232">
        <f>'Додаток 3'!J161*1000</f>
        <v>0</v>
      </c>
      <c r="H230" s="232"/>
      <c r="I230" s="232">
        <f>J230+K230</f>
        <v>0</v>
      </c>
      <c r="J230" s="232">
        <f>'Додаток 3'!K161*1000</f>
        <v>0</v>
      </c>
      <c r="K230" s="232"/>
    </row>
    <row r="231" spans="1:11" ht="23.25">
      <c r="A231" s="233" t="s">
        <v>123</v>
      </c>
      <c r="B231" s="46"/>
      <c r="C231" s="44"/>
      <c r="D231" s="44"/>
      <c r="E231" s="44"/>
      <c r="F231" s="44"/>
      <c r="G231" s="44"/>
      <c r="H231" s="44"/>
      <c r="I231" s="44"/>
      <c r="J231" s="44"/>
      <c r="K231" s="43"/>
    </row>
    <row r="232" spans="1:11" ht="46.5">
      <c r="A232" s="59" t="s">
        <v>171</v>
      </c>
      <c r="B232" s="46"/>
      <c r="C232" s="44">
        <v>6</v>
      </c>
      <c r="D232" s="44">
        <v>6</v>
      </c>
      <c r="E232" s="44"/>
      <c r="F232" s="44"/>
      <c r="G232" s="44"/>
      <c r="H232" s="44"/>
      <c r="I232" s="44"/>
      <c r="J232" s="44"/>
      <c r="K232" s="43"/>
    </row>
    <row r="233" spans="1:11" ht="23.25">
      <c r="A233" s="233" t="s">
        <v>124</v>
      </c>
      <c r="B233" s="46"/>
      <c r="C233" s="44"/>
      <c r="D233" s="44"/>
      <c r="E233" s="44"/>
      <c r="F233" s="44"/>
      <c r="G233" s="44"/>
      <c r="H233" s="44"/>
      <c r="I233" s="44"/>
      <c r="J233" s="44"/>
      <c r="K233" s="43"/>
    </row>
    <row r="234" spans="1:11" ht="53.25" customHeight="1">
      <c r="A234" s="55" t="s">
        <v>378</v>
      </c>
      <c r="B234" s="46"/>
      <c r="C234" s="44">
        <f>C230/C232</f>
        <v>150000</v>
      </c>
      <c r="D234" s="44">
        <f>D230/D232</f>
        <v>150000</v>
      </c>
      <c r="E234" s="44"/>
      <c r="F234" s="44"/>
      <c r="G234" s="44"/>
      <c r="H234" s="44"/>
      <c r="I234" s="44"/>
      <c r="J234" s="44"/>
      <c r="K234" s="43"/>
    </row>
    <row r="235" spans="1:11" ht="23.25">
      <c r="A235" s="56" t="s">
        <v>116</v>
      </c>
      <c r="B235" s="619" t="s">
        <v>308</v>
      </c>
      <c r="C235" s="619"/>
      <c r="D235" s="619"/>
      <c r="E235" s="619"/>
      <c r="F235" s="619"/>
      <c r="G235" s="619"/>
      <c r="H235" s="619"/>
      <c r="I235" s="619"/>
      <c r="J235" s="619"/>
      <c r="K235" s="619"/>
    </row>
    <row r="236" spans="1:11" ht="22.5">
      <c r="A236" s="192" t="s">
        <v>119</v>
      </c>
      <c r="B236" s="612" t="s">
        <v>163</v>
      </c>
      <c r="C236" s="613"/>
      <c r="D236" s="613"/>
      <c r="E236" s="613"/>
      <c r="F236" s="613"/>
      <c r="G236" s="613"/>
      <c r="H236" s="613"/>
      <c r="I236" s="613"/>
      <c r="J236" s="613"/>
      <c r="K236" s="614"/>
    </row>
    <row r="237" spans="1:11" ht="20.25" customHeight="1">
      <c r="A237" s="192" t="s">
        <v>161</v>
      </c>
      <c r="B237" s="612" t="s">
        <v>162</v>
      </c>
      <c r="C237" s="613"/>
      <c r="D237" s="613"/>
      <c r="E237" s="613"/>
      <c r="F237" s="613"/>
      <c r="G237" s="613"/>
      <c r="H237" s="613"/>
      <c r="I237" s="613"/>
      <c r="J237" s="613"/>
      <c r="K237" s="614"/>
    </row>
    <row r="238" spans="1:11" ht="22.5">
      <c r="A238" s="233" t="s">
        <v>121</v>
      </c>
      <c r="B238" s="232">
        <f>C238+F238+I238</f>
        <v>25082925.910400003</v>
      </c>
      <c r="C238" s="232">
        <f>D238+E238</f>
        <v>7490900</v>
      </c>
      <c r="D238" s="232">
        <f>'Додаток 3'!I162*1000</f>
        <v>7490900</v>
      </c>
      <c r="E238" s="232"/>
      <c r="F238" s="232">
        <f>G238+H238</f>
        <v>8565590.4000000004</v>
      </c>
      <c r="G238" s="232">
        <f>'Додаток 3'!J162*1000</f>
        <v>8565590.4000000004</v>
      </c>
      <c r="H238" s="232"/>
      <c r="I238" s="232">
        <f>J238+K238</f>
        <v>9026435.510400001</v>
      </c>
      <c r="J238" s="232">
        <f>'Додаток 3'!K162*1000</f>
        <v>9026435.510400001</v>
      </c>
      <c r="K238" s="232"/>
    </row>
    <row r="239" spans="1:11" ht="23.25">
      <c r="A239" s="233" t="s">
        <v>123</v>
      </c>
      <c r="B239" s="46"/>
      <c r="C239" s="44"/>
      <c r="D239" s="44"/>
      <c r="E239" s="44"/>
      <c r="F239" s="44"/>
      <c r="G239" s="44"/>
      <c r="H239" s="44"/>
      <c r="I239" s="44"/>
      <c r="J239" s="44"/>
      <c r="K239" s="43"/>
    </row>
    <row r="240" spans="1:11" ht="46.5">
      <c r="A240" s="59" t="s">
        <v>172</v>
      </c>
      <c r="B240" s="46"/>
      <c r="C240" s="44">
        <v>39</v>
      </c>
      <c r="D240" s="44">
        <v>39</v>
      </c>
      <c r="E240" s="44"/>
      <c r="F240" s="44">
        <v>39</v>
      </c>
      <c r="G240" s="44">
        <v>39</v>
      </c>
      <c r="H240" s="44"/>
      <c r="I240" s="44">
        <v>39</v>
      </c>
      <c r="J240" s="44">
        <v>39</v>
      </c>
      <c r="K240" s="43"/>
    </row>
    <row r="241" spans="1:11" ht="23.25">
      <c r="A241" s="233" t="s">
        <v>124</v>
      </c>
      <c r="B241" s="46"/>
      <c r="C241" s="44"/>
      <c r="D241" s="44"/>
      <c r="E241" s="44"/>
      <c r="F241" s="44"/>
      <c r="G241" s="44"/>
      <c r="H241" s="44"/>
      <c r="I241" s="44"/>
      <c r="J241" s="44"/>
      <c r="K241" s="43"/>
    </row>
    <row r="242" spans="1:11" ht="69.75" customHeight="1">
      <c r="A242" s="55" t="s">
        <v>173</v>
      </c>
      <c r="B242" s="46"/>
      <c r="C242" s="44">
        <f>C238/C240</f>
        <v>192074.35897435897</v>
      </c>
      <c r="D242" s="44">
        <f>D238/D240</f>
        <v>192074.35897435897</v>
      </c>
      <c r="E242" s="44"/>
      <c r="F242" s="44">
        <f>F238/F240</f>
        <v>219630.5230769231</v>
      </c>
      <c r="G242" s="44">
        <f>G238/G240</f>
        <v>219630.5230769231</v>
      </c>
      <c r="H242" s="44"/>
      <c r="I242" s="44">
        <f>I238/I240</f>
        <v>231447.06436923079</v>
      </c>
      <c r="J242" s="44">
        <f>J238/J240</f>
        <v>231447.06436923079</v>
      </c>
      <c r="K242" s="43"/>
    </row>
    <row r="243" spans="1:11" ht="23.25">
      <c r="A243" s="56" t="s">
        <v>116</v>
      </c>
      <c r="B243" s="619" t="s">
        <v>309</v>
      </c>
      <c r="C243" s="619"/>
      <c r="D243" s="619"/>
      <c r="E243" s="619"/>
      <c r="F243" s="619"/>
      <c r="G243" s="619"/>
      <c r="H243" s="619"/>
      <c r="I243" s="619"/>
      <c r="J243" s="619"/>
      <c r="K243" s="619"/>
    </row>
    <row r="244" spans="1:11" ht="22.5">
      <c r="A244" s="192" t="s">
        <v>119</v>
      </c>
      <c r="B244" s="612" t="s">
        <v>163</v>
      </c>
      <c r="C244" s="613"/>
      <c r="D244" s="613"/>
      <c r="E244" s="613"/>
      <c r="F244" s="613"/>
      <c r="G244" s="613"/>
      <c r="H244" s="613"/>
      <c r="I244" s="613"/>
      <c r="J244" s="613"/>
      <c r="K244" s="614"/>
    </row>
    <row r="245" spans="1:11" ht="22.5">
      <c r="A245" s="233" t="s">
        <v>121</v>
      </c>
      <c r="B245" s="232">
        <f>C245+F245+I245</f>
        <v>420000</v>
      </c>
      <c r="C245" s="232">
        <f>D245+E245</f>
        <v>420000</v>
      </c>
      <c r="D245" s="232">
        <f>'Додаток 3'!I166*1000</f>
        <v>420000</v>
      </c>
      <c r="E245" s="232"/>
      <c r="F245" s="232">
        <f>G245+H245</f>
        <v>0</v>
      </c>
      <c r="G245" s="232">
        <f>'Додаток 3'!J166*1000</f>
        <v>0</v>
      </c>
      <c r="H245" s="232"/>
      <c r="I245" s="232">
        <f>J245+K245</f>
        <v>0</v>
      </c>
      <c r="J245" s="232">
        <f>'Додаток 3'!K166*1000</f>
        <v>0</v>
      </c>
      <c r="K245" s="232"/>
    </row>
    <row r="246" spans="1:11" ht="23.25">
      <c r="A246" s="233" t="s">
        <v>123</v>
      </c>
      <c r="B246" s="46"/>
      <c r="C246" s="44"/>
      <c r="D246" s="44"/>
      <c r="E246" s="44"/>
      <c r="F246" s="44"/>
      <c r="G246" s="44"/>
      <c r="H246" s="44"/>
      <c r="I246" s="44"/>
      <c r="J246" s="44"/>
      <c r="K246" s="43"/>
    </row>
    <row r="247" spans="1:11" ht="46.5">
      <c r="A247" s="59" t="s">
        <v>310</v>
      </c>
      <c r="B247" s="46"/>
      <c r="C247" s="44">
        <v>2</v>
      </c>
      <c r="D247" s="44">
        <v>2</v>
      </c>
      <c r="E247" s="44"/>
      <c r="F247" s="44"/>
      <c r="G247" s="44"/>
      <c r="H247" s="44"/>
      <c r="I247" s="44"/>
      <c r="J247" s="44"/>
      <c r="K247" s="43"/>
    </row>
    <row r="248" spans="1:11" ht="23.25">
      <c r="A248" s="233" t="s">
        <v>124</v>
      </c>
      <c r="B248" s="46"/>
      <c r="C248" s="44"/>
      <c r="D248" s="44"/>
      <c r="E248" s="44"/>
      <c r="F248" s="44"/>
      <c r="G248" s="44"/>
      <c r="H248" s="44"/>
      <c r="I248" s="44"/>
      <c r="J248" s="44"/>
      <c r="K248" s="43"/>
    </row>
    <row r="249" spans="1:11" ht="69.75">
      <c r="A249" s="55" t="s">
        <v>174</v>
      </c>
      <c r="B249" s="46"/>
      <c r="C249" s="44">
        <f>C245/C247</f>
        <v>210000</v>
      </c>
      <c r="D249" s="44">
        <f>D245/D247</f>
        <v>210000</v>
      </c>
      <c r="E249" s="44"/>
      <c r="F249" s="44"/>
      <c r="G249" s="44"/>
      <c r="H249" s="44"/>
      <c r="I249" s="44"/>
      <c r="J249" s="44"/>
      <c r="K249" s="43"/>
    </row>
    <row r="250" spans="1:11" ht="23.25">
      <c r="A250" s="56" t="s">
        <v>116</v>
      </c>
      <c r="B250" s="619" t="s">
        <v>57</v>
      </c>
      <c r="C250" s="619"/>
      <c r="D250" s="619"/>
      <c r="E250" s="619"/>
      <c r="F250" s="619"/>
      <c r="G250" s="619"/>
      <c r="H250" s="619"/>
      <c r="I250" s="619"/>
      <c r="J250" s="619"/>
      <c r="K250" s="619"/>
    </row>
    <row r="251" spans="1:11" ht="22.5">
      <c r="A251" s="192" t="s">
        <v>148</v>
      </c>
      <c r="B251" s="612" t="s">
        <v>166</v>
      </c>
      <c r="C251" s="613"/>
      <c r="D251" s="613"/>
      <c r="E251" s="613"/>
      <c r="F251" s="613"/>
      <c r="G251" s="613"/>
      <c r="H251" s="613"/>
      <c r="I251" s="613"/>
      <c r="J251" s="613"/>
      <c r="K251" s="614"/>
    </row>
    <row r="252" spans="1:11" ht="23.25">
      <c r="A252" s="233" t="s">
        <v>121</v>
      </c>
      <c r="B252" s="232">
        <f>C252+F252+I252</f>
        <v>5857900</v>
      </c>
      <c r="C252" s="232">
        <f>D252+E252</f>
        <v>1921300</v>
      </c>
      <c r="D252" s="229">
        <f>'Додаток 3'!I167*1000</f>
        <v>1921300</v>
      </c>
      <c r="E252" s="232"/>
      <c r="F252" s="232">
        <f>G252+H252</f>
        <v>1906600</v>
      </c>
      <c r="G252" s="232">
        <f>'Додаток 3'!J167*1000</f>
        <v>1906600</v>
      </c>
      <c r="H252" s="232"/>
      <c r="I252" s="232">
        <f>J252+K252</f>
        <v>2030000</v>
      </c>
      <c r="J252" s="232">
        <f>'Додаток 3'!K167*1000</f>
        <v>2030000</v>
      </c>
      <c r="K252" s="196"/>
    </row>
    <row r="253" spans="1:11" ht="23.25">
      <c r="A253" s="233" t="s">
        <v>123</v>
      </c>
      <c r="B253" s="46"/>
      <c r="C253" s="44"/>
      <c r="D253" s="44"/>
      <c r="E253" s="44"/>
      <c r="F253" s="44"/>
      <c r="G253" s="44"/>
      <c r="H253" s="44"/>
      <c r="I253" s="44"/>
      <c r="J253" s="44"/>
      <c r="K253" s="43"/>
    </row>
    <row r="254" spans="1:11" ht="46.5">
      <c r="A254" s="59" t="s">
        <v>175</v>
      </c>
      <c r="B254" s="46"/>
      <c r="C254" s="44">
        <v>8805</v>
      </c>
      <c r="D254" s="44">
        <v>8805</v>
      </c>
      <c r="E254" s="44"/>
      <c r="F254" s="44">
        <f>C254</f>
        <v>8805</v>
      </c>
      <c r="G254" s="44">
        <v>8805</v>
      </c>
      <c r="H254" s="44"/>
      <c r="I254" s="44">
        <f>F254</f>
        <v>8805</v>
      </c>
      <c r="J254" s="44">
        <v>8805</v>
      </c>
      <c r="K254" s="43"/>
    </row>
    <row r="255" spans="1:11" ht="54.75" customHeight="1">
      <c r="A255" s="59" t="s">
        <v>176</v>
      </c>
      <c r="B255" s="46"/>
      <c r="C255" s="44">
        <v>749</v>
      </c>
      <c r="D255" s="44">
        <v>749</v>
      </c>
      <c r="E255" s="44"/>
      <c r="F255" s="44">
        <v>749</v>
      </c>
      <c r="G255" s="44">
        <v>749</v>
      </c>
      <c r="H255" s="44"/>
      <c r="I255" s="44">
        <v>749</v>
      </c>
      <c r="J255" s="44">
        <v>749</v>
      </c>
      <c r="K255" s="43"/>
    </row>
    <row r="256" spans="1:11" ht="23.25">
      <c r="A256" s="233" t="s">
        <v>124</v>
      </c>
      <c r="B256" s="46"/>
      <c r="C256" s="44"/>
      <c r="D256" s="44"/>
      <c r="E256" s="44"/>
      <c r="F256" s="44"/>
      <c r="G256" s="44"/>
      <c r="H256" s="44"/>
      <c r="I256" s="44"/>
      <c r="J256" s="44"/>
      <c r="K256" s="43"/>
    </row>
    <row r="257" spans="1:12" ht="24" customHeight="1">
      <c r="A257" s="55" t="s">
        <v>177</v>
      </c>
      <c r="B257" s="46"/>
      <c r="C257" s="44">
        <f>C252/C255</f>
        <v>2565.1535380507344</v>
      </c>
      <c r="D257" s="44">
        <v>2565.1535380507344</v>
      </c>
      <c r="E257" s="44"/>
      <c r="F257" s="44">
        <f>F252/F255</f>
        <v>2545.5273698264355</v>
      </c>
      <c r="G257" s="44">
        <f>G252/G255</f>
        <v>2545.5273698264355</v>
      </c>
      <c r="H257" s="44"/>
      <c r="I257" s="44">
        <f>I252/I255</f>
        <v>2710.2803738317757</v>
      </c>
      <c r="J257" s="44">
        <v>2710.2803738317757</v>
      </c>
      <c r="K257" s="43"/>
    </row>
    <row r="258" spans="1:12" ht="69.75">
      <c r="A258" s="55" t="s">
        <v>178</v>
      </c>
      <c r="B258" s="46"/>
      <c r="C258" s="44">
        <f>C255/C254*100</f>
        <v>8.5065303804656445</v>
      </c>
      <c r="D258" s="44">
        <v>8.5065303804656445</v>
      </c>
      <c r="E258" s="44"/>
      <c r="F258" s="44">
        <f>F255/F254*100</f>
        <v>8.5065303804656445</v>
      </c>
      <c r="G258" s="44">
        <v>9</v>
      </c>
      <c r="H258" s="44"/>
      <c r="I258" s="44">
        <f>I255/I254*100</f>
        <v>8.5065303804656445</v>
      </c>
      <c r="J258" s="44">
        <v>8.5065303804656445</v>
      </c>
      <c r="K258" s="43"/>
    </row>
    <row r="259" spans="1:12" ht="23.25">
      <c r="A259" s="56" t="s">
        <v>116</v>
      </c>
      <c r="B259" s="619" t="s">
        <v>311</v>
      </c>
      <c r="C259" s="619"/>
      <c r="D259" s="619"/>
      <c r="E259" s="619"/>
      <c r="F259" s="619"/>
      <c r="G259" s="619"/>
      <c r="H259" s="619"/>
      <c r="I259" s="619"/>
      <c r="J259" s="619"/>
      <c r="K259" s="619"/>
    </row>
    <row r="260" spans="1:12" ht="22.5">
      <c r="A260" s="192" t="s">
        <v>119</v>
      </c>
      <c r="B260" s="612" t="s">
        <v>163</v>
      </c>
      <c r="C260" s="613"/>
      <c r="D260" s="613"/>
      <c r="E260" s="613"/>
      <c r="F260" s="613"/>
      <c r="G260" s="613"/>
      <c r="H260" s="613"/>
      <c r="I260" s="613"/>
      <c r="J260" s="613"/>
      <c r="K260" s="614"/>
    </row>
    <row r="261" spans="1:12" ht="23.25">
      <c r="A261" s="233" t="s">
        <v>121</v>
      </c>
      <c r="B261" s="232">
        <f>C261+F261+I261</f>
        <v>533400</v>
      </c>
      <c r="C261" s="232">
        <f>D261+E261</f>
        <v>120000</v>
      </c>
      <c r="D261" s="229">
        <f>'Додаток 3'!I170*1000</f>
        <v>120000</v>
      </c>
      <c r="E261" s="232"/>
      <c r="F261" s="232">
        <f>G261+H261</f>
        <v>200000</v>
      </c>
      <c r="G261" s="232">
        <f>'Додаток 3'!J170*1000</f>
        <v>200000</v>
      </c>
      <c r="H261" s="232"/>
      <c r="I261" s="232">
        <f>J261+K261</f>
        <v>213400</v>
      </c>
      <c r="J261" s="232">
        <f>'Додаток 3'!K170*1000</f>
        <v>213400</v>
      </c>
      <c r="K261" s="232"/>
      <c r="L261" s="97"/>
    </row>
    <row r="262" spans="1:12" ht="23.25">
      <c r="A262" s="233" t="s">
        <v>123</v>
      </c>
      <c r="B262" s="232"/>
      <c r="C262" s="196"/>
      <c r="D262" s="56"/>
      <c r="E262" s="196"/>
      <c r="F262" s="196"/>
      <c r="G262" s="196"/>
      <c r="H262" s="196"/>
      <c r="I262" s="196"/>
      <c r="J262" s="196"/>
      <c r="K262" s="232"/>
    </row>
    <row r="263" spans="1:12" ht="46.5">
      <c r="A263" s="59" t="s">
        <v>312</v>
      </c>
      <c r="B263" s="232"/>
      <c r="C263" s="193">
        <v>250</v>
      </c>
      <c r="D263" s="193">
        <v>250</v>
      </c>
      <c r="E263" s="193"/>
      <c r="F263" s="193">
        <f>G263</f>
        <v>150</v>
      </c>
      <c r="G263" s="193">
        <v>150</v>
      </c>
      <c r="H263" s="193"/>
      <c r="I263" s="193">
        <f>J263</f>
        <v>150</v>
      </c>
      <c r="J263" s="193">
        <v>150</v>
      </c>
      <c r="K263" s="232"/>
    </row>
    <row r="264" spans="1:12" ht="23.25" hidden="1">
      <c r="A264" s="233" t="s">
        <v>123</v>
      </c>
      <c r="B264" s="46"/>
      <c r="C264" s="44"/>
      <c r="D264" s="44"/>
      <c r="E264" s="44"/>
      <c r="F264" s="44"/>
      <c r="G264" s="44"/>
      <c r="H264" s="44"/>
      <c r="I264" s="44"/>
      <c r="J264" s="44"/>
      <c r="K264" s="43"/>
    </row>
    <row r="265" spans="1:12" ht="23.25" hidden="1">
      <c r="A265" s="57" t="s">
        <v>122</v>
      </c>
      <c r="B265" s="46"/>
      <c r="C265" s="44">
        <v>1</v>
      </c>
      <c r="D265" s="44">
        <v>1</v>
      </c>
      <c r="E265" s="44"/>
      <c r="F265" s="44">
        <f>C265</f>
        <v>1</v>
      </c>
      <c r="G265" s="44">
        <f>D265</f>
        <v>1</v>
      </c>
      <c r="H265" s="44"/>
      <c r="I265" s="44">
        <f>F265</f>
        <v>1</v>
      </c>
      <c r="J265" s="44">
        <f>G265</f>
        <v>1</v>
      </c>
      <c r="K265" s="43"/>
    </row>
    <row r="266" spans="1:12" ht="46.5" hidden="1">
      <c r="A266" s="59" t="s">
        <v>179</v>
      </c>
      <c r="B266" s="46"/>
      <c r="C266" s="44"/>
      <c r="D266" s="44"/>
      <c r="E266" s="44"/>
      <c r="F266" s="44"/>
      <c r="G266" s="44"/>
      <c r="H266" s="44"/>
      <c r="I266" s="44"/>
      <c r="J266" s="44"/>
      <c r="K266" s="43"/>
    </row>
    <row r="267" spans="1:12" ht="23.25" hidden="1">
      <c r="A267" s="233" t="s">
        <v>124</v>
      </c>
      <c r="B267" s="46"/>
      <c r="C267" s="44"/>
      <c r="D267" s="44"/>
      <c r="E267" s="44"/>
      <c r="F267" s="44"/>
      <c r="G267" s="44"/>
      <c r="H267" s="44"/>
      <c r="I267" s="44"/>
      <c r="J267" s="44"/>
      <c r="K267" s="43"/>
    </row>
    <row r="268" spans="1:12" ht="18" hidden="1" customHeight="1">
      <c r="A268" s="55" t="s">
        <v>180</v>
      </c>
      <c r="B268" s="46"/>
      <c r="C268" s="44" t="e">
        <f>C261/C266</f>
        <v>#DIV/0!</v>
      </c>
      <c r="D268" s="44" t="e">
        <f>D261/D266</f>
        <v>#DIV/0!</v>
      </c>
      <c r="E268" s="44"/>
      <c r="F268" s="44"/>
      <c r="G268" s="44"/>
      <c r="H268" s="44"/>
      <c r="I268" s="44"/>
      <c r="J268" s="44"/>
      <c r="K268" s="43"/>
    </row>
    <row r="269" spans="1:12" ht="17.25" hidden="1" customHeight="1">
      <c r="A269" s="63" t="s">
        <v>125</v>
      </c>
      <c r="B269" s="46"/>
      <c r="C269" s="44"/>
      <c r="D269" s="44"/>
      <c r="E269" s="44"/>
      <c r="F269" s="44"/>
      <c r="G269" s="44"/>
      <c r="H269" s="44"/>
      <c r="I269" s="44"/>
      <c r="J269" s="44"/>
      <c r="K269" s="43"/>
    </row>
    <row r="270" spans="1:12" ht="46.5" hidden="1">
      <c r="A270" s="55" t="s">
        <v>181</v>
      </c>
      <c r="B270" s="46"/>
      <c r="C270" s="44">
        <f>C266/C263*100</f>
        <v>0</v>
      </c>
      <c r="D270" s="44">
        <f>D266/D263*100</f>
        <v>0</v>
      </c>
      <c r="E270" s="44"/>
      <c r="F270" s="44"/>
      <c r="G270" s="44"/>
      <c r="H270" s="44"/>
      <c r="I270" s="44"/>
      <c r="J270" s="44"/>
      <c r="K270" s="43"/>
    </row>
    <row r="271" spans="1:12" ht="46.5">
      <c r="A271" s="55" t="s">
        <v>179</v>
      </c>
      <c r="B271" s="46"/>
      <c r="C271" s="44">
        <v>43</v>
      </c>
      <c r="D271" s="44">
        <v>43</v>
      </c>
      <c r="E271" s="44"/>
      <c r="F271" s="44">
        <f>G271</f>
        <v>67</v>
      </c>
      <c r="G271" s="44">
        <v>67</v>
      </c>
      <c r="H271" s="44"/>
      <c r="I271" s="44">
        <f>J271</f>
        <v>67</v>
      </c>
      <c r="J271" s="44">
        <v>67</v>
      </c>
      <c r="K271" s="43"/>
    </row>
    <row r="272" spans="1:12" ht="23.25">
      <c r="A272" s="233" t="s">
        <v>124</v>
      </c>
      <c r="B272" s="46"/>
      <c r="C272" s="44"/>
      <c r="D272" s="44"/>
      <c r="E272" s="44"/>
      <c r="F272" s="44"/>
      <c r="G272" s="44"/>
      <c r="H272" s="44"/>
      <c r="I272" s="44"/>
      <c r="J272" s="44"/>
      <c r="K272" s="43"/>
    </row>
    <row r="273" spans="1:11" ht="46.5">
      <c r="A273" s="54" t="s">
        <v>313</v>
      </c>
      <c r="B273" s="46"/>
      <c r="C273" s="44">
        <f>C261/C271</f>
        <v>2790.6976744186045</v>
      </c>
      <c r="D273" s="44">
        <f>D261/D271</f>
        <v>2790.6976744186045</v>
      </c>
      <c r="E273" s="44"/>
      <c r="F273" s="44">
        <f>G273</f>
        <v>2985.0746268656717</v>
      </c>
      <c r="G273" s="44">
        <f>G261/G271</f>
        <v>2985.0746268656717</v>
      </c>
      <c r="H273" s="44"/>
      <c r="I273" s="44">
        <f>J273</f>
        <v>3185.0746268656717</v>
      </c>
      <c r="J273" s="44">
        <f>J261/J271</f>
        <v>3185.0746268656717</v>
      </c>
      <c r="K273" s="43"/>
    </row>
    <row r="274" spans="1:11" ht="47.25" customHeight="1">
      <c r="A274" s="55" t="s">
        <v>181</v>
      </c>
      <c r="B274" s="46"/>
      <c r="C274" s="44">
        <f>C271/C263*100</f>
        <v>17.2</v>
      </c>
      <c r="D274" s="44">
        <f>D271/D263*100</f>
        <v>17.2</v>
      </c>
      <c r="E274" s="44"/>
      <c r="F274" s="44">
        <f>G274</f>
        <v>44.666666666666664</v>
      </c>
      <c r="G274" s="44">
        <f>G271/G263*100</f>
        <v>44.666666666666664</v>
      </c>
      <c r="H274" s="44"/>
      <c r="I274" s="44">
        <f>J274</f>
        <v>44.666666666666664</v>
      </c>
      <c r="J274" s="44">
        <f>J271/J263*100</f>
        <v>44.666666666666664</v>
      </c>
      <c r="K274" s="43"/>
    </row>
    <row r="275" spans="1:11" ht="23.25">
      <c r="A275" s="56" t="s">
        <v>116</v>
      </c>
      <c r="B275" s="619" t="s">
        <v>314</v>
      </c>
      <c r="C275" s="619"/>
      <c r="D275" s="619"/>
      <c r="E275" s="619"/>
      <c r="F275" s="619"/>
      <c r="G275" s="619"/>
      <c r="H275" s="619"/>
      <c r="I275" s="619"/>
      <c r="J275" s="619"/>
      <c r="K275" s="619"/>
    </row>
    <row r="276" spans="1:11" ht="22.5">
      <c r="A276" s="192" t="s">
        <v>188</v>
      </c>
      <c r="B276" s="612" t="s">
        <v>189</v>
      </c>
      <c r="C276" s="613"/>
      <c r="D276" s="613"/>
      <c r="E276" s="613"/>
      <c r="F276" s="613"/>
      <c r="G276" s="613"/>
      <c r="H276" s="613"/>
      <c r="I276" s="613"/>
      <c r="J276" s="613"/>
      <c r="K276" s="614"/>
    </row>
    <row r="277" spans="1:11" ht="21.75" customHeight="1">
      <c r="A277" s="233" t="s">
        <v>121</v>
      </c>
      <c r="B277" s="232">
        <f>C277+F277+I277</f>
        <v>19170519</v>
      </c>
      <c r="C277" s="232">
        <f>D277+E277</f>
        <v>11499719.000000002</v>
      </c>
      <c r="D277" s="229">
        <f>'Додаток 3'!I171*1000</f>
        <v>11499719.000000002</v>
      </c>
      <c r="E277" s="232"/>
      <c r="F277" s="232">
        <f>G277</f>
        <v>7670800</v>
      </c>
      <c r="G277" s="232">
        <f>'Додаток 3'!J171*1000</f>
        <v>7670800</v>
      </c>
      <c r="H277" s="232"/>
      <c r="I277" s="232"/>
      <c r="J277" s="232">
        <f>'Додаток 3'!K171*1000</f>
        <v>0</v>
      </c>
      <c r="K277" s="232"/>
    </row>
    <row r="278" spans="1:11" ht="48" customHeight="1">
      <c r="A278" s="54" t="s">
        <v>332</v>
      </c>
      <c r="B278" s="232"/>
      <c r="C278" s="193">
        <v>10532673</v>
      </c>
      <c r="D278" s="193">
        <v>10532673</v>
      </c>
      <c r="E278" s="232"/>
      <c r="F278" s="232"/>
      <c r="G278" s="232">
        <v>9712846</v>
      </c>
      <c r="H278" s="232"/>
      <c r="I278" s="232"/>
      <c r="J278" s="232"/>
      <c r="K278" s="232"/>
    </row>
    <row r="279" spans="1:11" ht="23.25">
      <c r="A279" s="233" t="s">
        <v>123</v>
      </c>
      <c r="B279" s="46"/>
      <c r="C279" s="44"/>
      <c r="D279" s="44"/>
      <c r="E279" s="44"/>
      <c r="F279" s="44"/>
      <c r="G279" s="44"/>
      <c r="H279" s="44"/>
      <c r="I279" s="44"/>
      <c r="J279" s="44"/>
      <c r="K279" s="43"/>
    </row>
    <row r="280" spans="1:11" ht="48.75" customHeight="1">
      <c r="A280" s="59" t="s">
        <v>190</v>
      </c>
      <c r="B280" s="46"/>
      <c r="C280" s="44">
        <v>1492</v>
      </c>
      <c r="D280" s="44">
        <v>1492</v>
      </c>
      <c r="E280" s="44"/>
      <c r="F280" s="44"/>
      <c r="G280" s="44">
        <f>1583+19</f>
        <v>1602</v>
      </c>
      <c r="H280" s="44"/>
      <c r="I280" s="44"/>
      <c r="J280" s="44"/>
      <c r="K280" s="43"/>
    </row>
    <row r="281" spans="1:11" ht="23.25">
      <c r="A281" s="233" t="s">
        <v>124</v>
      </c>
      <c r="B281" s="46"/>
      <c r="C281" s="44"/>
      <c r="D281" s="44"/>
      <c r="E281" s="44"/>
      <c r="F281" s="44"/>
      <c r="G281" s="44"/>
      <c r="H281" s="44"/>
      <c r="I281" s="44"/>
      <c r="J281" s="44"/>
      <c r="K281" s="43"/>
    </row>
    <row r="282" spans="1:11" ht="69.75">
      <c r="A282" s="195" t="s">
        <v>191</v>
      </c>
      <c r="B282" s="46"/>
      <c r="C282" s="44">
        <f>C277/C280</f>
        <v>7707.5864611260067</v>
      </c>
      <c r="D282" s="44">
        <f>D277/D280</f>
        <v>7707.5864611260067</v>
      </c>
      <c r="E282" s="44"/>
      <c r="F282" s="44"/>
      <c r="G282" s="44">
        <f>G277/G280</f>
        <v>4788.2646691635455</v>
      </c>
      <c r="H282" s="44"/>
      <c r="I282" s="44"/>
      <c r="J282" s="44"/>
      <c r="K282" s="43"/>
    </row>
    <row r="283" spans="1:11" ht="42.75" customHeight="1">
      <c r="A283" s="56" t="s">
        <v>116</v>
      </c>
      <c r="B283" s="641" t="s">
        <v>384</v>
      </c>
      <c r="C283" s="642"/>
      <c r="D283" s="642"/>
      <c r="E283" s="642"/>
      <c r="F283" s="642"/>
      <c r="G283" s="642"/>
      <c r="H283" s="642"/>
      <c r="I283" s="642"/>
      <c r="J283" s="642"/>
      <c r="K283" s="643"/>
    </row>
    <row r="284" spans="1:11" ht="20.25" customHeight="1">
      <c r="A284" s="192" t="s">
        <v>119</v>
      </c>
      <c r="B284" s="612" t="s">
        <v>120</v>
      </c>
      <c r="C284" s="613"/>
      <c r="D284" s="613"/>
      <c r="E284" s="613"/>
      <c r="F284" s="613"/>
      <c r="G284" s="613"/>
      <c r="H284" s="613"/>
      <c r="I284" s="613"/>
      <c r="J284" s="613"/>
      <c r="K284" s="614"/>
    </row>
    <row r="285" spans="1:11" ht="22.5">
      <c r="A285" s="233" t="s">
        <v>121</v>
      </c>
      <c r="B285" s="233">
        <f>C285+F285+I285</f>
        <v>2915160</v>
      </c>
      <c r="C285" s="233">
        <f>D285+E285</f>
        <v>789510</v>
      </c>
      <c r="D285" s="233">
        <f>'Додаток 3'!I175*1000</f>
        <v>789510</v>
      </c>
      <c r="E285" s="233"/>
      <c r="F285" s="233">
        <f>G285+H285</f>
        <v>1030300</v>
      </c>
      <c r="G285" s="233">
        <f>'Додаток 3'!J175*1000</f>
        <v>1030300</v>
      </c>
      <c r="H285" s="233"/>
      <c r="I285" s="233">
        <f>J285+K285</f>
        <v>1095350</v>
      </c>
      <c r="J285" s="233">
        <f>'Додаток 3'!K175*1000</f>
        <v>1095350</v>
      </c>
      <c r="K285" s="194"/>
    </row>
    <row r="286" spans="1:11" ht="23.25">
      <c r="A286" s="233" t="s">
        <v>123</v>
      </c>
      <c r="B286" s="46"/>
      <c r="C286" s="44"/>
      <c r="D286" s="44"/>
      <c r="E286" s="44"/>
      <c r="F286" s="44"/>
      <c r="G286" s="44"/>
      <c r="H286" s="44"/>
      <c r="I286" s="44"/>
      <c r="J286" s="44"/>
      <c r="K286" s="43"/>
    </row>
    <row r="287" spans="1:11" ht="23.25">
      <c r="A287" s="57" t="s">
        <v>130</v>
      </c>
      <c r="B287" s="46"/>
      <c r="C287" s="44">
        <v>38</v>
      </c>
      <c r="D287" s="44">
        <v>38</v>
      </c>
      <c r="E287" s="44"/>
      <c r="F287" s="44">
        <v>38</v>
      </c>
      <c r="G287" s="44">
        <v>38</v>
      </c>
      <c r="H287" s="44"/>
      <c r="I287" s="44">
        <v>38</v>
      </c>
      <c r="J287" s="44">
        <v>38</v>
      </c>
      <c r="K287" s="43"/>
    </row>
    <row r="288" spans="1:11" ht="23.25">
      <c r="A288" s="233" t="s">
        <v>124</v>
      </c>
      <c r="B288" s="46"/>
      <c r="C288" s="44"/>
      <c r="D288" s="44"/>
      <c r="E288" s="44"/>
      <c r="F288" s="44"/>
      <c r="G288" s="44"/>
      <c r="H288" s="44"/>
      <c r="I288" s="44"/>
      <c r="J288" s="44"/>
      <c r="K288" s="43"/>
    </row>
    <row r="289" spans="1:11" ht="51.75" customHeight="1">
      <c r="A289" s="57" t="s">
        <v>379</v>
      </c>
      <c r="B289" s="46"/>
      <c r="C289" s="44">
        <f>C285/C287/12</f>
        <v>1731.3815789473683</v>
      </c>
      <c r="D289" s="44">
        <f>D285/D287/12</f>
        <v>1731.3815789473683</v>
      </c>
      <c r="E289" s="44"/>
      <c r="F289" s="44">
        <f>F285/F287/12</f>
        <v>2259.4298245614036</v>
      </c>
      <c r="G289" s="44">
        <f>G285/G287/12</f>
        <v>2259.4298245614036</v>
      </c>
      <c r="H289" s="44"/>
      <c r="I289" s="44">
        <f>I285/I287/12</f>
        <v>2402.0833333333335</v>
      </c>
      <c r="J289" s="44">
        <f>J285/J287/12</f>
        <v>2402.0833333333335</v>
      </c>
      <c r="K289" s="43"/>
    </row>
    <row r="290" spans="1:11" ht="22.5">
      <c r="A290" s="615" t="s">
        <v>392</v>
      </c>
      <c r="B290" s="615"/>
      <c r="C290" s="615"/>
      <c r="D290" s="615"/>
      <c r="E290" s="615"/>
      <c r="F290" s="615"/>
      <c r="G290" s="615"/>
      <c r="H290" s="615"/>
      <c r="I290" s="615"/>
      <c r="J290" s="615"/>
      <c r="K290" s="615"/>
    </row>
    <row r="291" spans="1:11" ht="22.5">
      <c r="A291" s="52" t="s">
        <v>117</v>
      </c>
      <c r="B291" s="42">
        <f t="shared" ref="B291:K291" si="8">B295+B312+B319+B327+B305</f>
        <v>31678190</v>
      </c>
      <c r="C291" s="42">
        <f t="shared" si="8"/>
        <v>23141190</v>
      </c>
      <c r="D291" s="42">
        <f t="shared" si="8"/>
        <v>23141190</v>
      </c>
      <c r="E291" s="42">
        <f t="shared" si="8"/>
        <v>0</v>
      </c>
      <c r="F291" s="42">
        <f t="shared" si="8"/>
        <v>5549300</v>
      </c>
      <c r="G291" s="42">
        <f t="shared" si="8"/>
        <v>5549300</v>
      </c>
      <c r="H291" s="42">
        <f t="shared" si="8"/>
        <v>0</v>
      </c>
      <c r="I291" s="42">
        <f t="shared" si="8"/>
        <v>2987700</v>
      </c>
      <c r="J291" s="42">
        <f t="shared" si="8"/>
        <v>2987700</v>
      </c>
      <c r="K291" s="42">
        <f t="shared" si="8"/>
        <v>0</v>
      </c>
    </row>
    <row r="292" spans="1:11" ht="22.5">
      <c r="A292" s="52" t="s">
        <v>118</v>
      </c>
      <c r="B292" s="616"/>
      <c r="C292" s="617"/>
      <c r="D292" s="617"/>
      <c r="E292" s="617"/>
      <c r="F292" s="617"/>
      <c r="G292" s="617"/>
      <c r="H292" s="617"/>
      <c r="I292" s="617"/>
      <c r="J292" s="617"/>
      <c r="K292" s="618"/>
    </row>
    <row r="293" spans="1:11" ht="23.25">
      <c r="A293" s="56" t="s">
        <v>116</v>
      </c>
      <c r="B293" s="619" t="s">
        <v>417</v>
      </c>
      <c r="C293" s="619"/>
      <c r="D293" s="619"/>
      <c r="E293" s="619"/>
      <c r="F293" s="619"/>
      <c r="G293" s="619"/>
      <c r="H293" s="619"/>
      <c r="I293" s="619"/>
      <c r="J293" s="619"/>
      <c r="K293" s="619"/>
    </row>
    <row r="294" spans="1:11" ht="22.5">
      <c r="A294" s="192" t="s">
        <v>148</v>
      </c>
      <c r="B294" s="612" t="s">
        <v>166</v>
      </c>
      <c r="C294" s="613"/>
      <c r="D294" s="613"/>
      <c r="E294" s="613"/>
      <c r="F294" s="613"/>
      <c r="G294" s="613"/>
      <c r="H294" s="613"/>
      <c r="I294" s="613"/>
      <c r="J294" s="613"/>
      <c r="K294" s="614"/>
    </row>
    <row r="295" spans="1:11" ht="23.25">
      <c r="A295" s="233" t="s">
        <v>121</v>
      </c>
      <c r="B295" s="232">
        <f>C295+F295+I295</f>
        <v>0</v>
      </c>
      <c r="C295" s="232">
        <f>D295+E295</f>
        <v>0</v>
      </c>
      <c r="D295" s="229">
        <f>'Додаток 3'!I199*1000</f>
        <v>0</v>
      </c>
      <c r="E295" s="232"/>
      <c r="F295" s="232">
        <f>G295+H295</f>
        <v>0</v>
      </c>
      <c r="G295" s="232">
        <f>'Додаток 3'!J199*1000</f>
        <v>0</v>
      </c>
      <c r="H295" s="232"/>
      <c r="I295" s="232">
        <f>J295+K295</f>
        <v>0</v>
      </c>
      <c r="J295" s="232">
        <f>'Додаток 3'!K199*1000</f>
        <v>0</v>
      </c>
      <c r="K295" s="196"/>
    </row>
    <row r="296" spans="1:11" ht="46.5">
      <c r="A296" s="54" t="s">
        <v>184</v>
      </c>
      <c r="B296" s="232"/>
      <c r="C296" s="193">
        <v>43</v>
      </c>
      <c r="D296" s="193">
        <v>43</v>
      </c>
      <c r="E296" s="232"/>
      <c r="F296" s="193">
        <v>43</v>
      </c>
      <c r="G296" s="193">
        <v>43</v>
      </c>
      <c r="H296" s="193"/>
      <c r="I296" s="193">
        <v>43</v>
      </c>
      <c r="J296" s="193">
        <v>43</v>
      </c>
      <c r="K296" s="232"/>
    </row>
    <row r="297" spans="1:11" ht="23.25">
      <c r="A297" s="233" t="s">
        <v>123</v>
      </c>
      <c r="B297" s="46"/>
      <c r="C297" s="44"/>
      <c r="D297" s="44"/>
      <c r="E297" s="44"/>
      <c r="F297" s="44"/>
      <c r="G297" s="44"/>
      <c r="H297" s="44"/>
      <c r="I297" s="44"/>
      <c r="J297" s="44"/>
      <c r="K297" s="43"/>
    </row>
    <row r="298" spans="1:11" ht="54" customHeight="1">
      <c r="A298" s="59" t="s">
        <v>185</v>
      </c>
      <c r="B298" s="46"/>
      <c r="C298" s="44">
        <v>20</v>
      </c>
      <c r="D298" s="44">
        <v>20</v>
      </c>
      <c r="E298" s="44"/>
      <c r="F298" s="44">
        <v>20</v>
      </c>
      <c r="G298" s="44">
        <v>20</v>
      </c>
      <c r="H298" s="44"/>
      <c r="I298" s="44">
        <v>20</v>
      </c>
      <c r="J298" s="44">
        <v>20</v>
      </c>
      <c r="K298" s="43"/>
    </row>
    <row r="299" spans="1:11" ht="23.25">
      <c r="A299" s="233" t="s">
        <v>124</v>
      </c>
      <c r="B299" s="46"/>
      <c r="C299" s="44"/>
      <c r="D299" s="44"/>
      <c r="E299" s="44"/>
      <c r="F299" s="44"/>
      <c r="G299" s="44"/>
      <c r="H299" s="44"/>
      <c r="I299" s="44"/>
      <c r="J299" s="44"/>
      <c r="K299" s="43"/>
    </row>
    <row r="300" spans="1:11" ht="46.5">
      <c r="A300" s="55" t="s">
        <v>186</v>
      </c>
      <c r="B300" s="46"/>
      <c r="C300" s="44">
        <f>C295/C298</f>
        <v>0</v>
      </c>
      <c r="D300" s="44">
        <f>D295/D298</f>
        <v>0</v>
      </c>
      <c r="E300" s="44"/>
      <c r="F300" s="44">
        <f>F295/F298</f>
        <v>0</v>
      </c>
      <c r="G300" s="44">
        <f>G295/G298</f>
        <v>0</v>
      </c>
      <c r="H300" s="44"/>
      <c r="I300" s="44">
        <f>I295/I298</f>
        <v>0</v>
      </c>
      <c r="J300" s="44">
        <f>J295/J298</f>
        <v>0</v>
      </c>
      <c r="K300" s="43"/>
    </row>
    <row r="301" spans="1:11" ht="23.25">
      <c r="A301" s="63" t="s">
        <v>125</v>
      </c>
      <c r="B301" s="46"/>
      <c r="C301" s="44"/>
      <c r="D301" s="44"/>
      <c r="E301" s="44"/>
      <c r="F301" s="44"/>
      <c r="G301" s="44"/>
      <c r="H301" s="44"/>
      <c r="I301" s="44"/>
      <c r="J301" s="44"/>
      <c r="K301" s="43"/>
    </row>
    <row r="302" spans="1:11" ht="69.75">
      <c r="A302" s="55" t="s">
        <v>187</v>
      </c>
      <c r="B302" s="46"/>
      <c r="C302" s="44">
        <f>C298/C296*100</f>
        <v>46.511627906976742</v>
      </c>
      <c r="D302" s="44">
        <f>D298/D296*100</f>
        <v>46.511627906976742</v>
      </c>
      <c r="E302" s="44"/>
      <c r="F302" s="44">
        <f>F298/F296*100</f>
        <v>46.511627906976742</v>
      </c>
      <c r="G302" s="44">
        <f>G298/G296*100</f>
        <v>46.511627906976742</v>
      </c>
      <c r="H302" s="44"/>
      <c r="I302" s="44">
        <f>I298/I296*100</f>
        <v>46.511627906976742</v>
      </c>
      <c r="J302" s="44">
        <f>J298/J296*100</f>
        <v>46.511627906976742</v>
      </c>
      <c r="K302" s="43"/>
    </row>
    <row r="303" spans="1:11" ht="23.25">
      <c r="A303" s="56" t="s">
        <v>116</v>
      </c>
      <c r="B303" s="619" t="s">
        <v>109</v>
      </c>
      <c r="C303" s="619"/>
      <c r="D303" s="619"/>
      <c r="E303" s="619"/>
      <c r="F303" s="619"/>
      <c r="G303" s="619"/>
      <c r="H303" s="619"/>
      <c r="I303" s="619"/>
      <c r="J303" s="619"/>
      <c r="K303" s="619"/>
    </row>
    <row r="304" spans="1:11" ht="22.5">
      <c r="A304" s="192" t="s">
        <v>148</v>
      </c>
      <c r="B304" s="612" t="s">
        <v>166</v>
      </c>
      <c r="C304" s="613"/>
      <c r="D304" s="613"/>
      <c r="E304" s="613"/>
      <c r="F304" s="613"/>
      <c r="G304" s="613"/>
      <c r="H304" s="613"/>
      <c r="I304" s="613"/>
      <c r="J304" s="613"/>
      <c r="K304" s="614"/>
    </row>
    <row r="305" spans="1:11" ht="22.5">
      <c r="A305" s="233" t="s">
        <v>121</v>
      </c>
      <c r="B305" s="232">
        <f>F305+I305</f>
        <v>0</v>
      </c>
      <c r="C305" s="232">
        <f>D305+E305</f>
        <v>0</v>
      </c>
      <c r="D305" s="232">
        <f>'Додаток 3'!I200*1000</f>
        <v>0</v>
      </c>
      <c r="E305" s="232"/>
      <c r="F305" s="232">
        <f>G305+H305</f>
        <v>0</v>
      </c>
      <c r="G305" s="232">
        <f>'Додаток 3'!J200*1000</f>
        <v>0</v>
      </c>
      <c r="H305" s="232"/>
      <c r="I305" s="232">
        <f>J305+K305</f>
        <v>0</v>
      </c>
      <c r="J305" s="232">
        <f>'Додаток 3'!K200*1000</f>
        <v>0</v>
      </c>
      <c r="K305" s="232"/>
    </row>
    <row r="306" spans="1:11" ht="23.25">
      <c r="A306" s="233" t="s">
        <v>123</v>
      </c>
      <c r="B306" s="46"/>
      <c r="C306" s="44"/>
      <c r="D306" s="44"/>
      <c r="E306" s="44"/>
      <c r="F306" s="44"/>
      <c r="G306" s="44"/>
      <c r="H306" s="44"/>
      <c r="I306" s="44"/>
      <c r="J306" s="44"/>
      <c r="K306" s="43"/>
    </row>
    <row r="307" spans="1:11" ht="22.5" customHeight="1">
      <c r="A307" s="54" t="s">
        <v>325</v>
      </c>
      <c r="B307" s="46"/>
      <c r="C307" s="62"/>
      <c r="D307" s="44"/>
      <c r="E307" s="44"/>
      <c r="F307" s="44">
        <v>5</v>
      </c>
      <c r="G307" s="44">
        <v>5</v>
      </c>
      <c r="H307" s="44"/>
      <c r="I307" s="44">
        <v>5</v>
      </c>
      <c r="J307" s="44">
        <v>5</v>
      </c>
      <c r="K307" s="43"/>
    </row>
    <row r="308" spans="1:11" ht="23.25">
      <c r="A308" s="233" t="s">
        <v>124</v>
      </c>
      <c r="B308" s="46"/>
      <c r="C308" s="44"/>
      <c r="D308" s="44"/>
      <c r="E308" s="44"/>
      <c r="F308" s="44"/>
      <c r="G308" s="44"/>
      <c r="H308" s="44"/>
      <c r="I308" s="44"/>
      <c r="J308" s="44"/>
      <c r="K308" s="43"/>
    </row>
    <row r="309" spans="1:11" ht="46.5">
      <c r="A309" s="61" t="s">
        <v>193</v>
      </c>
      <c r="B309" s="46"/>
      <c r="C309" s="44"/>
      <c r="D309" s="44"/>
      <c r="E309" s="44"/>
      <c r="F309" s="44">
        <f>F305/F307</f>
        <v>0</v>
      </c>
      <c r="G309" s="44">
        <f>G305/G307</f>
        <v>0</v>
      </c>
      <c r="H309" s="44"/>
      <c r="I309" s="44">
        <f>I305/I307</f>
        <v>0</v>
      </c>
      <c r="J309" s="44">
        <f>J305/J307</f>
        <v>0</v>
      </c>
      <c r="K309" s="43"/>
    </row>
    <row r="310" spans="1:11" ht="23.25">
      <c r="A310" s="56" t="s">
        <v>116</v>
      </c>
      <c r="B310" s="619" t="s">
        <v>315</v>
      </c>
      <c r="C310" s="619"/>
      <c r="D310" s="619"/>
      <c r="E310" s="619"/>
      <c r="F310" s="619"/>
      <c r="G310" s="619"/>
      <c r="H310" s="619"/>
      <c r="I310" s="619"/>
      <c r="J310" s="619"/>
      <c r="K310" s="619"/>
    </row>
    <row r="311" spans="1:11" ht="22.5">
      <c r="A311" s="192" t="s">
        <v>148</v>
      </c>
      <c r="B311" s="612" t="s">
        <v>166</v>
      </c>
      <c r="C311" s="613"/>
      <c r="D311" s="613"/>
      <c r="E311" s="613"/>
      <c r="F311" s="613"/>
      <c r="G311" s="613"/>
      <c r="H311" s="613"/>
      <c r="I311" s="613"/>
      <c r="J311" s="613"/>
      <c r="K311" s="614"/>
    </row>
    <row r="312" spans="1:11" ht="22.5">
      <c r="A312" s="233" t="s">
        <v>121</v>
      </c>
      <c r="B312" s="232">
        <f>C312+F312+I312</f>
        <v>8931200</v>
      </c>
      <c r="C312" s="232">
        <f>D312+E312</f>
        <v>2894200</v>
      </c>
      <c r="D312" s="232">
        <f>'Додаток 3'!I202*1000</f>
        <v>2894200</v>
      </c>
      <c r="E312" s="232"/>
      <c r="F312" s="232">
        <f>G312+H312</f>
        <v>3049300</v>
      </c>
      <c r="G312" s="232">
        <f>'Додаток 3'!J202*1000</f>
        <v>3049300</v>
      </c>
      <c r="H312" s="232"/>
      <c r="I312" s="232">
        <f>J312+K312</f>
        <v>2987700</v>
      </c>
      <c r="J312" s="232">
        <f>'Додаток 3'!K202*1000</f>
        <v>2987700</v>
      </c>
      <c r="K312" s="232"/>
    </row>
    <row r="313" spans="1:11" ht="23.25">
      <c r="A313" s="233" t="s">
        <v>123</v>
      </c>
      <c r="B313" s="46"/>
      <c r="C313" s="44"/>
      <c r="D313" s="44"/>
      <c r="E313" s="44"/>
      <c r="F313" s="44"/>
      <c r="G313" s="44"/>
      <c r="H313" s="44"/>
      <c r="I313" s="44"/>
      <c r="J313" s="44"/>
      <c r="K313" s="43"/>
    </row>
    <row r="314" spans="1:11" ht="23.25">
      <c r="A314" s="54" t="s">
        <v>383</v>
      </c>
      <c r="B314" s="46"/>
      <c r="C314" s="62">
        <v>2</v>
      </c>
      <c r="D314" s="62">
        <v>2</v>
      </c>
      <c r="E314" s="44"/>
      <c r="F314" s="62">
        <v>2</v>
      </c>
      <c r="G314" s="62">
        <v>2</v>
      </c>
      <c r="H314" s="44"/>
      <c r="I314" s="62">
        <v>2</v>
      </c>
      <c r="J314" s="62">
        <v>2</v>
      </c>
      <c r="K314" s="43"/>
    </row>
    <row r="315" spans="1:11" ht="23.25">
      <c r="A315" s="233" t="s">
        <v>124</v>
      </c>
      <c r="B315" s="46"/>
      <c r="C315" s="44"/>
      <c r="D315" s="44"/>
      <c r="E315" s="44"/>
      <c r="F315" s="44"/>
      <c r="G315" s="44"/>
      <c r="H315" s="44"/>
      <c r="I315" s="44"/>
      <c r="J315" s="44"/>
      <c r="K315" s="43"/>
    </row>
    <row r="316" spans="1:11" ht="23.25">
      <c r="A316" s="205" t="s">
        <v>316</v>
      </c>
      <c r="B316" s="46"/>
      <c r="C316" s="44">
        <f>C312/C314/12</f>
        <v>120591.66666666667</v>
      </c>
      <c r="D316" s="44">
        <f>D312/D314/12</f>
        <v>120591.66666666667</v>
      </c>
      <c r="E316" s="44"/>
      <c r="F316" s="44">
        <f>F312/F314/12</f>
        <v>127054.16666666667</v>
      </c>
      <c r="G316" s="44">
        <f>G312/G314/12</f>
        <v>127054.16666666667</v>
      </c>
      <c r="H316" s="44"/>
      <c r="I316" s="44">
        <f>I312/I314/12</f>
        <v>124487.5</v>
      </c>
      <c r="J316" s="44">
        <f>J312/J314/12</f>
        <v>124487.5</v>
      </c>
      <c r="K316" s="43"/>
    </row>
    <row r="317" spans="1:11" ht="23.25">
      <c r="A317" s="56" t="s">
        <v>116</v>
      </c>
      <c r="B317" s="619" t="s">
        <v>317</v>
      </c>
      <c r="C317" s="619"/>
      <c r="D317" s="619"/>
      <c r="E317" s="619"/>
      <c r="F317" s="619"/>
      <c r="G317" s="619"/>
      <c r="H317" s="619"/>
      <c r="I317" s="619"/>
      <c r="J317" s="619"/>
      <c r="K317" s="619"/>
    </row>
    <row r="318" spans="1:11" ht="22.5">
      <c r="A318" s="192" t="s">
        <v>148</v>
      </c>
      <c r="B318" s="612" t="s">
        <v>166</v>
      </c>
      <c r="C318" s="613"/>
      <c r="D318" s="613"/>
      <c r="E318" s="613"/>
      <c r="F318" s="613"/>
      <c r="G318" s="613"/>
      <c r="H318" s="613"/>
      <c r="I318" s="613"/>
      <c r="J318" s="613"/>
      <c r="K318" s="614"/>
    </row>
    <row r="319" spans="1:11" ht="23.25">
      <c r="A319" s="233" t="s">
        <v>121</v>
      </c>
      <c r="B319" s="232">
        <f>C319+F319+I319</f>
        <v>13488000</v>
      </c>
      <c r="C319" s="232">
        <f>D319+E319</f>
        <v>10988000</v>
      </c>
      <c r="D319" s="229">
        <f>'Додаток 3'!I203*1000</f>
        <v>10988000</v>
      </c>
      <c r="E319" s="232"/>
      <c r="F319" s="232">
        <f>G319</f>
        <v>2500000</v>
      </c>
      <c r="G319" s="232">
        <f>'Додаток 3'!J203*1000</f>
        <v>2500000</v>
      </c>
      <c r="H319" s="232"/>
      <c r="I319" s="232">
        <f>J319</f>
        <v>0</v>
      </c>
      <c r="J319" s="232">
        <f>'Додаток 3'!K203*1000</f>
        <v>0</v>
      </c>
      <c r="K319" s="232"/>
    </row>
    <row r="320" spans="1:11" ht="23.25">
      <c r="A320" s="233" t="s">
        <v>123</v>
      </c>
      <c r="B320" s="46"/>
      <c r="C320" s="44"/>
      <c r="D320" s="44"/>
      <c r="E320" s="44"/>
      <c r="F320" s="44"/>
      <c r="G320" s="44"/>
      <c r="H320" s="44"/>
      <c r="I320" s="44"/>
      <c r="J320" s="44"/>
      <c r="K320" s="43"/>
    </row>
    <row r="321" spans="1:13" ht="21" customHeight="1">
      <c r="A321" s="54" t="s">
        <v>192</v>
      </c>
      <c r="B321" s="46"/>
      <c r="C321" s="62">
        <v>8</v>
      </c>
      <c r="D321" s="62">
        <v>8</v>
      </c>
      <c r="E321" s="44"/>
      <c r="F321" s="44">
        <v>8</v>
      </c>
      <c r="G321" s="44">
        <v>8</v>
      </c>
      <c r="H321" s="44"/>
      <c r="I321" s="44"/>
      <c r="J321" s="44"/>
      <c r="K321" s="43"/>
    </row>
    <row r="322" spans="1:13" ht="23.25">
      <c r="A322" s="233" t="s">
        <v>124</v>
      </c>
      <c r="B322" s="46"/>
      <c r="C322" s="44"/>
      <c r="D322" s="44"/>
      <c r="E322" s="44"/>
      <c r="F322" s="44"/>
      <c r="G322" s="44"/>
      <c r="H322" s="44"/>
      <c r="I322" s="44"/>
      <c r="J322" s="44"/>
      <c r="K322" s="43"/>
    </row>
    <row r="323" spans="1:13" ht="46.5">
      <c r="A323" s="61" t="s">
        <v>318</v>
      </c>
      <c r="B323" s="46"/>
      <c r="C323" s="44">
        <f>C319/C321</f>
        <v>1373500</v>
      </c>
      <c r="D323" s="44">
        <f>D319/D321</f>
        <v>1373500</v>
      </c>
      <c r="E323" s="44"/>
      <c r="F323" s="44">
        <f>F319/F321</f>
        <v>312500</v>
      </c>
      <c r="G323" s="44">
        <f>G319/G321</f>
        <v>312500</v>
      </c>
      <c r="H323" s="44"/>
      <c r="I323" s="44"/>
      <c r="J323" s="44"/>
      <c r="K323" s="43"/>
    </row>
    <row r="324" spans="1:13" ht="48" customHeight="1">
      <c r="A324" s="56" t="s">
        <v>116</v>
      </c>
      <c r="B324" s="641" t="s">
        <v>319</v>
      </c>
      <c r="C324" s="642"/>
      <c r="D324" s="642"/>
      <c r="E324" s="642"/>
      <c r="F324" s="642"/>
      <c r="G324" s="642"/>
      <c r="H324" s="642"/>
      <c r="I324" s="642"/>
      <c r="J324" s="642"/>
      <c r="K324" s="643"/>
    </row>
    <row r="325" spans="1:13" ht="20.25" customHeight="1">
      <c r="A325" s="192" t="s">
        <v>161</v>
      </c>
      <c r="B325" s="612" t="s">
        <v>162</v>
      </c>
      <c r="C325" s="613"/>
      <c r="D325" s="613"/>
      <c r="E325" s="613"/>
      <c r="F325" s="613"/>
      <c r="G325" s="613"/>
      <c r="H325" s="613"/>
      <c r="I325" s="613"/>
      <c r="J325" s="613"/>
      <c r="K325" s="614"/>
    </row>
    <row r="326" spans="1:13" ht="22.5">
      <c r="A326" s="192" t="s">
        <v>119</v>
      </c>
      <c r="B326" s="612" t="s">
        <v>163</v>
      </c>
      <c r="C326" s="613"/>
      <c r="D326" s="613"/>
      <c r="E326" s="613"/>
      <c r="F326" s="613"/>
      <c r="G326" s="613"/>
      <c r="H326" s="613"/>
      <c r="I326" s="613"/>
      <c r="J326" s="613"/>
      <c r="K326" s="614"/>
    </row>
    <row r="327" spans="1:13" ht="23.25">
      <c r="A327" s="233" t="s">
        <v>121</v>
      </c>
      <c r="B327" s="232">
        <f>C327+F327+I327</f>
        <v>9258990</v>
      </c>
      <c r="C327" s="232">
        <f>D327+E327</f>
        <v>9258990</v>
      </c>
      <c r="D327" s="229">
        <f>'Додаток 3'!I204*1000</f>
        <v>9258990</v>
      </c>
      <c r="E327" s="232"/>
      <c r="F327" s="232">
        <f>G327</f>
        <v>0</v>
      </c>
      <c r="G327" s="232">
        <f>'Додаток 3'!J204*1000</f>
        <v>0</v>
      </c>
      <c r="H327" s="232"/>
      <c r="I327" s="232"/>
      <c r="J327" s="232"/>
      <c r="K327" s="232"/>
    </row>
    <row r="328" spans="1:13" ht="23.25">
      <c r="A328" s="233" t="s">
        <v>123</v>
      </c>
      <c r="B328" s="46"/>
      <c r="C328" s="44"/>
      <c r="D328" s="44"/>
      <c r="E328" s="44"/>
      <c r="F328" s="44"/>
      <c r="G328" s="44"/>
      <c r="H328" s="44"/>
      <c r="I328" s="44"/>
      <c r="J328" s="44"/>
      <c r="K328" s="43"/>
    </row>
    <row r="329" spans="1:13" ht="21" customHeight="1">
      <c r="A329" s="54" t="s">
        <v>192</v>
      </c>
      <c r="B329" s="46"/>
      <c r="C329" s="62">
        <v>5</v>
      </c>
      <c r="D329" s="62">
        <v>5</v>
      </c>
      <c r="E329" s="44"/>
      <c r="F329" s="44"/>
      <c r="G329" s="44"/>
      <c r="H329" s="44"/>
      <c r="I329" s="44"/>
      <c r="J329" s="44"/>
      <c r="K329" s="43"/>
    </row>
    <row r="330" spans="1:13" ht="23.25">
      <c r="A330" s="233" t="s">
        <v>124</v>
      </c>
      <c r="B330" s="46"/>
      <c r="C330" s="44"/>
      <c r="D330" s="44"/>
      <c r="E330" s="44"/>
      <c r="F330" s="44"/>
      <c r="G330" s="44"/>
      <c r="H330" s="44"/>
      <c r="I330" s="44"/>
      <c r="J330" s="44"/>
      <c r="K330" s="43"/>
    </row>
    <row r="331" spans="1:13" ht="47.25" customHeight="1">
      <c r="A331" s="61" t="s">
        <v>320</v>
      </c>
      <c r="B331" s="46"/>
      <c r="C331" s="44">
        <f>C327/C329/9</f>
        <v>205755.33333333334</v>
      </c>
      <c r="D331" s="44">
        <f>D327/D329/9</f>
        <v>205755.33333333334</v>
      </c>
      <c r="E331" s="44"/>
      <c r="F331" s="44"/>
      <c r="G331" s="44"/>
      <c r="H331" s="44"/>
      <c r="I331" s="44"/>
      <c r="J331" s="44"/>
      <c r="K331" s="43"/>
    </row>
    <row r="332" spans="1:13" ht="22.5">
      <c r="A332" s="615" t="s">
        <v>245</v>
      </c>
      <c r="B332" s="615"/>
      <c r="C332" s="615"/>
      <c r="D332" s="615"/>
      <c r="E332" s="615"/>
      <c r="F332" s="615"/>
      <c r="G332" s="615"/>
      <c r="H332" s="615"/>
      <c r="I332" s="615"/>
      <c r="J332" s="615"/>
      <c r="K332" s="615"/>
    </row>
    <row r="333" spans="1:13" ht="22.5">
      <c r="A333" s="52" t="s">
        <v>117</v>
      </c>
      <c r="B333" s="42">
        <f>C333+F333+I333</f>
        <v>220522189</v>
      </c>
      <c r="C333" s="43">
        <f>D333+E333</f>
        <v>102395689</v>
      </c>
      <c r="D333" s="43">
        <f>D344+D345</f>
        <v>0</v>
      </c>
      <c r="E333" s="43">
        <f>E344+E345</f>
        <v>102395689</v>
      </c>
      <c r="F333" s="43">
        <f>G333+H333</f>
        <v>98126500</v>
      </c>
      <c r="G333" s="43">
        <f>G344+G345</f>
        <v>0</v>
      </c>
      <c r="H333" s="43">
        <f>H344+H345</f>
        <v>98126500</v>
      </c>
      <c r="I333" s="43">
        <f>J333+K333</f>
        <v>20000000</v>
      </c>
      <c r="J333" s="43">
        <f>J344+J345</f>
        <v>0</v>
      </c>
      <c r="K333" s="43">
        <f>K344+K345</f>
        <v>20000000</v>
      </c>
    </row>
    <row r="334" spans="1:13" ht="22.5">
      <c r="A334" s="52" t="s">
        <v>118</v>
      </c>
      <c r="B334" s="616"/>
      <c r="C334" s="617"/>
      <c r="D334" s="617"/>
      <c r="E334" s="617"/>
      <c r="F334" s="617"/>
      <c r="G334" s="617"/>
      <c r="H334" s="617"/>
      <c r="I334" s="617"/>
      <c r="J334" s="617"/>
      <c r="K334" s="618"/>
      <c r="M334" s="47">
        <f>H344+H345</f>
        <v>98126500</v>
      </c>
    </row>
    <row r="335" spans="1:13" ht="23.25">
      <c r="A335" s="53" t="s">
        <v>116</v>
      </c>
      <c r="B335" s="637" t="s">
        <v>58</v>
      </c>
      <c r="C335" s="637"/>
      <c r="D335" s="637"/>
      <c r="E335" s="637"/>
      <c r="F335" s="637"/>
      <c r="G335" s="637"/>
      <c r="H335" s="637"/>
      <c r="I335" s="637"/>
      <c r="J335" s="637"/>
      <c r="K335" s="637"/>
    </row>
    <row r="336" spans="1:13" ht="22.5">
      <c r="A336" s="192" t="s">
        <v>119</v>
      </c>
      <c r="B336" s="612" t="s">
        <v>163</v>
      </c>
      <c r="C336" s="613"/>
      <c r="D336" s="613"/>
      <c r="E336" s="613"/>
      <c r="F336" s="613"/>
      <c r="G336" s="613"/>
      <c r="H336" s="613"/>
      <c r="I336" s="613"/>
      <c r="J336" s="613"/>
      <c r="K336" s="614"/>
    </row>
    <row r="337" spans="1:13" ht="22.5">
      <c r="A337" s="192" t="s">
        <v>126</v>
      </c>
      <c r="B337" s="625" t="s">
        <v>164</v>
      </c>
      <c r="C337" s="625"/>
      <c r="D337" s="625"/>
      <c r="E337" s="625"/>
      <c r="F337" s="625"/>
      <c r="G337" s="625"/>
      <c r="H337" s="625"/>
      <c r="I337" s="625"/>
      <c r="J337" s="625"/>
      <c r="K337" s="625"/>
      <c r="M337" s="47">
        <f>H343-M334</f>
        <v>0</v>
      </c>
    </row>
    <row r="338" spans="1:13" ht="22.5">
      <c r="A338" s="192" t="s">
        <v>128</v>
      </c>
      <c r="B338" s="625" t="s">
        <v>129</v>
      </c>
      <c r="C338" s="625"/>
      <c r="D338" s="625"/>
      <c r="E338" s="625"/>
      <c r="F338" s="625"/>
      <c r="G338" s="625"/>
      <c r="H338" s="625"/>
      <c r="I338" s="625"/>
      <c r="J338" s="625"/>
      <c r="K338" s="625"/>
    </row>
    <row r="339" spans="1:13" ht="22.5">
      <c r="A339" s="192" t="s">
        <v>148</v>
      </c>
      <c r="B339" s="612" t="s">
        <v>416</v>
      </c>
      <c r="C339" s="613"/>
      <c r="D339" s="613"/>
      <c r="E339" s="613"/>
      <c r="F339" s="613"/>
      <c r="G339" s="613"/>
      <c r="H339" s="613"/>
      <c r="I339" s="613"/>
      <c r="J339" s="613"/>
      <c r="K339" s="614"/>
    </row>
    <row r="340" spans="1:13" ht="22.5">
      <c r="A340" s="192" t="s">
        <v>196</v>
      </c>
      <c r="B340" s="638" t="s">
        <v>197</v>
      </c>
      <c r="C340" s="639"/>
      <c r="D340" s="639"/>
      <c r="E340" s="639"/>
      <c r="F340" s="639"/>
      <c r="G340" s="639"/>
      <c r="H340" s="639"/>
      <c r="I340" s="639"/>
      <c r="J340" s="639"/>
      <c r="K340" s="640"/>
    </row>
    <row r="341" spans="1:13" ht="22.5">
      <c r="A341" s="192" t="s">
        <v>194</v>
      </c>
      <c r="B341" s="638" t="s">
        <v>195</v>
      </c>
      <c r="C341" s="639"/>
      <c r="D341" s="639"/>
      <c r="E341" s="639"/>
      <c r="F341" s="639"/>
      <c r="G341" s="639"/>
      <c r="H341" s="639"/>
      <c r="I341" s="639"/>
      <c r="J341" s="639"/>
      <c r="K341" s="640"/>
    </row>
    <row r="342" spans="1:13" ht="22.5">
      <c r="A342" s="192" t="s">
        <v>321</v>
      </c>
      <c r="B342" s="638" t="s">
        <v>322</v>
      </c>
      <c r="C342" s="639"/>
      <c r="D342" s="639"/>
      <c r="E342" s="639"/>
      <c r="F342" s="639"/>
      <c r="G342" s="639"/>
      <c r="H342" s="639"/>
      <c r="I342" s="639"/>
      <c r="J342" s="639"/>
      <c r="K342" s="640"/>
    </row>
    <row r="343" spans="1:13" ht="23.25">
      <c r="A343" s="233" t="s">
        <v>121</v>
      </c>
      <c r="B343" s="231">
        <f>C343+F343+I343</f>
        <v>220522189</v>
      </c>
      <c r="C343" s="231">
        <f>D343+E343</f>
        <v>102395689</v>
      </c>
      <c r="D343" s="230"/>
      <c r="E343" s="231">
        <f>'Додаток 3'!I251*1000</f>
        <v>102395689</v>
      </c>
      <c r="F343" s="45">
        <f>G343+H343</f>
        <v>98126500</v>
      </c>
      <c r="G343" s="45"/>
      <c r="H343" s="230">
        <f>'Додаток 3'!J251*1000</f>
        <v>98126500</v>
      </c>
      <c r="I343" s="45">
        <f>J343+K343</f>
        <v>20000000</v>
      </c>
      <c r="J343" s="45"/>
      <c r="K343" s="45">
        <f>'Додаток 3'!K251*1000</f>
        <v>20000000</v>
      </c>
    </row>
    <row r="344" spans="1:13" ht="23.25" customHeight="1">
      <c r="A344" s="61" t="s">
        <v>199</v>
      </c>
      <c r="B344" s="231">
        <f>C344+F344+I344</f>
        <v>140505819</v>
      </c>
      <c r="C344" s="231">
        <f>E344+D344</f>
        <v>71668319</v>
      </c>
      <c r="D344" s="230"/>
      <c r="E344" s="230">
        <f>'Додаток 3'!I228*1000</f>
        <v>71668319</v>
      </c>
      <c r="F344" s="45">
        <f>H344</f>
        <v>68837500</v>
      </c>
      <c r="G344" s="45"/>
      <c r="H344" s="230">
        <f>'Додаток 3'!J228*1000</f>
        <v>68837500</v>
      </c>
      <c r="I344" s="45"/>
      <c r="J344" s="45"/>
      <c r="K344" s="45">
        <f>'Додаток 3'!K228*1000</f>
        <v>10000000</v>
      </c>
      <c r="L344" s="47">
        <f>K344+H344+E344</f>
        <v>150505819</v>
      </c>
    </row>
    <row r="345" spans="1:13" ht="23.25">
      <c r="A345" s="61" t="s">
        <v>198</v>
      </c>
      <c r="B345" s="231">
        <f>C345+F345+I345</f>
        <v>60016370</v>
      </c>
      <c r="C345" s="231">
        <f>E345+D345</f>
        <v>30727370</v>
      </c>
      <c r="D345" s="230"/>
      <c r="E345" s="230">
        <f>('Додаток 3'!I242+'Додаток 3'!I249+'Додаток 3'!I250)*1000</f>
        <v>30727370</v>
      </c>
      <c r="F345" s="45">
        <f t="shared" ref="F345:F348" si="9">H345</f>
        <v>29289000</v>
      </c>
      <c r="G345" s="45"/>
      <c r="H345" s="230">
        <f>('Додаток 3'!J242+'Додаток 3'!J249)*1000</f>
        <v>29289000</v>
      </c>
      <c r="I345" s="45"/>
      <c r="J345" s="45"/>
      <c r="K345" s="45">
        <f>'Додаток 3'!K229*1000</f>
        <v>10000000</v>
      </c>
      <c r="L345" s="47">
        <f>E345+H345+K345</f>
        <v>70016370</v>
      </c>
    </row>
    <row r="346" spans="1:13" ht="23.25">
      <c r="A346" s="233" t="s">
        <v>123</v>
      </c>
      <c r="B346" s="60"/>
      <c r="C346" s="45"/>
      <c r="D346" s="45"/>
      <c r="E346" s="45"/>
      <c r="F346" s="45"/>
      <c r="G346" s="45"/>
      <c r="H346" s="45"/>
      <c r="I346" s="45"/>
      <c r="J346" s="45"/>
      <c r="K346" s="45"/>
    </row>
    <row r="347" spans="1:13" ht="23.25">
      <c r="A347" s="58" t="s">
        <v>456</v>
      </c>
      <c r="B347" s="60"/>
      <c r="C347" s="62">
        <f>E347</f>
        <v>528</v>
      </c>
      <c r="D347" s="45"/>
      <c r="E347" s="45">
        <f>9+10+44+348+117</f>
        <v>528</v>
      </c>
      <c r="F347" s="45">
        <f t="shared" si="9"/>
        <v>35</v>
      </c>
      <c r="G347" s="209"/>
      <c r="H347" s="45">
        <f>7+14+14</f>
        <v>35</v>
      </c>
      <c r="I347" s="45"/>
      <c r="J347" s="45"/>
      <c r="K347" s="45"/>
    </row>
    <row r="348" spans="1:13" ht="23.25" hidden="1">
      <c r="A348" s="58" t="s">
        <v>200</v>
      </c>
      <c r="B348" s="60"/>
      <c r="C348" s="62"/>
      <c r="D348" s="45"/>
      <c r="E348" s="45"/>
      <c r="F348" s="45">
        <f t="shared" si="9"/>
        <v>0</v>
      </c>
      <c r="G348" s="209"/>
      <c r="H348" s="45"/>
      <c r="I348" s="45"/>
      <c r="J348" s="45"/>
      <c r="K348" s="45"/>
    </row>
    <row r="349" spans="1:13" ht="23.25">
      <c r="A349" s="58" t="s">
        <v>489</v>
      </c>
      <c r="B349" s="60"/>
      <c r="C349" s="62">
        <f>E349</f>
        <v>4033</v>
      </c>
      <c r="D349" s="45"/>
      <c r="E349" s="45">
        <f>27+78+44+3767+117</f>
        <v>4033</v>
      </c>
      <c r="F349" s="45">
        <f>H349</f>
        <v>2485</v>
      </c>
      <c r="G349" s="209"/>
      <c r="H349" s="45">
        <v>2485</v>
      </c>
      <c r="I349" s="45"/>
      <c r="J349" s="45"/>
      <c r="K349" s="45"/>
      <c r="L349" s="47">
        <f>E344+E345</f>
        <v>102395689</v>
      </c>
      <c r="M349" s="47">
        <f>E343-L349</f>
        <v>0</v>
      </c>
    </row>
    <row r="350" spans="1:13" ht="23.25">
      <c r="A350" s="233" t="s">
        <v>124</v>
      </c>
      <c r="B350" s="60"/>
      <c r="C350" s="45"/>
      <c r="D350" s="45"/>
      <c r="E350" s="45"/>
      <c r="F350" s="45"/>
      <c r="G350" s="45"/>
      <c r="H350" s="45"/>
      <c r="I350" s="45"/>
      <c r="J350" s="45"/>
      <c r="K350" s="45"/>
    </row>
    <row r="351" spans="1:13" ht="23.25">
      <c r="A351" s="58" t="s">
        <v>382</v>
      </c>
      <c r="B351" s="60"/>
      <c r="C351" s="62">
        <f>E351</f>
        <v>135735.45265151514</v>
      </c>
      <c r="D351" s="45"/>
      <c r="E351" s="45">
        <f>E344/E347</f>
        <v>135735.45265151514</v>
      </c>
      <c r="F351" s="45">
        <f>F344/F347</f>
        <v>1966785.7142857143</v>
      </c>
      <c r="G351" s="45"/>
      <c r="H351" s="45">
        <f>H344/H347</f>
        <v>1966785.7142857143</v>
      </c>
      <c r="I351" s="45"/>
      <c r="J351" s="45"/>
      <c r="K351" s="45"/>
    </row>
    <row r="352" spans="1:13" ht="23.25" hidden="1">
      <c r="A352" s="63" t="s">
        <v>125</v>
      </c>
      <c r="B352" s="60"/>
      <c r="C352" s="45"/>
      <c r="D352" s="45"/>
      <c r="E352" s="45"/>
      <c r="F352" s="45"/>
      <c r="G352" s="45"/>
      <c r="H352" s="45"/>
      <c r="I352" s="45"/>
      <c r="J352" s="45"/>
      <c r="K352" s="45"/>
    </row>
    <row r="353" spans="1:11" ht="38.25" hidden="1" customHeight="1">
      <c r="A353" s="195" t="s">
        <v>202</v>
      </c>
      <c r="B353" s="60"/>
      <c r="C353" s="62" t="e">
        <f>#REF!/C347*100</f>
        <v>#REF!</v>
      </c>
      <c r="D353" s="45"/>
      <c r="E353" s="45"/>
      <c r="F353" s="45"/>
      <c r="G353" s="45"/>
      <c r="H353" s="45"/>
      <c r="I353" s="45"/>
      <c r="J353" s="45"/>
      <c r="K353" s="45"/>
    </row>
    <row r="354" spans="1:11" ht="46.5" hidden="1">
      <c r="A354" s="54" t="s">
        <v>201</v>
      </c>
      <c r="B354" s="45"/>
      <c r="C354" s="45"/>
      <c r="D354" s="45"/>
      <c r="E354" s="45"/>
      <c r="F354" s="45"/>
      <c r="G354" s="45"/>
      <c r="H354" s="45"/>
      <c r="I354" s="45"/>
      <c r="J354" s="45"/>
      <c r="K354" s="45"/>
    </row>
    <row r="355" spans="1:11" ht="27.75" hidden="1" customHeight="1">
      <c r="A355" s="206" t="s">
        <v>147</v>
      </c>
      <c r="B355" s="207" t="e">
        <f>C355+F355+I355</f>
        <v>#REF!</v>
      </c>
      <c r="C355" s="208" t="e">
        <f>D355+E355</f>
        <v>#REF!</v>
      </c>
      <c r="D355" s="207">
        <f>D356</f>
        <v>0</v>
      </c>
      <c r="E355" s="207" t="e">
        <f>E356</f>
        <v>#REF!</v>
      </c>
      <c r="F355" s="45"/>
      <c r="G355" s="45"/>
      <c r="H355" s="45"/>
      <c r="I355" s="45"/>
      <c r="J355" s="45"/>
      <c r="K355" s="45"/>
    </row>
    <row r="356" spans="1:11" ht="41.25" hidden="1" customHeight="1">
      <c r="A356" s="61" t="s">
        <v>149</v>
      </c>
      <c r="B356" s="60"/>
      <c r="C356" s="45"/>
      <c r="D356" s="45"/>
      <c r="E356" s="45" t="e">
        <f>'[1]Додаток 2'!#REF!*1000</f>
        <v>#REF!</v>
      </c>
      <c r="F356" s="45"/>
      <c r="G356" s="45"/>
      <c r="H356" s="45"/>
      <c r="I356" s="45"/>
      <c r="J356" s="45"/>
      <c r="K356" s="45"/>
    </row>
    <row r="357" spans="1:11" ht="32.25" hidden="1" customHeight="1">
      <c r="A357" s="638" t="e">
        <f>'[1]Додаток 2'!#REF!</f>
        <v>#REF!</v>
      </c>
      <c r="B357" s="639"/>
      <c r="C357" s="639"/>
      <c r="D357" s="639"/>
      <c r="E357" s="639"/>
      <c r="F357" s="639"/>
      <c r="G357" s="639"/>
      <c r="H357" s="639"/>
      <c r="I357" s="639"/>
      <c r="J357" s="639"/>
      <c r="K357" s="640"/>
    </row>
    <row r="358" spans="1:11" ht="24.75" hidden="1" customHeight="1">
      <c r="A358" s="53" t="s">
        <v>116</v>
      </c>
      <c r="B358" s="637" t="e">
        <f>'[1]Додаток 2'!#REF!</f>
        <v>#REF!</v>
      </c>
      <c r="C358" s="637"/>
      <c r="D358" s="637"/>
      <c r="E358" s="637"/>
      <c r="F358" s="637"/>
      <c r="G358" s="637"/>
      <c r="H358" s="637"/>
      <c r="I358" s="637"/>
      <c r="J358" s="637"/>
      <c r="K358" s="637"/>
    </row>
    <row r="359" spans="1:11" ht="20.25" hidden="1" customHeight="1">
      <c r="A359" s="206" t="s">
        <v>147</v>
      </c>
      <c r="B359" s="207" t="e">
        <f>C359+F359+I359</f>
        <v>#REF!</v>
      </c>
      <c r="C359" s="208" t="e">
        <f>D359+E359</f>
        <v>#REF!</v>
      </c>
      <c r="D359" s="207" t="e">
        <f>D360</f>
        <v>#REF!</v>
      </c>
      <c r="E359" s="207">
        <f>E360</f>
        <v>0</v>
      </c>
      <c r="F359" s="45"/>
      <c r="G359" s="45"/>
      <c r="H359" s="45"/>
      <c r="I359" s="45"/>
      <c r="J359" s="45"/>
      <c r="K359" s="45"/>
    </row>
    <row r="360" spans="1:11" s="64" customFormat="1" ht="22.5" hidden="1" customHeight="1">
      <c r="A360" s="61" t="e">
        <f>'[1]Додаток 2'!#REF!</f>
        <v>#REF!</v>
      </c>
      <c r="B360" s="60"/>
      <c r="C360" s="45"/>
      <c r="D360" s="45" t="e">
        <f>'[1]Додаток 2'!#REF!</f>
        <v>#REF!</v>
      </c>
      <c r="E360" s="45"/>
      <c r="F360" s="45"/>
      <c r="G360" s="45"/>
      <c r="H360" s="45"/>
      <c r="I360" s="45"/>
      <c r="J360" s="45"/>
      <c r="K360" s="45"/>
    </row>
    <row r="361" spans="1:11" s="64" customFormat="1" ht="22.5" customHeight="1">
      <c r="A361" s="65"/>
      <c r="B361" s="66"/>
      <c r="C361" s="67"/>
      <c r="D361" s="67"/>
      <c r="E361" s="67"/>
      <c r="F361" s="67"/>
      <c r="G361" s="67"/>
      <c r="H361" s="67"/>
      <c r="I361" s="67"/>
      <c r="J361" s="67"/>
      <c r="K361" s="67"/>
    </row>
    <row r="362" spans="1:11" s="64" customFormat="1" ht="22.5" customHeight="1">
      <c r="A362" s="65"/>
      <c r="B362" s="66"/>
      <c r="C362" s="67"/>
      <c r="D362" s="67"/>
      <c r="E362" s="67"/>
      <c r="F362" s="67"/>
      <c r="G362" s="67"/>
      <c r="H362" s="67"/>
      <c r="I362" s="67"/>
      <c r="J362" s="67"/>
      <c r="K362" s="67"/>
    </row>
    <row r="363" spans="1:11" s="64" customFormat="1" ht="40.5" customHeight="1">
      <c r="A363" s="65"/>
      <c r="B363" s="66"/>
      <c r="C363" s="67"/>
      <c r="D363" s="67"/>
      <c r="E363" s="67"/>
      <c r="F363" s="67"/>
      <c r="G363" s="67"/>
      <c r="H363" s="67"/>
      <c r="I363" s="67"/>
      <c r="J363" s="67"/>
      <c r="K363" s="67"/>
    </row>
    <row r="364" spans="1:11" s="64" customFormat="1" ht="22.5" customHeight="1">
      <c r="A364" s="77" t="s">
        <v>500</v>
      </c>
      <c r="B364" s="77"/>
      <c r="C364" s="78"/>
      <c r="D364" s="79"/>
      <c r="E364" s="77"/>
      <c r="F364" s="80"/>
      <c r="G364" s="80"/>
      <c r="H364" s="80"/>
      <c r="I364" s="81" t="s">
        <v>501</v>
      </c>
      <c r="J364" s="71"/>
      <c r="K364" s="73"/>
    </row>
    <row r="365" spans="1:11" s="64" customFormat="1" ht="15" customHeight="1">
      <c r="A365" s="68"/>
      <c r="B365" s="68"/>
      <c r="C365" s="69"/>
      <c r="D365" s="70"/>
      <c r="E365" s="68"/>
      <c r="F365" s="71"/>
      <c r="G365" s="71"/>
      <c r="H365" s="71"/>
      <c r="I365" s="72"/>
      <c r="J365" s="71"/>
      <c r="K365" s="73"/>
    </row>
    <row r="366" spans="1:11" ht="25.5" customHeight="1">
      <c r="A366" s="75" t="s">
        <v>28</v>
      </c>
      <c r="B366" s="68"/>
      <c r="C366" s="76"/>
      <c r="D366" s="70"/>
      <c r="E366" s="68"/>
      <c r="F366" s="71"/>
      <c r="G366" s="71"/>
      <c r="H366" s="71"/>
      <c r="I366" s="71"/>
      <c r="J366" s="71"/>
      <c r="K366" s="74"/>
    </row>
    <row r="367" spans="1:11" ht="20.25" customHeight="1">
      <c r="A367" s="68"/>
      <c r="B367" s="68"/>
      <c r="C367" s="68"/>
      <c r="D367" s="70"/>
      <c r="E367" s="68"/>
      <c r="F367" s="71"/>
      <c r="G367" s="71"/>
      <c r="H367" s="71"/>
      <c r="I367" s="71"/>
      <c r="J367" s="71"/>
      <c r="K367" s="74"/>
    </row>
    <row r="368" spans="1:11" ht="20.25" customHeight="1">
      <c r="A368" s="68"/>
      <c r="B368" s="68"/>
      <c r="C368" s="68"/>
      <c r="D368" s="68"/>
      <c r="E368" s="68"/>
      <c r="F368" s="68"/>
      <c r="G368" s="68"/>
      <c r="H368" s="68"/>
      <c r="I368" s="68"/>
      <c r="J368" s="68"/>
    </row>
    <row r="369" ht="20.25" customHeight="1"/>
    <row r="370" ht="20.25" customHeight="1"/>
  </sheetData>
  <mergeCells count="113">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 ref="B358:K358"/>
    <mergeCell ref="B339:K339"/>
    <mergeCell ref="B336:K336"/>
    <mergeCell ref="B337:K337"/>
    <mergeCell ref="B338:K338"/>
    <mergeCell ref="A357:K357"/>
    <mergeCell ref="B342:K342"/>
    <mergeCell ref="B341:K341"/>
    <mergeCell ref="B340:K340"/>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260:K260"/>
    <mergeCell ref="A290:K290"/>
    <mergeCell ref="B292:K292"/>
    <mergeCell ref="B304:K304"/>
    <mergeCell ref="B317:K317"/>
    <mergeCell ref="B243:K243"/>
    <mergeCell ref="B170:K170"/>
    <mergeCell ref="B179:K179"/>
    <mergeCell ref="B191:K191"/>
    <mergeCell ref="B192:K192"/>
  </mergeCells>
  <pageMargins left="1.1811023622047245" right="0.43307086614173229" top="0.78740157480314965" bottom="0.78740157480314965" header="0.31496062992125984" footer="0.31496062992125984"/>
  <pageSetup paperSize="9" scale="43" orientation="landscape" r:id="rId1"/>
  <rowBreaks count="9" manualBreakCount="9">
    <brk id="36" max="10" man="1"/>
    <brk id="74" max="10" man="1"/>
    <brk id="106" max="10" man="1"/>
    <brk id="142" max="10" man="1"/>
    <brk id="178" max="10" man="1"/>
    <brk id="217" max="10" man="1"/>
    <brk id="249" max="10" man="1"/>
    <brk id="287" max="10" man="1"/>
    <brk id="323" max="10" man="1"/>
  </rowBreaks>
</worksheet>
</file>

<file path=xl/worksheets/sheet5.xml><?xml version="1.0" encoding="utf-8"?>
<worksheet xmlns="http://schemas.openxmlformats.org/spreadsheetml/2006/main" xmlns:r="http://schemas.openxmlformats.org/officeDocument/2006/relationships">
  <dimension ref="A1:X446"/>
  <sheetViews>
    <sheetView view="pageBreakPreview" zoomScale="30" zoomScaleNormal="30" zoomScaleSheetLayoutView="30" zoomScalePageLayoutView="30" workbookViewId="0">
      <selection activeCell="B438" sqref="B438"/>
    </sheetView>
  </sheetViews>
  <sheetFormatPr defaultColWidth="9.140625" defaultRowHeight="75" customHeight="1"/>
  <cols>
    <col min="1" max="1" width="8.42578125" style="96" customWidth="1"/>
    <col min="2" max="2" width="40.7109375" style="96" customWidth="1"/>
    <col min="3" max="3" width="51.28515625" style="258" customWidth="1"/>
    <col min="4" max="4" width="18.28515625" style="259" hidden="1" customWidth="1"/>
    <col min="5" max="5" width="69.42578125" style="259" hidden="1" customWidth="1"/>
    <col min="6" max="6" width="22.7109375" style="96" hidden="1" customWidth="1"/>
    <col min="7" max="7" width="43" style="132" customWidth="1"/>
    <col min="8" max="8" width="32.28515625" style="132" hidden="1" customWidth="1"/>
    <col min="9" max="9" width="25.140625" style="132" hidden="1" customWidth="1"/>
    <col min="10" max="10" width="21.7109375" style="132" hidden="1" customWidth="1"/>
    <col min="11" max="11" width="22.140625" style="132" hidden="1" customWidth="1"/>
    <col min="12" max="12" width="51.5703125" style="132" customWidth="1"/>
    <col min="13" max="13" width="23.42578125" style="132" customWidth="1"/>
    <col min="14" max="17" width="33.140625" style="132" customWidth="1"/>
    <col min="18" max="18" width="75.85546875" style="260" customWidth="1"/>
    <col min="19" max="19" width="20.85546875" style="96" customWidth="1"/>
    <col min="20" max="20" width="21.140625" style="96" customWidth="1"/>
    <col min="21" max="21" width="9.140625" style="96" customWidth="1"/>
    <col min="22" max="22" width="9.140625" style="96"/>
    <col min="23" max="23" width="11.28515625" style="96" bestFit="1" customWidth="1"/>
    <col min="24" max="24" width="10.5703125" style="96" bestFit="1" customWidth="1"/>
    <col min="25" max="16384" width="9.140625" style="96"/>
  </cols>
  <sheetData>
    <row r="1" spans="1:19" ht="27.75">
      <c r="R1" s="132"/>
    </row>
    <row r="2" spans="1:19" ht="27.75"/>
    <row r="3" spans="1:19" ht="33">
      <c r="A3" s="691" t="s">
        <v>442</v>
      </c>
      <c r="B3" s="691"/>
      <c r="C3" s="691"/>
      <c r="D3" s="691"/>
      <c r="E3" s="691"/>
      <c r="F3" s="691"/>
      <c r="G3" s="691"/>
      <c r="H3" s="691"/>
      <c r="I3" s="691"/>
      <c r="J3" s="691"/>
      <c r="K3" s="691"/>
      <c r="L3" s="691"/>
      <c r="M3" s="691"/>
      <c r="N3" s="691"/>
      <c r="O3" s="691"/>
      <c r="P3" s="691"/>
      <c r="Q3" s="691"/>
      <c r="R3" s="691"/>
    </row>
    <row r="4" spans="1:19" ht="27.75">
      <c r="H4" s="261" t="s">
        <v>20</v>
      </c>
      <c r="I4" s="262" t="e">
        <f>#REF!+#REF!+#REF!+#REF!</f>
        <v>#REF!</v>
      </c>
    </row>
    <row r="5" spans="1:19" ht="34.5" customHeight="1">
      <c r="A5" s="673" t="s">
        <v>1</v>
      </c>
      <c r="B5" s="673" t="s">
        <v>2</v>
      </c>
      <c r="C5" s="673" t="s">
        <v>3</v>
      </c>
      <c r="D5" s="673" t="s">
        <v>50</v>
      </c>
      <c r="E5" s="670" t="s">
        <v>48</v>
      </c>
      <c r="F5" s="673" t="s">
        <v>45</v>
      </c>
      <c r="G5" s="673" t="s">
        <v>4</v>
      </c>
      <c r="H5" s="692" t="s">
        <v>15</v>
      </c>
      <c r="I5" s="693"/>
      <c r="J5" s="693"/>
      <c r="K5" s="694"/>
      <c r="L5" s="695" t="s">
        <v>432</v>
      </c>
      <c r="M5" s="695"/>
      <c r="N5" s="695"/>
      <c r="O5" s="695" t="s">
        <v>440</v>
      </c>
      <c r="P5" s="695"/>
      <c r="Q5" s="695"/>
      <c r="R5" s="670" t="s">
        <v>5</v>
      </c>
    </row>
    <row r="6" spans="1:19" ht="25.5" customHeight="1">
      <c r="A6" s="673"/>
      <c r="B6" s="673"/>
      <c r="C6" s="673"/>
      <c r="D6" s="673"/>
      <c r="E6" s="671"/>
      <c r="F6" s="673"/>
      <c r="G6" s="673"/>
      <c r="H6" s="673" t="s">
        <v>85</v>
      </c>
      <c r="I6" s="695" t="s">
        <v>16</v>
      </c>
      <c r="J6" s="695"/>
      <c r="K6" s="695"/>
      <c r="L6" s="695"/>
      <c r="M6" s="695"/>
      <c r="N6" s="695"/>
      <c r="O6" s="695"/>
      <c r="P6" s="695"/>
      <c r="Q6" s="695"/>
      <c r="R6" s="671"/>
    </row>
    <row r="7" spans="1:19" s="259" customFormat="1" ht="215.25" customHeight="1">
      <c r="A7" s="673"/>
      <c r="B7" s="673"/>
      <c r="C7" s="673"/>
      <c r="D7" s="673"/>
      <c r="E7" s="672"/>
      <c r="F7" s="673"/>
      <c r="G7" s="673"/>
      <c r="H7" s="673"/>
      <c r="I7" s="137" t="s">
        <v>44</v>
      </c>
      <c r="J7" s="137" t="s">
        <v>412</v>
      </c>
      <c r="K7" s="137" t="s">
        <v>49</v>
      </c>
      <c r="L7" s="250" t="s">
        <v>437</v>
      </c>
      <c r="M7" s="250" t="s">
        <v>438</v>
      </c>
      <c r="N7" s="250" t="s">
        <v>439</v>
      </c>
      <c r="O7" s="250" t="s">
        <v>441</v>
      </c>
      <c r="P7" s="250" t="s">
        <v>438</v>
      </c>
      <c r="Q7" s="250" t="s">
        <v>439</v>
      </c>
      <c r="R7" s="672"/>
    </row>
    <row r="8" spans="1:19" s="259" customFormat="1" ht="27.75">
      <c r="A8" s="137">
        <v>1</v>
      </c>
      <c r="B8" s="137">
        <v>2</v>
      </c>
      <c r="C8" s="137">
        <v>3</v>
      </c>
      <c r="D8" s="137"/>
      <c r="E8" s="137"/>
      <c r="F8" s="137"/>
      <c r="G8" s="137">
        <v>4</v>
      </c>
      <c r="H8" s="137"/>
      <c r="I8" s="137"/>
      <c r="J8" s="137"/>
      <c r="K8" s="137"/>
      <c r="L8" s="137">
        <v>5</v>
      </c>
      <c r="M8" s="137">
        <v>6</v>
      </c>
      <c r="N8" s="137">
        <v>7</v>
      </c>
      <c r="O8" s="137">
        <v>8</v>
      </c>
      <c r="P8" s="137">
        <v>9</v>
      </c>
      <c r="Q8" s="137">
        <v>10</v>
      </c>
      <c r="R8" s="137">
        <v>11</v>
      </c>
      <c r="S8" s="263"/>
    </row>
    <row r="9" spans="1:19" s="259" customFormat="1" ht="27.75">
      <c r="A9" s="645" t="s">
        <v>266</v>
      </c>
      <c r="B9" s="646"/>
      <c r="C9" s="646"/>
      <c r="D9" s="646"/>
      <c r="E9" s="646"/>
      <c r="F9" s="646"/>
      <c r="G9" s="646"/>
      <c r="H9" s="646"/>
      <c r="I9" s="646"/>
      <c r="J9" s="646"/>
      <c r="K9" s="646"/>
      <c r="L9" s="646"/>
      <c r="M9" s="646"/>
      <c r="N9" s="646"/>
      <c r="O9" s="646"/>
      <c r="P9" s="646"/>
      <c r="Q9" s="646"/>
      <c r="R9" s="647"/>
      <c r="S9" s="263"/>
    </row>
    <row r="10" spans="1:19" ht="27" customHeight="1">
      <c r="A10" s="648" t="s">
        <v>215</v>
      </c>
      <c r="B10" s="394" t="s">
        <v>208</v>
      </c>
      <c r="C10" s="394" t="s">
        <v>216</v>
      </c>
      <c r="D10" s="658" t="s">
        <v>329</v>
      </c>
      <c r="E10" s="659"/>
      <c r="F10" s="659"/>
      <c r="G10" s="660"/>
      <c r="H10" s="264">
        <f>H11+H12</f>
        <v>240</v>
      </c>
      <c r="I10" s="264">
        <f>I11+I12</f>
        <v>240</v>
      </c>
      <c r="J10" s="264">
        <f>J11+J12</f>
        <v>0</v>
      </c>
      <c r="K10" s="264">
        <f>K11+K12</f>
        <v>0</v>
      </c>
      <c r="L10" s="265"/>
      <c r="M10" s="265"/>
      <c r="N10" s="265"/>
      <c r="O10" s="265"/>
      <c r="P10" s="265"/>
      <c r="Q10" s="265"/>
      <c r="R10" s="395" t="s">
        <v>260</v>
      </c>
    </row>
    <row r="11" spans="1:19" ht="55.5" customHeight="1">
      <c r="A11" s="648"/>
      <c r="B11" s="394"/>
      <c r="C11" s="394"/>
      <c r="D11" s="266" t="s">
        <v>36</v>
      </c>
      <c r="E11" s="240" t="s">
        <v>80</v>
      </c>
      <c r="F11" s="394" t="s">
        <v>210</v>
      </c>
      <c r="G11" s="394" t="s">
        <v>425</v>
      </c>
      <c r="H11" s="264">
        <f>I11+J11+K11</f>
        <v>60</v>
      </c>
      <c r="I11" s="264">
        <f>60</f>
        <v>60</v>
      </c>
      <c r="J11" s="264">
        <v>0</v>
      </c>
      <c r="K11" s="264">
        <v>0</v>
      </c>
      <c r="L11" s="267"/>
      <c r="M11" s="267"/>
      <c r="N11" s="267"/>
      <c r="O11" s="267"/>
      <c r="P11" s="267"/>
      <c r="Q11" s="267"/>
      <c r="R11" s="396"/>
    </row>
    <row r="12" spans="1:19" ht="55.5" customHeight="1">
      <c r="A12" s="648"/>
      <c r="B12" s="394"/>
      <c r="C12" s="394"/>
      <c r="D12" s="266" t="s">
        <v>36</v>
      </c>
      <c r="E12" s="240" t="s">
        <v>81</v>
      </c>
      <c r="F12" s="394"/>
      <c r="G12" s="394"/>
      <c r="H12" s="264">
        <f>I12+J12+K12</f>
        <v>180</v>
      </c>
      <c r="I12" s="264">
        <f>150+30</f>
        <v>180</v>
      </c>
      <c r="J12" s="264">
        <v>0</v>
      </c>
      <c r="K12" s="264">
        <v>0</v>
      </c>
      <c r="L12" s="267"/>
      <c r="M12" s="267"/>
      <c r="N12" s="267"/>
      <c r="O12" s="267"/>
      <c r="P12" s="267"/>
      <c r="Q12" s="267"/>
      <c r="R12" s="396"/>
    </row>
    <row r="13" spans="1:19" ht="27" customHeight="1">
      <c r="A13" s="648"/>
      <c r="B13" s="394"/>
      <c r="C13" s="394" t="s">
        <v>217</v>
      </c>
      <c r="D13" s="658" t="s">
        <v>337</v>
      </c>
      <c r="E13" s="659"/>
      <c r="F13" s="659"/>
      <c r="G13" s="660"/>
      <c r="H13" s="264">
        <f>H14+H15</f>
        <v>7016.41</v>
      </c>
      <c r="I13" s="264">
        <f>I14+I15</f>
        <v>1577.81</v>
      </c>
      <c r="J13" s="264">
        <f>J14+J15</f>
        <v>2614.6999999999998</v>
      </c>
      <c r="K13" s="264">
        <f>K14+K15</f>
        <v>2823.8999999999996</v>
      </c>
      <c r="L13" s="267"/>
      <c r="M13" s="267"/>
      <c r="N13" s="267"/>
      <c r="O13" s="267"/>
      <c r="P13" s="267"/>
      <c r="Q13" s="267"/>
      <c r="R13" s="396"/>
    </row>
    <row r="14" spans="1:19" ht="55.5" customHeight="1">
      <c r="A14" s="648"/>
      <c r="B14" s="394"/>
      <c r="C14" s="394"/>
      <c r="D14" s="266" t="s">
        <v>36</v>
      </c>
      <c r="E14" s="240" t="s">
        <v>80</v>
      </c>
      <c r="F14" s="394" t="s">
        <v>210</v>
      </c>
      <c r="G14" s="394" t="s">
        <v>425</v>
      </c>
      <c r="H14" s="264">
        <f>I14+J14+K14</f>
        <v>3883.6000000000004</v>
      </c>
      <c r="I14" s="264">
        <v>919</v>
      </c>
      <c r="J14" s="264">
        <v>1425.3</v>
      </c>
      <c r="K14" s="264">
        <v>1539.3</v>
      </c>
      <c r="L14" s="267"/>
      <c r="M14" s="267"/>
      <c r="N14" s="267"/>
      <c r="O14" s="267"/>
      <c r="P14" s="267"/>
      <c r="Q14" s="267"/>
      <c r="R14" s="396"/>
    </row>
    <row r="15" spans="1:19" ht="55.5" customHeight="1">
      <c r="A15" s="648"/>
      <c r="B15" s="394"/>
      <c r="C15" s="394"/>
      <c r="D15" s="266" t="s">
        <v>36</v>
      </c>
      <c r="E15" s="240" t="s">
        <v>81</v>
      </c>
      <c r="F15" s="394"/>
      <c r="G15" s="394"/>
      <c r="H15" s="264">
        <f>I15+J15+K15</f>
        <v>3132.81</v>
      </c>
      <c r="I15" s="264">
        <f>753.5-43.38-51.31</f>
        <v>658.81</v>
      </c>
      <c r="J15" s="264">
        <v>1189.4000000000001</v>
      </c>
      <c r="K15" s="264">
        <v>1284.5999999999999</v>
      </c>
      <c r="L15" s="268"/>
      <c r="M15" s="268"/>
      <c r="N15" s="268"/>
      <c r="O15" s="268"/>
      <c r="P15" s="268"/>
      <c r="Q15" s="268"/>
      <c r="R15" s="397"/>
    </row>
    <row r="16" spans="1:19" ht="27" customHeight="1">
      <c r="A16" s="648"/>
      <c r="B16" s="394"/>
      <c r="C16" s="394" t="s">
        <v>218</v>
      </c>
      <c r="D16" s="658" t="s">
        <v>338</v>
      </c>
      <c r="E16" s="659"/>
      <c r="F16" s="659"/>
      <c r="G16" s="660"/>
      <c r="H16" s="269">
        <f>H17+H18</f>
        <v>3495.1</v>
      </c>
      <c r="I16" s="269">
        <f>I17+I18</f>
        <v>1081.8</v>
      </c>
      <c r="J16" s="269">
        <f>J17+J18</f>
        <v>1169.3</v>
      </c>
      <c r="K16" s="269">
        <f>K17+K18</f>
        <v>1244</v>
      </c>
      <c r="L16" s="270"/>
      <c r="M16" s="270"/>
      <c r="N16" s="270"/>
      <c r="O16" s="270"/>
      <c r="P16" s="270"/>
      <c r="Q16" s="270"/>
      <c r="R16" s="395" t="s">
        <v>47</v>
      </c>
    </row>
    <row r="17" spans="1:19" ht="55.5" customHeight="1">
      <c r="A17" s="648"/>
      <c r="B17" s="394"/>
      <c r="C17" s="394"/>
      <c r="D17" s="266" t="s">
        <v>33</v>
      </c>
      <c r="E17" s="240" t="s">
        <v>80</v>
      </c>
      <c r="F17" s="394" t="s">
        <v>210</v>
      </c>
      <c r="G17" s="394" t="s">
        <v>425</v>
      </c>
      <c r="H17" s="264">
        <f>I17+J17+K17</f>
        <v>1721.1</v>
      </c>
      <c r="I17" s="264">
        <v>532</v>
      </c>
      <c r="J17" s="264">
        <v>575.29999999999995</v>
      </c>
      <c r="K17" s="264">
        <v>613.79999999999995</v>
      </c>
      <c r="L17" s="267"/>
      <c r="M17" s="267"/>
      <c r="N17" s="267"/>
      <c r="O17" s="267"/>
      <c r="P17" s="267"/>
      <c r="Q17" s="267"/>
      <c r="R17" s="396"/>
    </row>
    <row r="18" spans="1:19" ht="55.5" customHeight="1">
      <c r="A18" s="648"/>
      <c r="B18" s="394"/>
      <c r="C18" s="394"/>
      <c r="D18" s="266" t="s">
        <v>33</v>
      </c>
      <c r="E18" s="137" t="s">
        <v>81</v>
      </c>
      <c r="F18" s="394"/>
      <c r="G18" s="394"/>
      <c r="H18" s="264">
        <f>I18+J18+K18</f>
        <v>1774</v>
      </c>
      <c r="I18" s="264">
        <v>549.79999999999995</v>
      </c>
      <c r="J18" s="264">
        <v>594</v>
      </c>
      <c r="K18" s="264">
        <v>630.20000000000005</v>
      </c>
      <c r="L18" s="268"/>
      <c r="M18" s="268"/>
      <c r="N18" s="268"/>
      <c r="O18" s="268"/>
      <c r="P18" s="268"/>
      <c r="Q18" s="268"/>
      <c r="R18" s="397"/>
    </row>
    <row r="19" spans="1:19" ht="27.75">
      <c r="A19" s="648"/>
      <c r="B19" s="394"/>
      <c r="C19" s="394" t="s">
        <v>424</v>
      </c>
      <c r="D19" s="658" t="s">
        <v>423</v>
      </c>
      <c r="E19" s="659"/>
      <c r="F19" s="659"/>
      <c r="G19" s="660"/>
      <c r="H19" s="264">
        <f>I19+J19+K19</f>
        <v>1522</v>
      </c>
      <c r="I19" s="264">
        <f>I20+I21</f>
        <v>0</v>
      </c>
      <c r="J19" s="264">
        <f>J20+J21</f>
        <v>813.80000000000007</v>
      </c>
      <c r="K19" s="264">
        <f>K20+K21</f>
        <v>708.2</v>
      </c>
      <c r="L19" s="265"/>
      <c r="M19" s="265"/>
      <c r="N19" s="265"/>
      <c r="O19" s="265"/>
      <c r="P19" s="265"/>
      <c r="Q19" s="265"/>
      <c r="R19" s="236"/>
    </row>
    <row r="20" spans="1:19" ht="55.5">
      <c r="A20" s="648"/>
      <c r="B20" s="394"/>
      <c r="C20" s="394"/>
      <c r="D20" s="266" t="s">
        <v>33</v>
      </c>
      <c r="E20" s="240" t="s">
        <v>80</v>
      </c>
      <c r="F20" s="394" t="s">
        <v>210</v>
      </c>
      <c r="G20" s="394" t="s">
        <v>425</v>
      </c>
      <c r="H20" s="264">
        <f>I20+J20+K20</f>
        <v>251.29999999999998</v>
      </c>
      <c r="I20" s="264"/>
      <c r="J20" s="264">
        <v>121.6</v>
      </c>
      <c r="K20" s="264">
        <v>129.69999999999999</v>
      </c>
      <c r="L20" s="265"/>
      <c r="M20" s="265"/>
      <c r="N20" s="265"/>
      <c r="O20" s="265"/>
      <c r="P20" s="265"/>
      <c r="Q20" s="265"/>
      <c r="R20" s="236"/>
    </row>
    <row r="21" spans="1:19" ht="185.25" customHeight="1">
      <c r="A21" s="648"/>
      <c r="B21" s="394"/>
      <c r="C21" s="394"/>
      <c r="D21" s="266" t="s">
        <v>33</v>
      </c>
      <c r="E21" s="137" t="s">
        <v>81</v>
      </c>
      <c r="F21" s="394"/>
      <c r="G21" s="394"/>
      <c r="H21" s="264">
        <f>I21+J21+K21</f>
        <v>1270.7</v>
      </c>
      <c r="I21" s="264"/>
      <c r="J21" s="264">
        <v>692.2</v>
      </c>
      <c r="K21" s="264">
        <v>578.5</v>
      </c>
      <c r="L21" s="264"/>
      <c r="M21" s="264"/>
      <c r="N21" s="264"/>
      <c r="O21" s="264"/>
      <c r="P21" s="264"/>
      <c r="Q21" s="264"/>
      <c r="R21" s="240"/>
    </row>
    <row r="22" spans="1:19" ht="114.75" customHeight="1">
      <c r="A22" s="648"/>
      <c r="B22" s="394"/>
      <c r="C22" s="394" t="s">
        <v>458</v>
      </c>
      <c r="D22" s="271"/>
      <c r="E22" s="228"/>
      <c r="F22" s="249"/>
      <c r="G22" s="658" t="s">
        <v>423</v>
      </c>
      <c r="H22" s="659"/>
      <c r="I22" s="659"/>
      <c r="J22" s="660"/>
      <c r="K22" s="264"/>
      <c r="L22" s="265"/>
      <c r="M22" s="265"/>
      <c r="N22" s="265"/>
      <c r="O22" s="265">
        <v>0</v>
      </c>
      <c r="P22" s="265">
        <v>101.3</v>
      </c>
      <c r="Q22" s="265">
        <v>101.3</v>
      </c>
      <c r="R22" s="236"/>
    </row>
    <row r="23" spans="1:19" ht="166.5" hidden="1">
      <c r="A23" s="648"/>
      <c r="B23" s="394"/>
      <c r="C23" s="394"/>
      <c r="D23" s="271"/>
      <c r="E23" s="228"/>
      <c r="F23" s="249"/>
      <c r="G23" s="266" t="s">
        <v>33</v>
      </c>
      <c r="H23" s="240" t="s">
        <v>80</v>
      </c>
      <c r="I23" s="394" t="s">
        <v>210</v>
      </c>
      <c r="J23" s="394" t="s">
        <v>425</v>
      </c>
      <c r="K23" s="264"/>
      <c r="L23" s="265"/>
      <c r="M23" s="265"/>
      <c r="N23" s="265"/>
      <c r="O23" s="265"/>
      <c r="P23" s="265"/>
      <c r="Q23" s="265"/>
      <c r="R23" s="236"/>
    </row>
    <row r="24" spans="1:19" ht="166.5" hidden="1">
      <c r="A24" s="648"/>
      <c r="B24" s="394"/>
      <c r="C24" s="394"/>
      <c r="D24" s="271"/>
      <c r="E24" s="228"/>
      <c r="F24" s="249"/>
      <c r="G24" s="266" t="s">
        <v>33</v>
      </c>
      <c r="H24" s="137" t="s">
        <v>81</v>
      </c>
      <c r="I24" s="394"/>
      <c r="J24" s="394"/>
      <c r="K24" s="264"/>
      <c r="L24" s="265"/>
      <c r="M24" s="265"/>
      <c r="N24" s="265"/>
      <c r="O24" s="265"/>
      <c r="P24" s="265"/>
      <c r="Q24" s="265"/>
      <c r="R24" s="236"/>
    </row>
    <row r="25" spans="1:19" ht="27.75">
      <c r="A25" s="272"/>
      <c r="B25" s="255"/>
      <c r="C25" s="273"/>
      <c r="D25" s="271"/>
      <c r="E25" s="228"/>
      <c r="F25" s="249"/>
      <c r="G25" s="274"/>
      <c r="H25" s="264"/>
      <c r="I25" s="264"/>
      <c r="J25" s="264"/>
      <c r="K25" s="264"/>
      <c r="L25" s="265"/>
      <c r="M25" s="265"/>
      <c r="N25" s="265"/>
      <c r="O25" s="265"/>
      <c r="P25" s="265"/>
      <c r="Q25" s="265"/>
      <c r="R25" s="236"/>
    </row>
    <row r="26" spans="1:19" s="259" customFormat="1" ht="27" customHeight="1">
      <c r="A26" s="580"/>
      <c r="B26" s="652"/>
      <c r="C26" s="652"/>
      <c r="D26" s="652"/>
      <c r="E26" s="645" t="s">
        <v>267</v>
      </c>
      <c r="F26" s="646"/>
      <c r="G26" s="647"/>
      <c r="H26" s="269">
        <f>H10+H13+H16+H19</f>
        <v>12273.51</v>
      </c>
      <c r="I26" s="269">
        <f>I10+I13+I16+I19</f>
        <v>2899.6099999999997</v>
      </c>
      <c r="J26" s="269">
        <f>J10+J13+J16+J19</f>
        <v>4597.8</v>
      </c>
      <c r="K26" s="269">
        <f>K10+K13+K16+K19</f>
        <v>4776.0999999999995</v>
      </c>
      <c r="L26" s="269"/>
      <c r="M26" s="269"/>
      <c r="N26" s="269"/>
      <c r="O26" s="269">
        <v>4597.8</v>
      </c>
      <c r="P26" s="269">
        <f>Q26-O26</f>
        <v>101.30000000000018</v>
      </c>
      <c r="Q26" s="269">
        <v>4699.1000000000004</v>
      </c>
      <c r="R26" s="644"/>
      <c r="S26" s="263"/>
    </row>
    <row r="27" spans="1:19" s="259" customFormat="1" ht="55.5" customHeight="1">
      <c r="A27" s="581"/>
      <c r="B27" s="654"/>
      <c r="C27" s="654"/>
      <c r="D27" s="654"/>
      <c r="E27" s="240" t="s">
        <v>80</v>
      </c>
      <c r="F27" s="670"/>
      <c r="G27" s="395" t="s">
        <v>425</v>
      </c>
      <c r="H27" s="269">
        <f>H11+H14+H17+H20</f>
        <v>5916.0000000000009</v>
      </c>
      <c r="I27" s="269">
        <f>I11+I14+I17</f>
        <v>1511</v>
      </c>
      <c r="J27" s="269">
        <f>J11+J14+J17+J20</f>
        <v>2122.1999999999998</v>
      </c>
      <c r="K27" s="269">
        <f>K11+K14+K17+K20</f>
        <v>2282.7999999999997</v>
      </c>
      <c r="L27" s="269"/>
      <c r="M27" s="269"/>
      <c r="N27" s="269"/>
      <c r="O27" s="269"/>
      <c r="P27" s="269"/>
      <c r="Q27" s="269"/>
      <c r="R27" s="644"/>
      <c r="S27" s="263"/>
    </row>
    <row r="28" spans="1:19" s="259" customFormat="1" ht="5.25" customHeight="1">
      <c r="A28" s="581"/>
      <c r="B28" s="654"/>
      <c r="C28" s="654"/>
      <c r="D28" s="654"/>
      <c r="E28" s="138" t="s">
        <v>81</v>
      </c>
      <c r="F28" s="671"/>
      <c r="G28" s="396"/>
      <c r="H28" s="269">
        <f>H12+H15+H18+H21</f>
        <v>6357.5099999999993</v>
      </c>
      <c r="I28" s="270">
        <f>I12+I15+I18</f>
        <v>1388.61</v>
      </c>
      <c r="J28" s="269">
        <f>J12+J15+J18+J21</f>
        <v>2475.6000000000004</v>
      </c>
      <c r="K28" s="269">
        <f>K12+K15+K18+K21</f>
        <v>2493.3000000000002</v>
      </c>
      <c r="L28" s="269"/>
      <c r="M28" s="269"/>
      <c r="N28" s="269"/>
      <c r="O28" s="269"/>
      <c r="P28" s="269"/>
      <c r="Q28" s="269"/>
      <c r="R28" s="644"/>
      <c r="S28" s="263"/>
    </row>
    <row r="29" spans="1:19" s="259" customFormat="1" ht="69" customHeight="1">
      <c r="A29" s="648" t="s">
        <v>221</v>
      </c>
      <c r="B29" s="395" t="s">
        <v>209</v>
      </c>
      <c r="C29" s="394" t="s">
        <v>219</v>
      </c>
      <c r="D29" s="658" t="s">
        <v>330</v>
      </c>
      <c r="E29" s="659"/>
      <c r="F29" s="659"/>
      <c r="G29" s="660"/>
      <c r="H29" s="269">
        <f>H30+H35+H36+H37</f>
        <v>74241.53</v>
      </c>
      <c r="I29" s="269">
        <f>I30+I35+I36+I37</f>
        <v>72841.53</v>
      </c>
      <c r="J29" s="269">
        <f>J30+J35+J36+J37</f>
        <v>1400</v>
      </c>
      <c r="K29" s="269">
        <f>K30+K35+K36+K37</f>
        <v>0</v>
      </c>
      <c r="L29" s="269"/>
      <c r="M29" s="275"/>
      <c r="N29" s="275"/>
      <c r="O29" s="269">
        <v>1000</v>
      </c>
      <c r="P29" s="269">
        <v>400</v>
      </c>
      <c r="Q29" s="269">
        <v>1400</v>
      </c>
      <c r="R29" s="395" t="s">
        <v>331</v>
      </c>
      <c r="S29" s="263"/>
    </row>
    <row r="30" spans="1:19" s="259" customFormat="1" ht="27" customHeight="1">
      <c r="A30" s="648"/>
      <c r="B30" s="688"/>
      <c r="C30" s="683"/>
      <c r="D30" s="144" t="s">
        <v>98</v>
      </c>
      <c r="E30" s="249"/>
      <c r="F30" s="249"/>
      <c r="G30" s="274"/>
      <c r="H30" s="269">
        <f>SUM(H31:H34)</f>
        <v>28677.03</v>
      </c>
      <c r="I30" s="269">
        <f>SUM(I31:I34)</f>
        <v>27277.03</v>
      </c>
      <c r="J30" s="269">
        <f>SUM(J31:J34)</f>
        <v>1400</v>
      </c>
      <c r="K30" s="269">
        <f>SUM(K31:K34)</f>
        <v>0</v>
      </c>
      <c r="L30" s="269"/>
      <c r="M30" s="275"/>
      <c r="N30" s="275"/>
      <c r="O30" s="269"/>
      <c r="P30" s="269"/>
      <c r="Q30" s="269"/>
      <c r="R30" s="396"/>
      <c r="S30" s="263"/>
    </row>
    <row r="31" spans="1:19" s="259" customFormat="1" ht="55.5">
      <c r="A31" s="648"/>
      <c r="B31" s="688"/>
      <c r="C31" s="683"/>
      <c r="D31" s="266" t="s">
        <v>29</v>
      </c>
      <c r="E31" s="240" t="s">
        <v>82</v>
      </c>
      <c r="F31" s="442" t="s">
        <v>210</v>
      </c>
      <c r="G31" s="394" t="s">
        <v>425</v>
      </c>
      <c r="H31" s="264">
        <f t="shared" ref="H31:H36" si="0">I31+J31+K31</f>
        <v>7149.1299999999992</v>
      </c>
      <c r="I31" s="264">
        <f>8727.9-76-1021.1-481.67</f>
        <v>7149.1299999999992</v>
      </c>
      <c r="J31" s="264">
        <v>0</v>
      </c>
      <c r="K31" s="264">
        <v>0</v>
      </c>
      <c r="L31" s="264"/>
      <c r="M31" s="275"/>
      <c r="N31" s="275"/>
      <c r="O31" s="264"/>
      <c r="P31" s="264"/>
      <c r="Q31" s="264"/>
      <c r="R31" s="396"/>
      <c r="S31" s="263"/>
    </row>
    <row r="32" spans="1:19" s="259" customFormat="1" ht="27.75">
      <c r="A32" s="648"/>
      <c r="B32" s="688"/>
      <c r="C32" s="683"/>
      <c r="D32" s="266" t="s">
        <v>29</v>
      </c>
      <c r="E32" s="240" t="s">
        <v>76</v>
      </c>
      <c r="F32" s="683"/>
      <c r="G32" s="683"/>
      <c r="H32" s="264">
        <f t="shared" si="0"/>
        <v>2619.9</v>
      </c>
      <c r="I32" s="264">
        <f>3419.9-800</f>
        <v>2619.9</v>
      </c>
      <c r="J32" s="264"/>
      <c r="K32" s="264">
        <v>0</v>
      </c>
      <c r="L32" s="264"/>
      <c r="M32" s="275"/>
      <c r="N32" s="275"/>
      <c r="O32" s="264"/>
      <c r="P32" s="264"/>
      <c r="Q32" s="264"/>
      <c r="R32" s="396"/>
      <c r="S32" s="263"/>
    </row>
    <row r="33" spans="1:19" s="259" customFormat="1" ht="27.75">
      <c r="A33" s="648"/>
      <c r="B33" s="688"/>
      <c r="C33" s="683"/>
      <c r="D33" s="266" t="s">
        <v>29</v>
      </c>
      <c r="E33" s="240" t="s">
        <v>77</v>
      </c>
      <c r="F33" s="683"/>
      <c r="G33" s="683"/>
      <c r="H33" s="264">
        <f t="shared" si="0"/>
        <v>7191.2</v>
      </c>
      <c r="I33" s="264">
        <f>7232.7-41.5</f>
        <v>7191.2</v>
      </c>
      <c r="J33" s="264"/>
      <c r="K33" s="264">
        <v>0</v>
      </c>
      <c r="L33" s="264"/>
      <c r="M33" s="275"/>
      <c r="N33" s="275"/>
      <c r="O33" s="264"/>
      <c r="P33" s="264"/>
      <c r="Q33" s="264"/>
      <c r="R33" s="396"/>
      <c r="S33" s="263"/>
    </row>
    <row r="34" spans="1:19" s="259" customFormat="1" ht="55.5">
      <c r="A34" s="648"/>
      <c r="B34" s="688"/>
      <c r="C34" s="683"/>
      <c r="D34" s="266" t="s">
        <v>29</v>
      </c>
      <c r="E34" s="240" t="s">
        <v>75</v>
      </c>
      <c r="F34" s="683"/>
      <c r="G34" s="683"/>
      <c r="H34" s="264">
        <f t="shared" si="0"/>
        <v>11716.8</v>
      </c>
      <c r="I34" s="264">
        <v>10316.799999999999</v>
      </c>
      <c r="J34" s="276">
        <f>1000+400</f>
        <v>1400</v>
      </c>
      <c r="K34" s="264">
        <v>0</v>
      </c>
      <c r="L34" s="264"/>
      <c r="M34" s="275"/>
      <c r="N34" s="275"/>
      <c r="O34" s="264">
        <v>1000</v>
      </c>
      <c r="P34" s="264">
        <v>400</v>
      </c>
      <c r="Q34" s="264">
        <f>O34+P34</f>
        <v>1400</v>
      </c>
      <c r="R34" s="396"/>
      <c r="S34" s="263"/>
    </row>
    <row r="35" spans="1:19" s="259" customFormat="1" ht="210.75" hidden="1" customHeight="1">
      <c r="A35" s="648"/>
      <c r="B35" s="688"/>
      <c r="C35" s="683"/>
      <c r="D35" s="266" t="s">
        <v>29</v>
      </c>
      <c r="E35" s="240" t="s">
        <v>82</v>
      </c>
      <c r="F35" s="683"/>
      <c r="G35" s="240" t="s">
        <v>99</v>
      </c>
      <c r="H35" s="264">
        <f>I35+J35+K35</f>
        <v>144.6</v>
      </c>
      <c r="I35" s="264">
        <v>144.6</v>
      </c>
      <c r="J35" s="264">
        <v>0</v>
      </c>
      <c r="K35" s="264">
        <v>0</v>
      </c>
      <c r="L35" s="264"/>
      <c r="M35" s="264"/>
      <c r="N35" s="264"/>
      <c r="O35" s="264"/>
      <c r="P35" s="264"/>
      <c r="Q35" s="264"/>
      <c r="R35" s="396"/>
      <c r="S35" s="263"/>
    </row>
    <row r="36" spans="1:19" s="259" customFormat="1" ht="210.75" hidden="1" customHeight="1">
      <c r="A36" s="648"/>
      <c r="B36" s="688"/>
      <c r="C36" s="683"/>
      <c r="D36" s="266" t="s">
        <v>29</v>
      </c>
      <c r="E36" s="240" t="s">
        <v>82</v>
      </c>
      <c r="F36" s="683"/>
      <c r="G36" s="137" t="s">
        <v>328</v>
      </c>
      <c r="H36" s="264">
        <f t="shared" si="0"/>
        <v>60</v>
      </c>
      <c r="I36" s="264">
        <v>60</v>
      </c>
      <c r="J36" s="264">
        <v>0</v>
      </c>
      <c r="K36" s="264">
        <v>0</v>
      </c>
      <c r="L36" s="264"/>
      <c r="M36" s="264"/>
      <c r="N36" s="264"/>
      <c r="O36" s="264"/>
      <c r="P36" s="264"/>
      <c r="Q36" s="264"/>
      <c r="R36" s="396"/>
      <c r="S36" s="263"/>
    </row>
    <row r="37" spans="1:19" s="259" customFormat="1" ht="210.75" hidden="1" customHeight="1">
      <c r="A37" s="648"/>
      <c r="B37" s="688"/>
      <c r="C37" s="683"/>
      <c r="D37" s="686" t="s">
        <v>98</v>
      </c>
      <c r="E37" s="687"/>
      <c r="F37" s="683"/>
      <c r="G37" s="673" t="s">
        <v>96</v>
      </c>
      <c r="H37" s="264">
        <f>SUM(H38:H41)</f>
        <v>45359.9</v>
      </c>
      <c r="I37" s="264">
        <f>SUM(I38:I41)</f>
        <v>45359.9</v>
      </c>
      <c r="J37" s="264">
        <f>SUM(J38:J41)</f>
        <v>0</v>
      </c>
      <c r="K37" s="264">
        <f>SUM(K38:K41)</f>
        <v>0</v>
      </c>
      <c r="L37" s="264"/>
      <c r="M37" s="264"/>
      <c r="N37" s="264"/>
      <c r="O37" s="264"/>
      <c r="P37" s="264"/>
      <c r="Q37" s="264"/>
      <c r="R37" s="396"/>
      <c r="S37" s="263"/>
    </row>
    <row r="38" spans="1:19" s="259" customFormat="1" ht="55.5" hidden="1">
      <c r="A38" s="648"/>
      <c r="B38" s="688"/>
      <c r="C38" s="683"/>
      <c r="D38" s="266" t="s">
        <v>29</v>
      </c>
      <c r="E38" s="240" t="s">
        <v>82</v>
      </c>
      <c r="F38" s="683"/>
      <c r="G38" s="683"/>
      <c r="H38" s="264">
        <f>I38+J38+K38</f>
        <v>12485.6</v>
      </c>
      <c r="I38" s="264">
        <v>12485.6</v>
      </c>
      <c r="J38" s="264">
        <v>0</v>
      </c>
      <c r="K38" s="264">
        <v>0</v>
      </c>
      <c r="L38" s="264"/>
      <c r="M38" s="264"/>
      <c r="N38" s="264"/>
      <c r="O38" s="264"/>
      <c r="P38" s="264"/>
      <c r="Q38" s="264"/>
      <c r="R38" s="396"/>
      <c r="S38" s="263"/>
    </row>
    <row r="39" spans="1:19" s="259" customFormat="1" ht="27.75" hidden="1">
      <c r="A39" s="648"/>
      <c r="B39" s="688"/>
      <c r="C39" s="683"/>
      <c r="D39" s="266" t="s">
        <v>29</v>
      </c>
      <c r="E39" s="240" t="s">
        <v>76</v>
      </c>
      <c r="F39" s="683"/>
      <c r="G39" s="683"/>
      <c r="H39" s="264">
        <f>I39+J39+K39</f>
        <v>8160.1</v>
      </c>
      <c r="I39" s="264">
        <v>8160.1</v>
      </c>
      <c r="J39" s="264">
        <v>0</v>
      </c>
      <c r="K39" s="264">
        <v>0</v>
      </c>
      <c r="L39" s="264"/>
      <c r="M39" s="264"/>
      <c r="N39" s="264"/>
      <c r="O39" s="264"/>
      <c r="P39" s="264"/>
      <c r="Q39" s="264"/>
      <c r="R39" s="396"/>
      <c r="S39" s="263"/>
    </row>
    <row r="40" spans="1:19" s="259" customFormat="1" ht="27.75" hidden="1">
      <c r="A40" s="648"/>
      <c r="B40" s="688"/>
      <c r="C40" s="683"/>
      <c r="D40" s="266" t="s">
        <v>29</v>
      </c>
      <c r="E40" s="240" t="s">
        <v>77</v>
      </c>
      <c r="F40" s="683"/>
      <c r="G40" s="683"/>
      <c r="H40" s="264">
        <f>I40+J40+K40</f>
        <v>12866.2</v>
      </c>
      <c r="I40" s="264">
        <v>12866.2</v>
      </c>
      <c r="J40" s="264">
        <v>0</v>
      </c>
      <c r="K40" s="264">
        <v>0</v>
      </c>
      <c r="L40" s="264"/>
      <c r="M40" s="264"/>
      <c r="N40" s="264"/>
      <c r="O40" s="264"/>
      <c r="P40" s="264"/>
      <c r="Q40" s="264"/>
      <c r="R40" s="396"/>
      <c r="S40" s="263"/>
    </row>
    <row r="41" spans="1:19" s="259" customFormat="1" ht="55.5" hidden="1">
      <c r="A41" s="648"/>
      <c r="B41" s="688"/>
      <c r="C41" s="683"/>
      <c r="D41" s="266" t="s">
        <v>29</v>
      </c>
      <c r="E41" s="240" t="s">
        <v>75</v>
      </c>
      <c r="F41" s="683"/>
      <c r="G41" s="683"/>
      <c r="H41" s="264">
        <f>I41+J41+K41</f>
        <v>11848</v>
      </c>
      <c r="I41" s="264">
        <v>11848</v>
      </c>
      <c r="J41" s="264">
        <v>0</v>
      </c>
      <c r="K41" s="264">
        <v>0</v>
      </c>
      <c r="L41" s="264"/>
      <c r="M41" s="264"/>
      <c r="N41" s="264"/>
      <c r="O41" s="264"/>
      <c r="P41" s="264"/>
      <c r="Q41" s="264"/>
      <c r="R41" s="397"/>
      <c r="S41" s="263"/>
    </row>
    <row r="42" spans="1:19" s="259" customFormat="1" ht="210.75" hidden="1" customHeight="1">
      <c r="A42" s="648"/>
      <c r="B42" s="688"/>
      <c r="C42" s="394" t="s">
        <v>222</v>
      </c>
      <c r="D42" s="658" t="s">
        <v>339</v>
      </c>
      <c r="E42" s="659"/>
      <c r="F42" s="659"/>
      <c r="G42" s="660"/>
      <c r="H42" s="264">
        <f>SUM(H43:H46)</f>
        <v>55261.611999999994</v>
      </c>
      <c r="I42" s="264">
        <f>SUM(I43:I46)</f>
        <v>18688</v>
      </c>
      <c r="J42" s="264">
        <f>SUM(J43:J46)</f>
        <v>17583.48</v>
      </c>
      <c r="K42" s="264">
        <f>SUM(K43:K46)</f>
        <v>18990.131999999998</v>
      </c>
      <c r="L42" s="265"/>
      <c r="M42" s="265"/>
      <c r="N42" s="265"/>
      <c r="O42" s="265"/>
      <c r="P42" s="265"/>
      <c r="Q42" s="265"/>
      <c r="R42" s="395" t="s">
        <v>260</v>
      </c>
      <c r="S42" s="263"/>
    </row>
    <row r="43" spans="1:19" ht="55.5" hidden="1">
      <c r="A43" s="648"/>
      <c r="B43" s="688"/>
      <c r="C43" s="394"/>
      <c r="D43" s="266" t="s">
        <v>29</v>
      </c>
      <c r="E43" s="240" t="s">
        <v>82</v>
      </c>
      <c r="F43" s="394" t="s">
        <v>210</v>
      </c>
      <c r="G43" s="394" t="s">
        <v>425</v>
      </c>
      <c r="H43" s="264">
        <f t="shared" ref="H43:H55" si="1">I43+J43+K43</f>
        <v>10965.8</v>
      </c>
      <c r="I43" s="264">
        <v>3629.9</v>
      </c>
      <c r="J43" s="264">
        <v>3526.9</v>
      </c>
      <c r="K43" s="264">
        <v>3809</v>
      </c>
      <c r="L43" s="267"/>
      <c r="M43" s="267"/>
      <c r="N43" s="267"/>
      <c r="O43" s="267"/>
      <c r="P43" s="267"/>
      <c r="Q43" s="267"/>
      <c r="R43" s="396"/>
    </row>
    <row r="44" spans="1:19" ht="27.75" hidden="1">
      <c r="A44" s="648"/>
      <c r="B44" s="688"/>
      <c r="C44" s="394"/>
      <c r="D44" s="266" t="s">
        <v>29</v>
      </c>
      <c r="E44" s="240" t="s">
        <v>76</v>
      </c>
      <c r="F44" s="683"/>
      <c r="G44" s="683"/>
      <c r="H44" s="264">
        <f t="shared" si="1"/>
        <v>13403.4</v>
      </c>
      <c r="I44" s="264">
        <v>4524.8999999999996</v>
      </c>
      <c r="J44" s="264">
        <v>4268.5</v>
      </c>
      <c r="K44" s="264">
        <v>4610</v>
      </c>
      <c r="L44" s="267"/>
      <c r="M44" s="267"/>
      <c r="N44" s="267"/>
      <c r="O44" s="267"/>
      <c r="P44" s="267"/>
      <c r="Q44" s="267"/>
      <c r="R44" s="396"/>
    </row>
    <row r="45" spans="1:19" s="259" customFormat="1" ht="27.75" hidden="1">
      <c r="A45" s="648"/>
      <c r="B45" s="688"/>
      <c r="C45" s="394"/>
      <c r="D45" s="266" t="s">
        <v>29</v>
      </c>
      <c r="E45" s="240" t="s">
        <v>77</v>
      </c>
      <c r="F45" s="683"/>
      <c r="G45" s="683"/>
      <c r="H45" s="264">
        <f t="shared" si="1"/>
        <v>17752.25</v>
      </c>
      <c r="I45" s="264">
        <f>5671.7+326.2+422.4</f>
        <v>6420.2999999999993</v>
      </c>
      <c r="J45" s="264">
        <v>5448.05</v>
      </c>
      <c r="K45" s="264">
        <v>5883.9</v>
      </c>
      <c r="L45" s="267"/>
      <c r="M45" s="267"/>
      <c r="N45" s="267"/>
      <c r="O45" s="267"/>
      <c r="P45" s="267"/>
      <c r="Q45" s="267"/>
      <c r="R45" s="396"/>
      <c r="S45" s="263"/>
    </row>
    <row r="46" spans="1:19" s="259" customFormat="1" ht="55.5" hidden="1">
      <c r="A46" s="648"/>
      <c r="B46" s="688"/>
      <c r="C46" s="394"/>
      <c r="D46" s="266" t="s">
        <v>29</v>
      </c>
      <c r="E46" s="240" t="s">
        <v>75</v>
      </c>
      <c r="F46" s="683"/>
      <c r="G46" s="683"/>
      <c r="H46" s="264">
        <f t="shared" si="1"/>
        <v>13140.162</v>
      </c>
      <c r="I46" s="264">
        <v>4112.8999999999996</v>
      </c>
      <c r="J46" s="264">
        <v>4340.03</v>
      </c>
      <c r="K46" s="264">
        <v>4687.232</v>
      </c>
      <c r="L46" s="268"/>
      <c r="M46" s="268"/>
      <c r="N46" s="268"/>
      <c r="O46" s="268"/>
      <c r="P46" s="268"/>
      <c r="Q46" s="268"/>
      <c r="R46" s="397"/>
      <c r="S46" s="263"/>
    </row>
    <row r="47" spans="1:19" s="259" customFormat="1" ht="210.75" hidden="1" customHeight="1">
      <c r="A47" s="648"/>
      <c r="B47" s="688"/>
      <c r="C47" s="442" t="s">
        <v>268</v>
      </c>
      <c r="D47" s="658" t="s">
        <v>340</v>
      </c>
      <c r="E47" s="659"/>
      <c r="F47" s="659"/>
      <c r="G47" s="660"/>
      <c r="H47" s="264">
        <f>SUM(H48:H52)</f>
        <v>9972.6550000000007</v>
      </c>
      <c r="I47" s="264">
        <f>SUM(I48:I52)</f>
        <v>4584.2129999999997</v>
      </c>
      <c r="J47" s="264">
        <f>SUM(J48:J52)</f>
        <v>2606.9</v>
      </c>
      <c r="K47" s="264">
        <f>SUM(K48:K52)</f>
        <v>2781.5419999999999</v>
      </c>
      <c r="L47" s="265"/>
      <c r="M47" s="265"/>
      <c r="N47" s="265"/>
      <c r="O47" s="265"/>
      <c r="P47" s="265"/>
      <c r="Q47" s="265"/>
      <c r="R47" s="395" t="s">
        <v>261</v>
      </c>
      <c r="S47" s="263"/>
    </row>
    <row r="48" spans="1:19" ht="83.25" hidden="1">
      <c r="A48" s="648"/>
      <c r="B48" s="688"/>
      <c r="C48" s="442"/>
      <c r="D48" s="518" t="s">
        <v>29</v>
      </c>
      <c r="E48" s="394" t="s">
        <v>82</v>
      </c>
      <c r="F48" s="442" t="s">
        <v>210</v>
      </c>
      <c r="G48" s="240" t="s">
        <v>425</v>
      </c>
      <c r="H48" s="264">
        <f>I48+J48+K48</f>
        <v>2156</v>
      </c>
      <c r="I48" s="264">
        <f>1060.5</f>
        <v>1060.5</v>
      </c>
      <c r="J48" s="264">
        <v>530</v>
      </c>
      <c r="K48" s="264">
        <v>565.5</v>
      </c>
      <c r="L48" s="267"/>
      <c r="M48" s="267"/>
      <c r="N48" s="267"/>
      <c r="O48" s="267"/>
      <c r="P48" s="267"/>
      <c r="Q48" s="267"/>
      <c r="R48" s="396"/>
    </row>
    <row r="49" spans="1:19" ht="210.75" hidden="1" customHeight="1">
      <c r="A49" s="648"/>
      <c r="B49" s="688"/>
      <c r="C49" s="442"/>
      <c r="D49" s="518"/>
      <c r="E49" s="394"/>
      <c r="F49" s="442"/>
      <c r="G49" s="240" t="s">
        <v>99</v>
      </c>
      <c r="H49" s="264">
        <f t="shared" si="1"/>
        <v>2.6</v>
      </c>
      <c r="I49" s="264">
        <v>2.6</v>
      </c>
      <c r="J49" s="264">
        <v>0</v>
      </c>
      <c r="K49" s="264">
        <v>0</v>
      </c>
      <c r="L49" s="267"/>
      <c r="M49" s="267"/>
      <c r="N49" s="267"/>
      <c r="O49" s="267"/>
      <c r="P49" s="267"/>
      <c r="Q49" s="267"/>
      <c r="R49" s="396"/>
    </row>
    <row r="50" spans="1:19" s="259" customFormat="1" ht="27.75" hidden="1">
      <c r="A50" s="648"/>
      <c r="B50" s="688"/>
      <c r="C50" s="442"/>
      <c r="D50" s="266" t="s">
        <v>29</v>
      </c>
      <c r="E50" s="240" t="s">
        <v>76</v>
      </c>
      <c r="F50" s="442"/>
      <c r="G50" s="394" t="s">
        <v>425</v>
      </c>
      <c r="H50" s="264">
        <f>I50+J50+K50</f>
        <v>1349.4</v>
      </c>
      <c r="I50" s="264">
        <v>667.3</v>
      </c>
      <c r="J50" s="264">
        <v>330</v>
      </c>
      <c r="K50" s="264">
        <v>352.1</v>
      </c>
      <c r="L50" s="267"/>
      <c r="M50" s="267"/>
      <c r="N50" s="267"/>
      <c r="O50" s="267"/>
      <c r="P50" s="267"/>
      <c r="Q50" s="267"/>
      <c r="R50" s="396"/>
      <c r="S50" s="263"/>
    </row>
    <row r="51" spans="1:19" s="259" customFormat="1" ht="27.75" hidden="1">
      <c r="A51" s="648"/>
      <c r="B51" s="688"/>
      <c r="C51" s="442"/>
      <c r="D51" s="266" t="s">
        <v>29</v>
      </c>
      <c r="E51" s="240" t="s">
        <v>77</v>
      </c>
      <c r="F51" s="442"/>
      <c r="G51" s="394"/>
      <c r="H51" s="264">
        <f t="shared" si="1"/>
        <v>2322.19</v>
      </c>
      <c r="I51" s="264">
        <v>1144</v>
      </c>
      <c r="J51" s="264">
        <v>570</v>
      </c>
      <c r="K51" s="264">
        <v>608.19000000000005</v>
      </c>
      <c r="L51" s="267"/>
      <c r="M51" s="267"/>
      <c r="N51" s="267"/>
      <c r="O51" s="267"/>
      <c r="P51" s="267"/>
      <c r="Q51" s="267"/>
      <c r="R51" s="396"/>
      <c r="S51" s="263"/>
    </row>
    <row r="52" spans="1:19" s="259" customFormat="1" ht="55.5" hidden="1">
      <c r="A52" s="648"/>
      <c r="B52" s="688"/>
      <c r="C52" s="442"/>
      <c r="D52" s="266" t="s">
        <v>29</v>
      </c>
      <c r="E52" s="240" t="s">
        <v>75</v>
      </c>
      <c r="F52" s="442"/>
      <c r="G52" s="394"/>
      <c r="H52" s="264">
        <f t="shared" si="1"/>
        <v>4142.4650000000001</v>
      </c>
      <c r="I52" s="264">
        <f>2748.919-253.468-420-365.638</f>
        <v>1709.8130000000001</v>
      </c>
      <c r="J52" s="264">
        <v>1176.9000000000001</v>
      </c>
      <c r="K52" s="264">
        <v>1255.752</v>
      </c>
      <c r="L52" s="268"/>
      <c r="M52" s="268"/>
      <c r="N52" s="268"/>
      <c r="O52" s="268"/>
      <c r="P52" s="268"/>
      <c r="Q52" s="268"/>
      <c r="R52" s="397"/>
      <c r="S52" s="263"/>
    </row>
    <row r="53" spans="1:19" ht="111" hidden="1">
      <c r="A53" s="648"/>
      <c r="B53" s="688"/>
      <c r="C53" s="240" t="s">
        <v>262</v>
      </c>
      <c r="D53" s="243" t="s">
        <v>29</v>
      </c>
      <c r="E53" s="240" t="s">
        <v>82</v>
      </c>
      <c r="F53" s="240" t="s">
        <v>210</v>
      </c>
      <c r="G53" s="240" t="s">
        <v>425</v>
      </c>
      <c r="H53" s="264">
        <f t="shared" si="1"/>
        <v>1307.3</v>
      </c>
      <c r="I53" s="264">
        <v>690</v>
      </c>
      <c r="J53" s="264">
        <v>300</v>
      </c>
      <c r="K53" s="264">
        <v>317.3</v>
      </c>
      <c r="L53" s="264"/>
      <c r="M53" s="264"/>
      <c r="N53" s="264"/>
      <c r="O53" s="264"/>
      <c r="P53" s="264"/>
      <c r="Q53" s="264"/>
      <c r="R53" s="240" t="s">
        <v>59</v>
      </c>
      <c r="S53" s="277"/>
    </row>
    <row r="54" spans="1:19" ht="277.5" hidden="1">
      <c r="A54" s="648"/>
      <c r="B54" s="688"/>
      <c r="C54" s="240" t="s">
        <v>492</v>
      </c>
      <c r="D54" s="243" t="s">
        <v>29</v>
      </c>
      <c r="E54" s="240" t="s">
        <v>82</v>
      </c>
      <c r="F54" s="240" t="s">
        <v>210</v>
      </c>
      <c r="G54" s="240" t="s">
        <v>425</v>
      </c>
      <c r="H54" s="264">
        <f t="shared" si="1"/>
        <v>1200</v>
      </c>
      <c r="I54" s="264">
        <v>1200</v>
      </c>
      <c r="J54" s="264"/>
      <c r="K54" s="264">
        <f>J54*1.051</f>
        <v>0</v>
      </c>
      <c r="L54" s="264"/>
      <c r="M54" s="264"/>
      <c r="N54" s="264"/>
      <c r="O54" s="264"/>
      <c r="P54" s="264"/>
      <c r="Q54" s="264"/>
      <c r="R54" s="240" t="s">
        <v>60</v>
      </c>
      <c r="S54" s="277"/>
    </row>
    <row r="55" spans="1:19" ht="138.75" hidden="1">
      <c r="A55" s="648"/>
      <c r="B55" s="688"/>
      <c r="C55" s="240" t="s">
        <v>493</v>
      </c>
      <c r="D55" s="243" t="s">
        <v>29</v>
      </c>
      <c r="E55" s="240" t="s">
        <v>82</v>
      </c>
      <c r="F55" s="240" t="s">
        <v>210</v>
      </c>
      <c r="G55" s="240" t="s">
        <v>425</v>
      </c>
      <c r="H55" s="264">
        <f t="shared" si="1"/>
        <v>1300</v>
      </c>
      <c r="I55" s="264">
        <v>1000</v>
      </c>
      <c r="J55" s="264">
        <v>300</v>
      </c>
      <c r="K55" s="264"/>
      <c r="L55" s="264"/>
      <c r="M55" s="264"/>
      <c r="N55" s="264"/>
      <c r="O55" s="264"/>
      <c r="P55" s="264"/>
      <c r="Q55" s="264"/>
      <c r="R55" s="240" t="s">
        <v>62</v>
      </c>
      <c r="S55" s="277"/>
    </row>
    <row r="56" spans="1:19" ht="27.75" hidden="1">
      <c r="A56" s="648"/>
      <c r="B56" s="688"/>
      <c r="C56" s="442" t="s">
        <v>494</v>
      </c>
      <c r="D56" s="394" t="s">
        <v>342</v>
      </c>
      <c r="E56" s="394"/>
      <c r="F56" s="394"/>
      <c r="G56" s="394"/>
      <c r="H56" s="264">
        <f>H57+H58</f>
        <v>3883</v>
      </c>
      <c r="I56" s="264">
        <f>I57+I58</f>
        <v>3883</v>
      </c>
      <c r="J56" s="264">
        <f>J57+J58</f>
        <v>0</v>
      </c>
      <c r="K56" s="264">
        <f>K57+K58</f>
        <v>0</v>
      </c>
      <c r="L56" s="264"/>
      <c r="M56" s="264"/>
      <c r="N56" s="264"/>
      <c r="O56" s="264"/>
      <c r="P56" s="264"/>
      <c r="Q56" s="264"/>
      <c r="R56" s="240"/>
      <c r="S56" s="277"/>
    </row>
    <row r="57" spans="1:19" ht="210.75" hidden="1" customHeight="1">
      <c r="A57" s="648"/>
      <c r="B57" s="688"/>
      <c r="C57" s="442"/>
      <c r="D57" s="690" t="s">
        <v>29</v>
      </c>
      <c r="E57" s="396" t="s">
        <v>77</v>
      </c>
      <c r="F57" s="578" t="s">
        <v>210</v>
      </c>
      <c r="G57" s="238" t="s">
        <v>99</v>
      </c>
      <c r="H57" s="264">
        <f>I57+J57+K57</f>
        <v>2680.3</v>
      </c>
      <c r="I57" s="264">
        <v>2680.3</v>
      </c>
      <c r="J57" s="264">
        <v>0</v>
      </c>
      <c r="K57" s="264">
        <v>0</v>
      </c>
      <c r="L57" s="265"/>
      <c r="M57" s="265"/>
      <c r="N57" s="265"/>
      <c r="O57" s="265"/>
      <c r="P57" s="265"/>
      <c r="Q57" s="265"/>
      <c r="R57" s="565" t="s">
        <v>347</v>
      </c>
      <c r="S57" s="277"/>
    </row>
    <row r="58" spans="1:19" ht="83.25" hidden="1">
      <c r="A58" s="648"/>
      <c r="B58" s="688"/>
      <c r="C58" s="442"/>
      <c r="D58" s="685"/>
      <c r="E58" s="397"/>
      <c r="F58" s="566"/>
      <c r="G58" s="240" t="s">
        <v>425</v>
      </c>
      <c r="H58" s="264">
        <f>I58+J58+K58</f>
        <v>1202.7</v>
      </c>
      <c r="I58" s="264">
        <v>1202.7</v>
      </c>
      <c r="J58" s="264">
        <v>0</v>
      </c>
      <c r="K58" s="264">
        <f>J58*1.051</f>
        <v>0</v>
      </c>
      <c r="L58" s="268"/>
      <c r="M58" s="268"/>
      <c r="N58" s="268"/>
      <c r="O58" s="268"/>
      <c r="P58" s="268"/>
      <c r="Q58" s="268"/>
      <c r="R58" s="566"/>
    </row>
    <row r="59" spans="1:19" ht="210.75" hidden="1" customHeight="1">
      <c r="A59" s="648"/>
      <c r="B59" s="688"/>
      <c r="C59" s="518" t="s">
        <v>495</v>
      </c>
      <c r="D59" s="394" t="s">
        <v>344</v>
      </c>
      <c r="E59" s="394"/>
      <c r="F59" s="394"/>
      <c r="G59" s="394"/>
      <c r="H59" s="264">
        <f>H60+H61+H62</f>
        <v>850</v>
      </c>
      <c r="I59" s="264">
        <f>I60+I61+I62</f>
        <v>850</v>
      </c>
      <c r="J59" s="264">
        <f>J60+J61+J62</f>
        <v>0</v>
      </c>
      <c r="K59" s="264">
        <f>K60+K61+K62</f>
        <v>0</v>
      </c>
      <c r="L59" s="265"/>
      <c r="M59" s="265"/>
      <c r="N59" s="265"/>
      <c r="O59" s="265"/>
      <c r="P59" s="265"/>
      <c r="Q59" s="265"/>
      <c r="R59" s="395" t="s">
        <v>67</v>
      </c>
    </row>
    <row r="60" spans="1:19" ht="55.5" hidden="1">
      <c r="A60" s="648"/>
      <c r="B60" s="688"/>
      <c r="C60" s="518"/>
      <c r="D60" s="266" t="s">
        <v>29</v>
      </c>
      <c r="E60" s="240" t="s">
        <v>82</v>
      </c>
      <c r="F60" s="395" t="s">
        <v>210</v>
      </c>
      <c r="G60" s="394" t="s">
        <v>55</v>
      </c>
      <c r="H60" s="264">
        <f>I60+J60+K60</f>
        <v>400</v>
      </c>
      <c r="I60" s="264">
        <v>400</v>
      </c>
      <c r="J60" s="264">
        <v>0</v>
      </c>
      <c r="K60" s="264">
        <v>0</v>
      </c>
      <c r="L60" s="267"/>
      <c r="M60" s="267"/>
      <c r="N60" s="267"/>
      <c r="O60" s="267"/>
      <c r="P60" s="267"/>
      <c r="Q60" s="267"/>
      <c r="R60" s="396"/>
      <c r="S60" s="278"/>
    </row>
    <row r="61" spans="1:19" ht="27.75" hidden="1">
      <c r="A61" s="648"/>
      <c r="B61" s="688"/>
      <c r="C61" s="518"/>
      <c r="D61" s="266" t="s">
        <v>29</v>
      </c>
      <c r="E61" s="240" t="s">
        <v>76</v>
      </c>
      <c r="F61" s="396"/>
      <c r="G61" s="683"/>
      <c r="H61" s="264">
        <f>I61+J61+K61</f>
        <v>150</v>
      </c>
      <c r="I61" s="264">
        <v>150</v>
      </c>
      <c r="J61" s="264">
        <v>0</v>
      </c>
      <c r="K61" s="264">
        <v>0</v>
      </c>
      <c r="L61" s="267"/>
      <c r="M61" s="267"/>
      <c r="N61" s="267"/>
      <c r="O61" s="267"/>
      <c r="P61" s="267"/>
      <c r="Q61" s="267"/>
      <c r="R61" s="396"/>
      <c r="S61" s="278"/>
    </row>
    <row r="62" spans="1:19" ht="27.75" hidden="1">
      <c r="A62" s="648"/>
      <c r="B62" s="688"/>
      <c r="C62" s="518"/>
      <c r="D62" s="266" t="s">
        <v>29</v>
      </c>
      <c r="E62" s="240" t="s">
        <v>77</v>
      </c>
      <c r="F62" s="397"/>
      <c r="G62" s="683"/>
      <c r="H62" s="264">
        <f>I62+J62+K62</f>
        <v>300</v>
      </c>
      <c r="I62" s="264">
        <v>300</v>
      </c>
      <c r="J62" s="264">
        <v>0</v>
      </c>
      <c r="K62" s="264">
        <v>0</v>
      </c>
      <c r="L62" s="268"/>
      <c r="M62" s="268"/>
      <c r="N62" s="268"/>
      <c r="O62" s="268"/>
      <c r="P62" s="268"/>
      <c r="Q62" s="268"/>
      <c r="R62" s="397"/>
      <c r="S62" s="278"/>
    </row>
    <row r="63" spans="1:19" s="259" customFormat="1" ht="210.75" hidden="1" customHeight="1">
      <c r="A63" s="648"/>
      <c r="B63" s="688"/>
      <c r="C63" s="518" t="s">
        <v>223</v>
      </c>
      <c r="D63" s="394" t="s">
        <v>345</v>
      </c>
      <c r="E63" s="394"/>
      <c r="F63" s="394"/>
      <c r="G63" s="394"/>
      <c r="H63" s="264">
        <f>SUM(H64:H67)</f>
        <v>5412.3880000000008</v>
      </c>
      <c r="I63" s="264">
        <f>SUM(I64:I67)</f>
        <v>2536.1000000000004</v>
      </c>
      <c r="J63" s="264">
        <f>SUM(J64:J67)</f>
        <v>1388.8000000000002</v>
      </c>
      <c r="K63" s="264">
        <f>SUM(K64:K67)</f>
        <v>1487.4879999999998</v>
      </c>
      <c r="L63" s="265"/>
      <c r="M63" s="265"/>
      <c r="N63" s="265"/>
      <c r="O63" s="265"/>
      <c r="P63" s="265"/>
      <c r="Q63" s="265"/>
      <c r="R63" s="395" t="s">
        <v>63</v>
      </c>
      <c r="S63" s="263"/>
    </row>
    <row r="64" spans="1:19" s="259" customFormat="1" ht="55.5" hidden="1">
      <c r="A64" s="648"/>
      <c r="B64" s="688"/>
      <c r="C64" s="518"/>
      <c r="D64" s="266" t="s">
        <v>29</v>
      </c>
      <c r="E64" s="240" t="s">
        <v>82</v>
      </c>
      <c r="F64" s="394" t="s">
        <v>17</v>
      </c>
      <c r="G64" s="394" t="s">
        <v>425</v>
      </c>
      <c r="H64" s="264">
        <f t="shared" ref="H64:H70" si="2">I64+J64+K64</f>
        <v>764.6</v>
      </c>
      <c r="I64" s="264">
        <v>324.10000000000002</v>
      </c>
      <c r="J64" s="264">
        <v>213.1</v>
      </c>
      <c r="K64" s="264">
        <v>227.4</v>
      </c>
      <c r="L64" s="267"/>
      <c r="M64" s="267"/>
      <c r="N64" s="267"/>
      <c r="O64" s="267"/>
      <c r="P64" s="267"/>
      <c r="Q64" s="267"/>
      <c r="R64" s="396"/>
      <c r="S64" s="263"/>
    </row>
    <row r="65" spans="1:20" s="259" customFormat="1" ht="27.75" hidden="1">
      <c r="A65" s="648"/>
      <c r="B65" s="688"/>
      <c r="C65" s="518"/>
      <c r="D65" s="266" t="s">
        <v>29</v>
      </c>
      <c r="E65" s="240" t="s">
        <v>76</v>
      </c>
      <c r="F65" s="394"/>
      <c r="G65" s="394"/>
      <c r="H65" s="264">
        <f t="shared" si="2"/>
        <v>302.98</v>
      </c>
      <c r="I65" s="264">
        <v>125.3</v>
      </c>
      <c r="J65" s="264">
        <v>85.78</v>
      </c>
      <c r="K65" s="264">
        <v>91.9</v>
      </c>
      <c r="L65" s="267"/>
      <c r="M65" s="267"/>
      <c r="N65" s="267"/>
      <c r="O65" s="267"/>
      <c r="P65" s="267"/>
      <c r="Q65" s="267"/>
      <c r="R65" s="396"/>
      <c r="S65" s="263"/>
    </row>
    <row r="66" spans="1:20" s="259" customFormat="1" ht="27.75" hidden="1">
      <c r="A66" s="648"/>
      <c r="B66" s="688"/>
      <c r="C66" s="518"/>
      <c r="D66" s="266" t="s">
        <v>29</v>
      </c>
      <c r="E66" s="240" t="s">
        <v>77</v>
      </c>
      <c r="F66" s="394"/>
      <c r="G66" s="394"/>
      <c r="H66" s="264">
        <f t="shared" si="2"/>
        <v>3348.27</v>
      </c>
      <c r="I66" s="264">
        <v>1528</v>
      </c>
      <c r="J66" s="264">
        <v>878.52</v>
      </c>
      <c r="K66" s="264">
        <v>941.75</v>
      </c>
      <c r="L66" s="267"/>
      <c r="M66" s="267"/>
      <c r="N66" s="267"/>
      <c r="O66" s="267"/>
      <c r="P66" s="267"/>
      <c r="Q66" s="267"/>
      <c r="R66" s="396"/>
      <c r="S66" s="263"/>
    </row>
    <row r="67" spans="1:20" s="259" customFormat="1" ht="55.5" hidden="1">
      <c r="A67" s="648"/>
      <c r="B67" s="688"/>
      <c r="C67" s="518"/>
      <c r="D67" s="266" t="s">
        <v>29</v>
      </c>
      <c r="E67" s="240" t="s">
        <v>75</v>
      </c>
      <c r="F67" s="394"/>
      <c r="G67" s="394"/>
      <c r="H67" s="264">
        <f t="shared" si="2"/>
        <v>996.53800000000001</v>
      </c>
      <c r="I67" s="264">
        <v>558.70000000000005</v>
      </c>
      <c r="J67" s="264">
        <v>211.4</v>
      </c>
      <c r="K67" s="264">
        <v>226.43799999999999</v>
      </c>
      <c r="L67" s="268"/>
      <c r="M67" s="268"/>
      <c r="N67" s="268"/>
      <c r="O67" s="268"/>
      <c r="P67" s="268"/>
      <c r="Q67" s="268"/>
      <c r="R67" s="397"/>
      <c r="S67" s="263"/>
    </row>
    <row r="68" spans="1:20" ht="249.75" hidden="1">
      <c r="A68" s="648"/>
      <c r="B68" s="688"/>
      <c r="C68" s="240" t="s">
        <v>224</v>
      </c>
      <c r="D68" s="243" t="s">
        <v>33</v>
      </c>
      <c r="E68" s="240" t="s">
        <v>76</v>
      </c>
      <c r="F68" s="241" t="s">
        <v>17</v>
      </c>
      <c r="G68" s="240" t="s">
        <v>426</v>
      </c>
      <c r="H68" s="264">
        <f t="shared" si="2"/>
        <v>5834</v>
      </c>
      <c r="I68" s="264">
        <f>2500-800</f>
        <v>1700</v>
      </c>
      <c r="J68" s="264">
        <v>2000</v>
      </c>
      <c r="K68" s="279">
        <v>2134</v>
      </c>
      <c r="L68" s="279"/>
      <c r="M68" s="279"/>
      <c r="N68" s="279"/>
      <c r="O68" s="279"/>
      <c r="P68" s="279"/>
      <c r="Q68" s="279"/>
      <c r="R68" s="240" t="s">
        <v>346</v>
      </c>
    </row>
    <row r="69" spans="1:20" ht="166.5" hidden="1">
      <c r="A69" s="648"/>
      <c r="B69" s="688"/>
      <c r="C69" s="240" t="s">
        <v>403</v>
      </c>
      <c r="D69" s="243" t="s">
        <v>402</v>
      </c>
      <c r="E69" s="240" t="s">
        <v>404</v>
      </c>
      <c r="F69" s="241" t="s">
        <v>17</v>
      </c>
      <c r="G69" s="240" t="s">
        <v>426</v>
      </c>
      <c r="H69" s="264">
        <f>I69+J69+K69</f>
        <v>3000</v>
      </c>
      <c r="I69" s="264">
        <v>3000</v>
      </c>
      <c r="J69" s="264">
        <v>0</v>
      </c>
      <c r="K69" s="279">
        <v>0</v>
      </c>
      <c r="L69" s="279"/>
      <c r="M69" s="279"/>
      <c r="N69" s="279"/>
      <c r="O69" s="279"/>
      <c r="P69" s="279"/>
      <c r="Q69" s="279"/>
      <c r="R69" s="240" t="s">
        <v>409</v>
      </c>
    </row>
    <row r="70" spans="1:20" ht="111" hidden="1">
      <c r="A70" s="648"/>
      <c r="B70" s="688"/>
      <c r="C70" s="241" t="s">
        <v>405</v>
      </c>
      <c r="D70" s="243" t="s">
        <v>29</v>
      </c>
      <c r="E70" s="240" t="s">
        <v>75</v>
      </c>
      <c r="F70" s="240" t="s">
        <v>210</v>
      </c>
      <c r="G70" s="240" t="s">
        <v>427</v>
      </c>
      <c r="H70" s="264">
        <f t="shared" si="2"/>
        <v>2173.5</v>
      </c>
      <c r="I70" s="264">
        <v>1867.7</v>
      </c>
      <c r="J70" s="264">
        <v>305.8</v>
      </c>
      <c r="K70" s="264"/>
      <c r="L70" s="264"/>
      <c r="M70" s="264"/>
      <c r="N70" s="264"/>
      <c r="O70" s="264"/>
      <c r="P70" s="264"/>
      <c r="Q70" s="264"/>
      <c r="R70" s="241" t="s">
        <v>269</v>
      </c>
      <c r="S70" s="277"/>
    </row>
    <row r="71" spans="1:20" ht="222" hidden="1">
      <c r="A71" s="648"/>
      <c r="B71" s="688"/>
      <c r="C71" s="245" t="s">
        <v>406</v>
      </c>
      <c r="D71" s="243" t="s">
        <v>29</v>
      </c>
      <c r="E71" s="240" t="s">
        <v>75</v>
      </c>
      <c r="F71" s="240" t="s">
        <v>210</v>
      </c>
      <c r="G71" s="240" t="s">
        <v>427</v>
      </c>
      <c r="H71" s="264">
        <f>I71+J71+K71</f>
        <v>3716.54</v>
      </c>
      <c r="I71" s="264">
        <v>946.27</v>
      </c>
      <c r="J71" s="264">
        <v>1337.3</v>
      </c>
      <c r="K71" s="264">
        <v>1432.97</v>
      </c>
      <c r="L71" s="265"/>
      <c r="M71" s="265"/>
      <c r="N71" s="265"/>
      <c r="O71" s="265"/>
      <c r="P71" s="265"/>
      <c r="Q71" s="265"/>
      <c r="R71" s="245" t="s">
        <v>106</v>
      </c>
      <c r="S71" s="277"/>
    </row>
    <row r="72" spans="1:20" ht="210.75" hidden="1" customHeight="1">
      <c r="A72" s="648"/>
      <c r="B72" s="688"/>
      <c r="C72" s="442" t="s">
        <v>407</v>
      </c>
      <c r="D72" s="394" t="s">
        <v>408</v>
      </c>
      <c r="E72" s="394"/>
      <c r="F72" s="394"/>
      <c r="G72" s="394"/>
      <c r="H72" s="264">
        <f>H73+H74+H75</f>
        <v>6073.8</v>
      </c>
      <c r="I72" s="264">
        <f>I73+I74+I75</f>
        <v>1217.8</v>
      </c>
      <c r="J72" s="264">
        <f>J73+J74+J75</f>
        <v>2344</v>
      </c>
      <c r="K72" s="264">
        <f>K73+K74+K75</f>
        <v>2512</v>
      </c>
      <c r="L72" s="265"/>
      <c r="M72" s="265"/>
      <c r="N72" s="265"/>
      <c r="O72" s="265"/>
      <c r="P72" s="265"/>
      <c r="Q72" s="265"/>
      <c r="R72" s="565" t="s">
        <v>74</v>
      </c>
      <c r="S72" s="277"/>
    </row>
    <row r="73" spans="1:20" ht="55.5" hidden="1">
      <c r="A73" s="648"/>
      <c r="B73" s="688"/>
      <c r="C73" s="442"/>
      <c r="D73" s="266" t="s">
        <v>29</v>
      </c>
      <c r="E73" s="144" t="s">
        <v>82</v>
      </c>
      <c r="F73" s="395" t="s">
        <v>210</v>
      </c>
      <c r="G73" s="395" t="s">
        <v>427</v>
      </c>
      <c r="H73" s="264">
        <f>I73+J73+K73</f>
        <v>144</v>
      </c>
      <c r="I73" s="264">
        <v>144</v>
      </c>
      <c r="J73" s="264"/>
      <c r="K73" s="264"/>
      <c r="L73" s="267"/>
      <c r="M73" s="267"/>
      <c r="N73" s="267"/>
      <c r="O73" s="267"/>
      <c r="P73" s="267"/>
      <c r="Q73" s="267"/>
      <c r="R73" s="578"/>
      <c r="S73" s="277"/>
    </row>
    <row r="74" spans="1:20" ht="27.75" hidden="1">
      <c r="A74" s="648"/>
      <c r="B74" s="689"/>
      <c r="C74" s="442"/>
      <c r="D74" s="266" t="s">
        <v>29</v>
      </c>
      <c r="E74" s="144" t="s">
        <v>76</v>
      </c>
      <c r="F74" s="396"/>
      <c r="G74" s="396"/>
      <c r="H74" s="264">
        <f>I74+J74+K74</f>
        <v>5723.1</v>
      </c>
      <c r="I74" s="264">
        <v>1073.8</v>
      </c>
      <c r="J74" s="264">
        <v>2244</v>
      </c>
      <c r="K74" s="264">
        <v>2405.3000000000002</v>
      </c>
      <c r="L74" s="268"/>
      <c r="M74" s="268"/>
      <c r="N74" s="268"/>
      <c r="O74" s="268"/>
      <c r="P74" s="268"/>
      <c r="Q74" s="268"/>
      <c r="R74" s="566"/>
      <c r="T74" s="280"/>
    </row>
    <row r="75" spans="1:20" ht="55.5" hidden="1">
      <c r="A75" s="281"/>
      <c r="B75" s="253"/>
      <c r="C75" s="245"/>
      <c r="D75" s="266" t="s">
        <v>33</v>
      </c>
      <c r="E75" s="144" t="s">
        <v>82</v>
      </c>
      <c r="F75" s="396"/>
      <c r="G75" s="396"/>
      <c r="H75" s="264">
        <f>I75+J75+K75</f>
        <v>206.7</v>
      </c>
      <c r="I75" s="264"/>
      <c r="J75" s="264">
        <v>100</v>
      </c>
      <c r="K75" s="264">
        <v>106.7</v>
      </c>
      <c r="L75" s="264"/>
      <c r="M75" s="264"/>
      <c r="N75" s="264"/>
      <c r="O75" s="264"/>
      <c r="P75" s="264"/>
      <c r="Q75" s="264"/>
      <c r="R75" s="282"/>
      <c r="T75" s="280"/>
    </row>
    <row r="76" spans="1:20" ht="83.25" hidden="1">
      <c r="A76" s="281"/>
      <c r="B76" s="253"/>
      <c r="C76" s="245" t="s">
        <v>419</v>
      </c>
      <c r="D76" s="243" t="s">
        <v>29</v>
      </c>
      <c r="E76" s="144" t="s">
        <v>82</v>
      </c>
      <c r="F76" s="396"/>
      <c r="G76" s="396"/>
      <c r="H76" s="264">
        <f>I76+J76+K76</f>
        <v>1000</v>
      </c>
      <c r="I76" s="264">
        <v>0</v>
      </c>
      <c r="J76" s="264">
        <v>1000</v>
      </c>
      <c r="K76" s="264">
        <v>0</v>
      </c>
      <c r="L76" s="264"/>
      <c r="M76" s="264"/>
      <c r="N76" s="264"/>
      <c r="O76" s="264"/>
      <c r="P76" s="264"/>
      <c r="Q76" s="264"/>
      <c r="R76" s="241" t="s">
        <v>420</v>
      </c>
      <c r="T76" s="280"/>
    </row>
    <row r="77" spans="1:20" ht="27" customHeight="1">
      <c r="A77" s="281"/>
      <c r="B77" s="253"/>
      <c r="C77" s="565" t="s">
        <v>418</v>
      </c>
      <c r="D77" s="679" t="s">
        <v>422</v>
      </c>
      <c r="E77" s="681"/>
      <c r="F77" s="396"/>
      <c r="G77" s="396"/>
      <c r="H77" s="264">
        <f>H78+H79+H80+H81+H82+H83+H84</f>
        <v>500</v>
      </c>
      <c r="I77" s="264">
        <f>I78+I79+I80+I81+I82+I83+I84</f>
        <v>0</v>
      </c>
      <c r="J77" s="264">
        <f>J78+J79+J80+J81+J82+J83+J84</f>
        <v>500</v>
      </c>
      <c r="K77" s="264">
        <f>K78+K79+K80+K81+K82+K83+K84</f>
        <v>0</v>
      </c>
      <c r="L77" s="265"/>
      <c r="M77" s="265"/>
      <c r="N77" s="265"/>
      <c r="O77" s="265"/>
      <c r="P77" s="265"/>
      <c r="Q77" s="265"/>
      <c r="R77" s="565" t="s">
        <v>421</v>
      </c>
      <c r="T77" s="280"/>
    </row>
    <row r="78" spans="1:20" ht="93" customHeight="1">
      <c r="A78" s="281"/>
      <c r="B78" s="253"/>
      <c r="C78" s="566"/>
      <c r="D78" s="243" t="s">
        <v>29</v>
      </c>
      <c r="E78" s="144" t="s">
        <v>82</v>
      </c>
      <c r="F78" s="396"/>
      <c r="G78" s="396"/>
      <c r="H78" s="264">
        <f>I78+J78+K78</f>
        <v>101.2</v>
      </c>
      <c r="I78" s="268">
        <v>0</v>
      </c>
      <c r="J78" s="268">
        <v>101.2</v>
      </c>
      <c r="K78" s="268">
        <v>0</v>
      </c>
      <c r="L78" s="264"/>
      <c r="M78" s="264"/>
      <c r="N78" s="264"/>
      <c r="O78" s="264">
        <v>0</v>
      </c>
      <c r="P78" s="264">
        <v>339.9</v>
      </c>
      <c r="Q78" s="264">
        <v>339.9</v>
      </c>
      <c r="R78" s="578"/>
      <c r="T78" s="280"/>
    </row>
    <row r="79" spans="1:20" ht="27.75" hidden="1">
      <c r="A79" s="281"/>
      <c r="B79" s="253"/>
      <c r="C79" s="241"/>
      <c r="D79" s="243" t="s">
        <v>29</v>
      </c>
      <c r="E79" s="144" t="s">
        <v>76</v>
      </c>
      <c r="F79" s="396"/>
      <c r="G79" s="396"/>
      <c r="H79" s="264">
        <f t="shared" ref="H79:H84" si="3">I79+J79+K79</f>
        <v>40.700000000000003</v>
      </c>
      <c r="I79" s="268">
        <v>0</v>
      </c>
      <c r="J79" s="268">
        <v>40.700000000000003</v>
      </c>
      <c r="K79" s="268">
        <v>0</v>
      </c>
      <c r="L79" s="264"/>
      <c r="M79" s="264"/>
      <c r="N79" s="264"/>
      <c r="O79" s="264"/>
      <c r="P79" s="264"/>
      <c r="Q79" s="264"/>
      <c r="R79" s="578"/>
      <c r="T79" s="280"/>
    </row>
    <row r="80" spans="1:20" ht="27.75" hidden="1">
      <c r="A80" s="281"/>
      <c r="B80" s="253"/>
      <c r="C80" s="241"/>
      <c r="D80" s="243" t="s">
        <v>29</v>
      </c>
      <c r="E80" s="240" t="s">
        <v>77</v>
      </c>
      <c r="F80" s="396"/>
      <c r="G80" s="396"/>
      <c r="H80" s="264">
        <f t="shared" si="3"/>
        <v>99</v>
      </c>
      <c r="I80" s="268">
        <v>0</v>
      </c>
      <c r="J80" s="268">
        <v>99</v>
      </c>
      <c r="K80" s="268">
        <v>0</v>
      </c>
      <c r="L80" s="264"/>
      <c r="M80" s="264"/>
      <c r="N80" s="264"/>
      <c r="O80" s="264"/>
      <c r="P80" s="264"/>
      <c r="Q80" s="264"/>
      <c r="R80" s="578"/>
      <c r="T80" s="280"/>
    </row>
    <row r="81" spans="1:20" ht="55.5" hidden="1">
      <c r="A81" s="281"/>
      <c r="B81" s="253"/>
      <c r="C81" s="241"/>
      <c r="D81" s="243" t="s">
        <v>29</v>
      </c>
      <c r="E81" s="240" t="s">
        <v>75</v>
      </c>
      <c r="F81" s="396"/>
      <c r="G81" s="396"/>
      <c r="H81" s="264">
        <f t="shared" si="3"/>
        <v>99</v>
      </c>
      <c r="I81" s="268">
        <v>0</v>
      </c>
      <c r="J81" s="268">
        <v>99</v>
      </c>
      <c r="K81" s="268">
        <v>0</v>
      </c>
      <c r="L81" s="264"/>
      <c r="M81" s="264"/>
      <c r="N81" s="264"/>
      <c r="O81" s="264"/>
      <c r="P81" s="264"/>
      <c r="Q81" s="264"/>
      <c r="R81" s="578"/>
      <c r="T81" s="280"/>
    </row>
    <row r="82" spans="1:20" ht="210.75" hidden="1" customHeight="1">
      <c r="A82" s="281"/>
      <c r="B82" s="253"/>
      <c r="C82" s="241"/>
      <c r="D82" s="247" t="s">
        <v>30</v>
      </c>
      <c r="E82" s="236" t="s">
        <v>79</v>
      </c>
      <c r="F82" s="396"/>
      <c r="G82" s="396"/>
      <c r="H82" s="264">
        <f t="shared" si="3"/>
        <v>58.8</v>
      </c>
      <c r="I82" s="268">
        <v>0</v>
      </c>
      <c r="J82" s="268">
        <v>58.8</v>
      </c>
      <c r="K82" s="268">
        <v>0</v>
      </c>
      <c r="L82" s="264"/>
      <c r="M82" s="264"/>
      <c r="N82" s="264"/>
      <c r="O82" s="264"/>
      <c r="P82" s="264"/>
      <c r="Q82" s="264"/>
      <c r="R82" s="578"/>
      <c r="T82" s="280"/>
    </row>
    <row r="83" spans="1:20" ht="55.5" hidden="1">
      <c r="A83" s="281"/>
      <c r="B83" s="253"/>
      <c r="C83" s="241"/>
      <c r="D83" s="266" t="s">
        <v>33</v>
      </c>
      <c r="E83" s="240" t="s">
        <v>80</v>
      </c>
      <c r="F83" s="396"/>
      <c r="G83" s="396"/>
      <c r="H83" s="264">
        <f t="shared" si="3"/>
        <v>48</v>
      </c>
      <c r="I83" s="268">
        <v>0</v>
      </c>
      <c r="J83" s="268">
        <v>48</v>
      </c>
      <c r="K83" s="268">
        <v>0</v>
      </c>
      <c r="L83" s="264"/>
      <c r="M83" s="264"/>
      <c r="N83" s="264"/>
      <c r="O83" s="264"/>
      <c r="P83" s="264"/>
      <c r="Q83" s="264"/>
      <c r="R83" s="578"/>
      <c r="T83" s="280"/>
    </row>
    <row r="84" spans="1:20" ht="55.5" hidden="1">
      <c r="A84" s="281"/>
      <c r="B84" s="253"/>
      <c r="C84" s="241"/>
      <c r="D84" s="266" t="s">
        <v>33</v>
      </c>
      <c r="E84" s="137" t="s">
        <v>81</v>
      </c>
      <c r="F84" s="397"/>
      <c r="G84" s="397"/>
      <c r="H84" s="264">
        <f t="shared" si="3"/>
        <v>53.3</v>
      </c>
      <c r="I84" s="268">
        <v>0</v>
      </c>
      <c r="J84" s="268">
        <v>53.3</v>
      </c>
      <c r="K84" s="268">
        <v>0</v>
      </c>
      <c r="L84" s="264"/>
      <c r="M84" s="264"/>
      <c r="N84" s="264"/>
      <c r="O84" s="264"/>
      <c r="P84" s="264"/>
      <c r="Q84" s="264"/>
      <c r="R84" s="566"/>
      <c r="T84" s="280"/>
    </row>
    <row r="85" spans="1:20" ht="210.75" hidden="1" customHeight="1">
      <c r="A85" s="661"/>
      <c r="B85" s="662"/>
      <c r="C85" s="662"/>
      <c r="D85" s="663"/>
      <c r="E85" s="580" t="s">
        <v>273</v>
      </c>
      <c r="F85" s="653"/>
      <c r="G85" s="264"/>
      <c r="H85" s="268">
        <f>H29+H42+H47+H53+H54+H55+H56+H59+H63+H68+H70+H71+H72+H69+H76+H77</f>
        <v>175726.32499999998</v>
      </c>
      <c r="I85" s="268">
        <f>I29+I42+I47+I53+I54+I55+I56+I59+I63+I68+I70+I71+I72+I69+I76+I77</f>
        <v>115004.61300000001</v>
      </c>
      <c r="J85" s="268">
        <f>J29+J42+J47+J53+J54+J55+J56+J59+J63+J68+J70+J71+J72+J69+J76+J77</f>
        <v>31066.28</v>
      </c>
      <c r="K85" s="268">
        <f>K29+K42+K47+K53+K54+K55+K56+K59+K63+K68+K70+K71+K72+K69+K76+K77</f>
        <v>29655.432000000001</v>
      </c>
      <c r="L85" s="267"/>
      <c r="M85" s="267"/>
      <c r="N85" s="267"/>
      <c r="O85" s="267"/>
      <c r="P85" s="267"/>
      <c r="Q85" s="267"/>
      <c r="R85" s="565"/>
      <c r="T85" s="280"/>
    </row>
    <row r="86" spans="1:20" ht="83.25" hidden="1">
      <c r="A86" s="664"/>
      <c r="B86" s="665"/>
      <c r="C86" s="665"/>
      <c r="D86" s="666"/>
      <c r="E86" s="581"/>
      <c r="F86" s="655"/>
      <c r="G86" s="240" t="s">
        <v>427</v>
      </c>
      <c r="H86" s="264">
        <f>H30+H42+H48+H50+H51+H52+H53+H54+H55+H58+H59+H63+H68+H70+H71+H72+H69</f>
        <v>125978.92499999999</v>
      </c>
      <c r="I86" s="264">
        <f>I30+I42+I48+I50+I51+I52+I53+I54+I55+I58+I59+I63+I68+I70+I71+I72+I69</f>
        <v>66757.212999999989</v>
      </c>
      <c r="J86" s="264">
        <f>J30+J42+J48+J50+J51+J52+J53+J54+J55+J58+J59+J63+J68+J70+J71+J72+J69+J76+J77</f>
        <v>31066.28</v>
      </c>
      <c r="K86" s="264">
        <f>K30+K42+K48+K50+K51+K52+K53+K54+K55+K58+K59+K63+K68+K70+K71+K72+K69</f>
        <v>29655.431999999997</v>
      </c>
      <c r="L86" s="267"/>
      <c r="M86" s="267"/>
      <c r="N86" s="267"/>
      <c r="O86" s="267"/>
      <c r="P86" s="267"/>
      <c r="Q86" s="267"/>
      <c r="R86" s="578"/>
      <c r="T86" s="280"/>
    </row>
    <row r="87" spans="1:20" ht="83.25" hidden="1">
      <c r="A87" s="664"/>
      <c r="B87" s="665"/>
      <c r="C87" s="665"/>
      <c r="D87" s="666"/>
      <c r="E87" s="581"/>
      <c r="F87" s="655"/>
      <c r="G87" s="283" t="s">
        <v>96</v>
      </c>
      <c r="H87" s="264">
        <f>H37</f>
        <v>45359.9</v>
      </c>
      <c r="I87" s="264">
        <f>I37</f>
        <v>45359.9</v>
      </c>
      <c r="J87" s="264">
        <f>J37</f>
        <v>0</v>
      </c>
      <c r="K87" s="264">
        <f>K37</f>
        <v>0</v>
      </c>
      <c r="L87" s="267"/>
      <c r="M87" s="267"/>
      <c r="N87" s="267"/>
      <c r="O87" s="267"/>
      <c r="P87" s="267"/>
      <c r="Q87" s="267"/>
      <c r="R87" s="578"/>
      <c r="T87" s="280"/>
    </row>
    <row r="88" spans="1:20" ht="210.75" hidden="1" customHeight="1">
      <c r="A88" s="664"/>
      <c r="B88" s="665"/>
      <c r="C88" s="665"/>
      <c r="D88" s="666"/>
      <c r="E88" s="581"/>
      <c r="F88" s="655"/>
      <c r="G88" s="240" t="s">
        <v>99</v>
      </c>
      <c r="H88" s="264">
        <f>H35+H49+H57</f>
        <v>2827.5</v>
      </c>
      <c r="I88" s="264">
        <f>I35+I49+I57</f>
        <v>2827.5</v>
      </c>
      <c r="J88" s="264">
        <f>J35+J49+J57</f>
        <v>0</v>
      </c>
      <c r="K88" s="264">
        <f>K35+K49+K57</f>
        <v>0</v>
      </c>
      <c r="L88" s="267"/>
      <c r="M88" s="267"/>
      <c r="N88" s="267"/>
      <c r="O88" s="267"/>
      <c r="P88" s="267"/>
      <c r="Q88" s="267"/>
      <c r="R88" s="578"/>
      <c r="T88" s="280"/>
    </row>
    <row r="89" spans="1:20" ht="210.75" hidden="1" customHeight="1">
      <c r="A89" s="664"/>
      <c r="B89" s="665"/>
      <c r="C89" s="665"/>
      <c r="D89" s="666"/>
      <c r="E89" s="582"/>
      <c r="F89" s="657"/>
      <c r="G89" s="137" t="s">
        <v>328</v>
      </c>
      <c r="H89" s="264">
        <f>H36</f>
        <v>60</v>
      </c>
      <c r="I89" s="264">
        <f>I36</f>
        <v>60</v>
      </c>
      <c r="J89" s="264">
        <f>J36</f>
        <v>0</v>
      </c>
      <c r="K89" s="264">
        <f>K36</f>
        <v>0</v>
      </c>
      <c r="L89" s="267"/>
      <c r="M89" s="267"/>
      <c r="N89" s="267"/>
      <c r="O89" s="267"/>
      <c r="P89" s="267"/>
      <c r="Q89" s="267"/>
      <c r="R89" s="578"/>
      <c r="T89" s="280"/>
    </row>
    <row r="90" spans="1:20" ht="27.75" hidden="1">
      <c r="A90" s="664"/>
      <c r="B90" s="665"/>
      <c r="C90" s="665"/>
      <c r="D90" s="666"/>
      <c r="E90" s="658" t="s">
        <v>274</v>
      </c>
      <c r="F90" s="660"/>
      <c r="G90" s="240"/>
      <c r="H90" s="264"/>
      <c r="I90" s="268"/>
      <c r="J90" s="264"/>
      <c r="K90" s="264"/>
      <c r="L90" s="267"/>
      <c r="M90" s="267"/>
      <c r="N90" s="267"/>
      <c r="O90" s="267"/>
      <c r="P90" s="267"/>
      <c r="Q90" s="267"/>
      <c r="R90" s="578"/>
      <c r="T90" s="280"/>
    </row>
    <row r="91" spans="1:20" ht="210.75" hidden="1" customHeight="1">
      <c r="A91" s="664"/>
      <c r="B91" s="665"/>
      <c r="C91" s="665"/>
      <c r="D91" s="666"/>
      <c r="E91" s="580" t="s">
        <v>82</v>
      </c>
      <c r="F91" s="653"/>
      <c r="G91" s="240" t="s">
        <v>98</v>
      </c>
      <c r="H91" s="264">
        <f>SUM(H92:H95)</f>
        <v>39387.53</v>
      </c>
      <c r="I91" s="264">
        <f>SUM(I92:I95)</f>
        <v>28290.43</v>
      </c>
      <c r="J91" s="264">
        <f>SUM(J92:J95)</f>
        <v>6071.2</v>
      </c>
      <c r="K91" s="264">
        <f>SUM(K92:K95)</f>
        <v>5025.8999999999996</v>
      </c>
      <c r="L91" s="267"/>
      <c r="M91" s="267"/>
      <c r="N91" s="267"/>
      <c r="O91" s="267"/>
      <c r="P91" s="267"/>
      <c r="Q91" s="267"/>
      <c r="R91" s="578"/>
      <c r="T91" s="280"/>
    </row>
    <row r="92" spans="1:20" ht="83.25" hidden="1">
      <c r="A92" s="664"/>
      <c r="B92" s="665"/>
      <c r="C92" s="665"/>
      <c r="D92" s="666"/>
      <c r="E92" s="581"/>
      <c r="F92" s="655"/>
      <c r="G92" s="240" t="s">
        <v>427</v>
      </c>
      <c r="H92" s="264">
        <f>H31+H43+H48+H53+H54+H55+H60+H64+H73+H76+H78+H75</f>
        <v>26694.73</v>
      </c>
      <c r="I92" s="264">
        <f>I31+I43+I48+I53+I54+I55+I60+I64+I73+I76+I78</f>
        <v>15597.63</v>
      </c>
      <c r="J92" s="264">
        <f>J31+J43+J48+J53+J54+J55+J60+J64+J73+J76+J78+J75</f>
        <v>6071.2</v>
      </c>
      <c r="K92" s="264">
        <f>K31+K43+K48+K53+K54+K55+K60+K64+K73+K76+K78+K75</f>
        <v>5025.8999999999996</v>
      </c>
      <c r="L92" s="267"/>
      <c r="M92" s="267"/>
      <c r="N92" s="267"/>
      <c r="O92" s="267"/>
      <c r="P92" s="267"/>
      <c r="Q92" s="267"/>
      <c r="R92" s="578"/>
      <c r="T92" s="280"/>
    </row>
    <row r="93" spans="1:20" ht="83.25" hidden="1">
      <c r="A93" s="664"/>
      <c r="B93" s="665"/>
      <c r="C93" s="665"/>
      <c r="D93" s="666"/>
      <c r="E93" s="581"/>
      <c r="F93" s="655"/>
      <c r="G93" s="283" t="s">
        <v>96</v>
      </c>
      <c r="H93" s="264">
        <f>H38</f>
        <v>12485.6</v>
      </c>
      <c r="I93" s="264">
        <f>I38</f>
        <v>12485.6</v>
      </c>
      <c r="J93" s="264">
        <f>J38</f>
        <v>0</v>
      </c>
      <c r="K93" s="264">
        <f>K38</f>
        <v>0</v>
      </c>
      <c r="L93" s="267"/>
      <c r="M93" s="267"/>
      <c r="N93" s="267"/>
      <c r="O93" s="267"/>
      <c r="P93" s="267"/>
      <c r="Q93" s="267"/>
      <c r="R93" s="578"/>
      <c r="T93" s="280"/>
    </row>
    <row r="94" spans="1:20" ht="210.75" hidden="1" customHeight="1">
      <c r="A94" s="664"/>
      <c r="B94" s="665"/>
      <c r="C94" s="665"/>
      <c r="D94" s="666"/>
      <c r="E94" s="581"/>
      <c r="F94" s="655"/>
      <c r="G94" s="240" t="s">
        <v>99</v>
      </c>
      <c r="H94" s="264">
        <f>H35+H49</f>
        <v>147.19999999999999</v>
      </c>
      <c r="I94" s="264">
        <f>I35+I49</f>
        <v>147.19999999999999</v>
      </c>
      <c r="J94" s="264">
        <f>J35+J49</f>
        <v>0</v>
      </c>
      <c r="K94" s="264">
        <f>K35+K49</f>
        <v>0</v>
      </c>
      <c r="L94" s="267"/>
      <c r="M94" s="267"/>
      <c r="N94" s="267"/>
      <c r="O94" s="267"/>
      <c r="P94" s="267"/>
      <c r="Q94" s="267"/>
      <c r="R94" s="578"/>
      <c r="T94" s="280"/>
    </row>
    <row r="95" spans="1:20" ht="210.75" hidden="1" customHeight="1">
      <c r="A95" s="664"/>
      <c r="B95" s="665"/>
      <c r="C95" s="665"/>
      <c r="D95" s="666"/>
      <c r="E95" s="582"/>
      <c r="F95" s="657"/>
      <c r="G95" s="137" t="s">
        <v>328</v>
      </c>
      <c r="H95" s="264">
        <f>H36</f>
        <v>60</v>
      </c>
      <c r="I95" s="264">
        <f>I36</f>
        <v>60</v>
      </c>
      <c r="J95" s="264">
        <f>J36</f>
        <v>0</v>
      </c>
      <c r="K95" s="264">
        <f>K36</f>
        <v>0</v>
      </c>
      <c r="L95" s="267"/>
      <c r="M95" s="267"/>
      <c r="N95" s="267"/>
      <c r="O95" s="267"/>
      <c r="P95" s="267"/>
      <c r="Q95" s="267"/>
      <c r="R95" s="578"/>
      <c r="T95" s="280"/>
    </row>
    <row r="96" spans="1:20" ht="210.75" hidden="1" customHeight="1">
      <c r="A96" s="664"/>
      <c r="B96" s="665"/>
      <c r="C96" s="665"/>
      <c r="D96" s="666"/>
      <c r="E96" s="580" t="s">
        <v>76</v>
      </c>
      <c r="F96" s="653"/>
      <c r="G96" s="240" t="s">
        <v>98</v>
      </c>
      <c r="H96" s="264">
        <f>SUM(H97:H98)</f>
        <v>37542.879999999997</v>
      </c>
      <c r="I96" s="264">
        <f>SUM(I97:I98)</f>
        <v>19021.3</v>
      </c>
      <c r="J96" s="264">
        <f>SUM(J97:J98)</f>
        <v>8928.2799999999988</v>
      </c>
      <c r="K96" s="264">
        <f>SUM(K97:K98)</f>
        <v>9593.2999999999993</v>
      </c>
      <c r="L96" s="267"/>
      <c r="M96" s="267"/>
      <c r="N96" s="267"/>
      <c r="O96" s="267"/>
      <c r="P96" s="267"/>
      <c r="Q96" s="267"/>
      <c r="R96" s="578"/>
      <c r="T96" s="280"/>
    </row>
    <row r="97" spans="1:20" ht="83.25" hidden="1">
      <c r="A97" s="664"/>
      <c r="B97" s="665"/>
      <c r="C97" s="665"/>
      <c r="D97" s="666"/>
      <c r="E97" s="581"/>
      <c r="F97" s="655"/>
      <c r="G97" s="240" t="s">
        <v>427</v>
      </c>
      <c r="H97" s="264">
        <f>H32+H44+H50+H61+H65+H68+H74</f>
        <v>29382.78</v>
      </c>
      <c r="I97" s="264">
        <f>I32+I44+I50+I61+I65+I68+I74</f>
        <v>10861.199999999999</v>
      </c>
      <c r="J97" s="264">
        <f>J32+J44+J50+J61+J65+J68+J74</f>
        <v>8928.2799999999988</v>
      </c>
      <c r="K97" s="264">
        <f>K32+K44+K50+K61+K65+K68+K74</f>
        <v>9593.2999999999993</v>
      </c>
      <c r="L97" s="267"/>
      <c r="M97" s="267"/>
      <c r="N97" s="267"/>
      <c r="O97" s="267"/>
      <c r="P97" s="267"/>
      <c r="Q97" s="267"/>
      <c r="R97" s="578"/>
      <c r="T97" s="280"/>
    </row>
    <row r="98" spans="1:20" ht="83.25" hidden="1">
      <c r="A98" s="664"/>
      <c r="B98" s="665"/>
      <c r="C98" s="665"/>
      <c r="D98" s="666"/>
      <c r="E98" s="582"/>
      <c r="F98" s="657"/>
      <c r="G98" s="283" t="s">
        <v>96</v>
      </c>
      <c r="H98" s="264">
        <f>H39</f>
        <v>8160.1</v>
      </c>
      <c r="I98" s="264">
        <f>I39</f>
        <v>8160.1</v>
      </c>
      <c r="J98" s="264">
        <f>J39</f>
        <v>0</v>
      </c>
      <c r="K98" s="264">
        <f>K39</f>
        <v>0</v>
      </c>
      <c r="L98" s="267"/>
      <c r="M98" s="267"/>
      <c r="N98" s="267"/>
      <c r="O98" s="267"/>
      <c r="P98" s="267"/>
      <c r="Q98" s="267"/>
      <c r="R98" s="578"/>
      <c r="T98" s="280"/>
    </row>
    <row r="99" spans="1:20" ht="210.75" hidden="1" customHeight="1">
      <c r="A99" s="664"/>
      <c r="B99" s="665"/>
      <c r="C99" s="665"/>
      <c r="D99" s="666"/>
      <c r="E99" s="580" t="s">
        <v>77</v>
      </c>
      <c r="F99" s="653"/>
      <c r="G99" s="240" t="s">
        <v>98</v>
      </c>
      <c r="H99" s="264">
        <f>SUM(H100:H102)</f>
        <v>47663.11</v>
      </c>
      <c r="I99" s="264">
        <f>SUM(I100:I102)</f>
        <v>33332.700000000004</v>
      </c>
      <c r="J99" s="264">
        <f>SUM(J100:J102)</f>
        <v>6896.57</v>
      </c>
      <c r="K99" s="264">
        <f>SUM(K100:K102)</f>
        <v>7433.84</v>
      </c>
      <c r="L99" s="267"/>
      <c r="M99" s="267"/>
      <c r="N99" s="267"/>
      <c r="O99" s="267"/>
      <c r="P99" s="267"/>
      <c r="Q99" s="267"/>
      <c r="R99" s="578"/>
      <c r="T99" s="280"/>
    </row>
    <row r="100" spans="1:20" ht="83.25" hidden="1">
      <c r="A100" s="664"/>
      <c r="B100" s="665"/>
      <c r="C100" s="665"/>
      <c r="D100" s="666"/>
      <c r="E100" s="581"/>
      <c r="F100" s="655"/>
      <c r="G100" s="240" t="s">
        <v>427</v>
      </c>
      <c r="H100" s="264">
        <f>H33+H45+H51+H58+H62+H66</f>
        <v>32116.61</v>
      </c>
      <c r="I100" s="264">
        <f>I33+I45+I51+I58+I62+I66</f>
        <v>17786.2</v>
      </c>
      <c r="J100" s="264">
        <f>J33+J45+J51+J58+J62+J66</f>
        <v>6896.57</v>
      </c>
      <c r="K100" s="264">
        <f>K33+K45+K51+K58+K62+K66</f>
        <v>7433.84</v>
      </c>
      <c r="L100" s="267"/>
      <c r="M100" s="267"/>
      <c r="N100" s="267"/>
      <c r="O100" s="267"/>
      <c r="P100" s="267"/>
      <c r="Q100" s="267"/>
      <c r="R100" s="578"/>
      <c r="T100" s="280"/>
    </row>
    <row r="101" spans="1:20" ht="83.25" hidden="1">
      <c r="A101" s="664"/>
      <c r="B101" s="665"/>
      <c r="C101" s="665"/>
      <c r="D101" s="666"/>
      <c r="E101" s="581"/>
      <c r="F101" s="655"/>
      <c r="G101" s="283" t="s">
        <v>96</v>
      </c>
      <c r="H101" s="264">
        <f>H40</f>
        <v>12866.2</v>
      </c>
      <c r="I101" s="264">
        <f>I40</f>
        <v>12866.2</v>
      </c>
      <c r="J101" s="264">
        <f>J40</f>
        <v>0</v>
      </c>
      <c r="K101" s="264">
        <f>K40</f>
        <v>0</v>
      </c>
      <c r="L101" s="267"/>
      <c r="M101" s="267"/>
      <c r="N101" s="267"/>
      <c r="O101" s="267"/>
      <c r="P101" s="267"/>
      <c r="Q101" s="267"/>
      <c r="R101" s="578"/>
      <c r="T101" s="280"/>
    </row>
    <row r="102" spans="1:20" ht="210.75" hidden="1" customHeight="1">
      <c r="A102" s="664"/>
      <c r="B102" s="665"/>
      <c r="C102" s="665"/>
      <c r="D102" s="666"/>
      <c r="E102" s="582"/>
      <c r="F102" s="657"/>
      <c r="G102" s="240" t="s">
        <v>99</v>
      </c>
      <c r="H102" s="264">
        <f>H57</f>
        <v>2680.3</v>
      </c>
      <c r="I102" s="264">
        <f>I57</f>
        <v>2680.3</v>
      </c>
      <c r="J102" s="264">
        <f>J57</f>
        <v>0</v>
      </c>
      <c r="K102" s="264">
        <f>K57</f>
        <v>0</v>
      </c>
      <c r="L102" s="267"/>
      <c r="M102" s="267"/>
      <c r="N102" s="267"/>
      <c r="O102" s="267"/>
      <c r="P102" s="267"/>
      <c r="Q102" s="267"/>
      <c r="R102" s="578"/>
      <c r="T102" s="280"/>
    </row>
    <row r="103" spans="1:20" ht="210.75" hidden="1" customHeight="1">
      <c r="A103" s="664"/>
      <c r="B103" s="665"/>
      <c r="C103" s="665"/>
      <c r="D103" s="666"/>
      <c r="E103" s="580" t="s">
        <v>75</v>
      </c>
      <c r="F103" s="653"/>
      <c r="G103" s="240" t="s">
        <v>98</v>
      </c>
      <c r="H103" s="264">
        <f>SUM(H104:H105)</f>
        <v>47734.004999999997</v>
      </c>
      <c r="I103" s="264">
        <f>SUM(I104:I105)</f>
        <v>31360.183000000001</v>
      </c>
      <c r="J103" s="264">
        <f>SUM(J104:J105)</f>
        <v>8771.43</v>
      </c>
      <c r="K103" s="264">
        <f>SUM(K104:K105)</f>
        <v>7602.3920000000007</v>
      </c>
      <c r="L103" s="267"/>
      <c r="M103" s="267"/>
      <c r="N103" s="267"/>
      <c r="O103" s="267"/>
      <c r="P103" s="267"/>
      <c r="Q103" s="267"/>
      <c r="R103" s="578"/>
      <c r="T103" s="280"/>
    </row>
    <row r="104" spans="1:20" ht="83.25" hidden="1">
      <c r="A104" s="664"/>
      <c r="B104" s="665"/>
      <c r="C104" s="665"/>
      <c r="D104" s="666"/>
      <c r="E104" s="581"/>
      <c r="F104" s="655"/>
      <c r="G104" s="240" t="s">
        <v>427</v>
      </c>
      <c r="H104" s="264">
        <f>H34+H46+H52+H67+H70+H71</f>
        <v>35886.004999999997</v>
      </c>
      <c r="I104" s="264">
        <f>I34+I46+I52+I67+I70+I71</f>
        <v>19512.183000000001</v>
      </c>
      <c r="J104" s="264">
        <f>J34+J46+J52+J67+J70+J71</f>
        <v>8771.43</v>
      </c>
      <c r="K104" s="264">
        <f>K34+K46+K52+K67+K70+K71</f>
        <v>7602.3920000000007</v>
      </c>
      <c r="L104" s="267"/>
      <c r="M104" s="267"/>
      <c r="N104" s="267"/>
      <c r="O104" s="267"/>
      <c r="P104" s="267"/>
      <c r="Q104" s="267"/>
      <c r="R104" s="578"/>
      <c r="T104" s="280"/>
    </row>
    <row r="105" spans="1:20" ht="83.25" hidden="1">
      <c r="A105" s="664"/>
      <c r="B105" s="665"/>
      <c r="C105" s="665"/>
      <c r="D105" s="666"/>
      <c r="E105" s="582"/>
      <c r="F105" s="657"/>
      <c r="G105" s="283" t="s">
        <v>96</v>
      </c>
      <c r="H105" s="264">
        <f>H41</f>
        <v>11848</v>
      </c>
      <c r="I105" s="264">
        <f>I41</f>
        <v>11848</v>
      </c>
      <c r="J105" s="264">
        <f>J41</f>
        <v>0</v>
      </c>
      <c r="K105" s="264">
        <f>K41</f>
        <v>0</v>
      </c>
      <c r="L105" s="268"/>
      <c r="M105" s="268"/>
      <c r="N105" s="268"/>
      <c r="O105" s="268"/>
      <c r="P105" s="268"/>
      <c r="Q105" s="268"/>
      <c r="R105" s="566"/>
      <c r="T105" s="280"/>
    </row>
    <row r="106" spans="1:20" ht="83.25" hidden="1">
      <c r="A106" s="667"/>
      <c r="B106" s="668"/>
      <c r="C106" s="668"/>
      <c r="D106" s="669"/>
      <c r="E106" s="658" t="s">
        <v>404</v>
      </c>
      <c r="F106" s="660"/>
      <c r="G106" s="240" t="s">
        <v>427</v>
      </c>
      <c r="H106" s="264">
        <f>H69</f>
        <v>3000</v>
      </c>
      <c r="I106" s="264">
        <f>I69</f>
        <v>3000</v>
      </c>
      <c r="J106" s="264">
        <f>J69</f>
        <v>0</v>
      </c>
      <c r="K106" s="264">
        <f>K69</f>
        <v>0</v>
      </c>
      <c r="L106" s="268"/>
      <c r="M106" s="268"/>
      <c r="N106" s="268"/>
      <c r="O106" s="268"/>
      <c r="P106" s="268"/>
      <c r="Q106" s="268"/>
      <c r="R106" s="246"/>
      <c r="T106" s="280"/>
    </row>
    <row r="107" spans="1:20" s="259" customFormat="1" ht="210.75" hidden="1" customHeight="1">
      <c r="A107" s="676" t="s">
        <v>225</v>
      </c>
      <c r="B107" s="395" t="s">
        <v>401</v>
      </c>
      <c r="C107" s="394" t="s">
        <v>227</v>
      </c>
      <c r="D107" s="658" t="s">
        <v>348</v>
      </c>
      <c r="E107" s="659"/>
      <c r="F107" s="659"/>
      <c r="G107" s="660"/>
      <c r="H107" s="264">
        <f>H108+H109</f>
        <v>8977.9000000000015</v>
      </c>
      <c r="I107" s="264">
        <f>I108+I109</f>
        <v>8977.9000000000015</v>
      </c>
      <c r="J107" s="264">
        <f>J108+J109</f>
        <v>0</v>
      </c>
      <c r="K107" s="264">
        <f>K108+K109</f>
        <v>0</v>
      </c>
      <c r="L107" s="265"/>
      <c r="M107" s="265"/>
      <c r="N107" s="265"/>
      <c r="O107" s="265"/>
      <c r="P107" s="265"/>
      <c r="Q107" s="265"/>
      <c r="R107" s="395" t="s">
        <v>150</v>
      </c>
      <c r="S107" s="263"/>
    </row>
    <row r="108" spans="1:20" s="259" customFormat="1" ht="55.5" hidden="1">
      <c r="A108" s="677"/>
      <c r="B108" s="396"/>
      <c r="C108" s="394"/>
      <c r="D108" s="600" t="s">
        <v>30</v>
      </c>
      <c r="E108" s="395" t="s">
        <v>79</v>
      </c>
      <c r="F108" s="442" t="s">
        <v>210</v>
      </c>
      <c r="G108" s="240" t="s">
        <v>428</v>
      </c>
      <c r="H108" s="264">
        <f>I108+J108+K108</f>
        <v>2630.3</v>
      </c>
      <c r="I108" s="264">
        <f>4309.8-9.5-1000-670</f>
        <v>2630.3</v>
      </c>
      <c r="J108" s="264">
        <v>0</v>
      </c>
      <c r="K108" s="264">
        <v>0</v>
      </c>
      <c r="L108" s="267"/>
      <c r="M108" s="267"/>
      <c r="N108" s="267"/>
      <c r="O108" s="267"/>
      <c r="P108" s="267"/>
      <c r="Q108" s="267"/>
      <c r="R108" s="396"/>
      <c r="S108" s="263"/>
    </row>
    <row r="109" spans="1:20" s="259" customFormat="1" ht="83.25" hidden="1">
      <c r="A109" s="677"/>
      <c r="B109" s="396"/>
      <c r="C109" s="394"/>
      <c r="D109" s="602"/>
      <c r="E109" s="397"/>
      <c r="F109" s="442"/>
      <c r="G109" s="240" t="s">
        <v>96</v>
      </c>
      <c r="H109" s="264">
        <f>I109+J109+K109</f>
        <v>6347.6</v>
      </c>
      <c r="I109" s="264">
        <v>6347.6</v>
      </c>
      <c r="J109" s="264">
        <v>0</v>
      </c>
      <c r="K109" s="264">
        <v>0</v>
      </c>
      <c r="L109" s="267"/>
      <c r="M109" s="267"/>
      <c r="N109" s="267"/>
      <c r="O109" s="267"/>
      <c r="P109" s="267"/>
      <c r="Q109" s="267"/>
      <c r="R109" s="396"/>
      <c r="S109" s="263"/>
    </row>
    <row r="110" spans="1:20" s="259" customFormat="1" ht="83.25" hidden="1">
      <c r="A110" s="677"/>
      <c r="B110" s="396"/>
      <c r="C110" s="240" t="s">
        <v>263</v>
      </c>
      <c r="D110" s="247" t="s">
        <v>30</v>
      </c>
      <c r="E110" s="236" t="s">
        <v>79</v>
      </c>
      <c r="F110" s="442"/>
      <c r="G110" s="240" t="s">
        <v>425</v>
      </c>
      <c r="H110" s="264">
        <f>I110+J110+K110</f>
        <v>8369.6</v>
      </c>
      <c r="I110" s="264">
        <f>3145.8-450</f>
        <v>2695.8</v>
      </c>
      <c r="J110" s="264">
        <v>2727.8</v>
      </c>
      <c r="K110" s="264">
        <v>2946</v>
      </c>
      <c r="L110" s="267"/>
      <c r="M110" s="267"/>
      <c r="N110" s="267"/>
      <c r="O110" s="267"/>
      <c r="P110" s="267"/>
      <c r="Q110" s="267"/>
      <c r="R110" s="396"/>
      <c r="S110" s="263"/>
    </row>
    <row r="111" spans="1:20" s="259" customFormat="1" ht="83.25" hidden="1">
      <c r="A111" s="677"/>
      <c r="B111" s="396"/>
      <c r="C111" s="240" t="s">
        <v>264</v>
      </c>
      <c r="D111" s="247" t="s">
        <v>30</v>
      </c>
      <c r="E111" s="236" t="s">
        <v>79</v>
      </c>
      <c r="F111" s="442"/>
      <c r="G111" s="240" t="s">
        <v>425</v>
      </c>
      <c r="H111" s="264">
        <f>I111+J111+K111</f>
        <v>1062.92</v>
      </c>
      <c r="I111" s="279">
        <v>525.5</v>
      </c>
      <c r="J111" s="264">
        <v>260</v>
      </c>
      <c r="K111" s="284">
        <v>277.42</v>
      </c>
      <c r="L111" s="285"/>
      <c r="M111" s="285"/>
      <c r="N111" s="285"/>
      <c r="O111" s="285"/>
      <c r="P111" s="285"/>
      <c r="Q111" s="285"/>
      <c r="R111" s="396"/>
      <c r="S111" s="263"/>
    </row>
    <row r="112" spans="1:20" s="259" customFormat="1" ht="138.75" hidden="1">
      <c r="A112" s="677"/>
      <c r="B112" s="397"/>
      <c r="C112" s="240" t="s">
        <v>265</v>
      </c>
      <c r="D112" s="247" t="s">
        <v>30</v>
      </c>
      <c r="E112" s="236" t="s">
        <v>79</v>
      </c>
      <c r="F112" s="442"/>
      <c r="G112" s="240" t="s">
        <v>425</v>
      </c>
      <c r="H112" s="264">
        <f>I112+J112+K112</f>
        <v>973.3</v>
      </c>
      <c r="I112" s="264">
        <v>411.8</v>
      </c>
      <c r="J112" s="264">
        <v>271</v>
      </c>
      <c r="K112" s="264">
        <v>290.5</v>
      </c>
      <c r="L112" s="268"/>
      <c r="M112" s="268"/>
      <c r="N112" s="268"/>
      <c r="O112" s="268"/>
      <c r="P112" s="268"/>
      <c r="Q112" s="268"/>
      <c r="R112" s="397"/>
      <c r="S112" s="263"/>
    </row>
    <row r="113" spans="1:19" s="259" customFormat="1" ht="27.75" hidden="1">
      <c r="A113" s="648"/>
      <c r="B113" s="648"/>
      <c r="C113" s="648"/>
      <c r="D113" s="648"/>
      <c r="E113" s="395" t="s">
        <v>271</v>
      </c>
      <c r="F113" s="394"/>
      <c r="G113" s="240"/>
      <c r="H113" s="264">
        <f>H107+H110+H111+H112</f>
        <v>19383.719999999998</v>
      </c>
      <c r="I113" s="264">
        <f>I107+I110+I111+I112</f>
        <v>12611</v>
      </c>
      <c r="J113" s="264">
        <f>J107+J110+J111+J112</f>
        <v>3258.8</v>
      </c>
      <c r="K113" s="264">
        <f>K107+K110+K111+K112</f>
        <v>3513.92</v>
      </c>
      <c r="L113" s="265"/>
      <c r="M113" s="265"/>
      <c r="N113" s="265"/>
      <c r="O113" s="265"/>
      <c r="P113" s="265"/>
      <c r="Q113" s="265"/>
      <c r="R113" s="395"/>
      <c r="S113" s="263"/>
    </row>
    <row r="114" spans="1:19" s="259" customFormat="1" ht="83.25" hidden="1">
      <c r="A114" s="648"/>
      <c r="B114" s="648"/>
      <c r="C114" s="648"/>
      <c r="D114" s="648"/>
      <c r="E114" s="396"/>
      <c r="F114" s="394"/>
      <c r="G114" s="240" t="s">
        <v>425</v>
      </c>
      <c r="H114" s="264">
        <f>H108+H110+H111+H112</f>
        <v>13036.12</v>
      </c>
      <c r="I114" s="264">
        <f>I108+I110+I111+I112</f>
        <v>6263.4000000000005</v>
      </c>
      <c r="J114" s="264">
        <f>J108+J110+J111+J112</f>
        <v>3258.8</v>
      </c>
      <c r="K114" s="264">
        <f>K108+K110+K111+K112</f>
        <v>3513.92</v>
      </c>
      <c r="L114" s="267"/>
      <c r="M114" s="267"/>
      <c r="N114" s="267"/>
      <c r="O114" s="267"/>
      <c r="P114" s="267"/>
      <c r="Q114" s="267"/>
      <c r="R114" s="396"/>
      <c r="S114" s="263"/>
    </row>
    <row r="115" spans="1:19" s="259" customFormat="1" ht="83.25" hidden="1">
      <c r="A115" s="648"/>
      <c r="B115" s="648"/>
      <c r="C115" s="648"/>
      <c r="D115" s="648"/>
      <c r="E115" s="397"/>
      <c r="F115" s="394"/>
      <c r="G115" s="240" t="s">
        <v>96</v>
      </c>
      <c r="H115" s="264">
        <f>H109</f>
        <v>6347.6</v>
      </c>
      <c r="I115" s="264">
        <f>I109</f>
        <v>6347.6</v>
      </c>
      <c r="J115" s="264">
        <f>J109</f>
        <v>0</v>
      </c>
      <c r="K115" s="264">
        <f>K109</f>
        <v>0</v>
      </c>
      <c r="L115" s="268"/>
      <c r="M115" s="268"/>
      <c r="N115" s="268"/>
      <c r="O115" s="268"/>
      <c r="P115" s="268"/>
      <c r="Q115" s="268"/>
      <c r="R115" s="397"/>
      <c r="S115" s="263"/>
    </row>
    <row r="116" spans="1:19" s="259" customFormat="1" ht="210.75" hidden="1" customHeight="1">
      <c r="A116" s="648" t="s">
        <v>228</v>
      </c>
      <c r="B116" s="395" t="s">
        <v>270</v>
      </c>
      <c r="C116" s="395" t="s">
        <v>229</v>
      </c>
      <c r="D116" s="658" t="s">
        <v>349</v>
      </c>
      <c r="E116" s="659"/>
      <c r="F116" s="659"/>
      <c r="G116" s="660"/>
      <c r="H116" s="264">
        <f>H117+H118</f>
        <v>20902.575000000001</v>
      </c>
      <c r="I116" s="264">
        <f>I117+I118</f>
        <v>6210.2</v>
      </c>
      <c r="J116" s="264">
        <f>J117+J118</f>
        <v>7111.8</v>
      </c>
      <c r="K116" s="264">
        <f>K117+K118</f>
        <v>7580.5749999999998</v>
      </c>
      <c r="L116" s="265"/>
      <c r="M116" s="265"/>
      <c r="N116" s="265"/>
      <c r="O116" s="265"/>
      <c r="P116" s="265"/>
      <c r="Q116" s="265"/>
      <c r="R116" s="395" t="s">
        <v>151</v>
      </c>
      <c r="S116" s="263"/>
    </row>
    <row r="117" spans="1:19" s="259" customFormat="1" ht="83.25" hidden="1">
      <c r="A117" s="648"/>
      <c r="B117" s="396"/>
      <c r="C117" s="396"/>
      <c r="D117" s="600" t="s">
        <v>31</v>
      </c>
      <c r="E117" s="395" t="s">
        <v>78</v>
      </c>
      <c r="F117" s="442" t="s">
        <v>210</v>
      </c>
      <c r="G117" s="240" t="s">
        <v>425</v>
      </c>
      <c r="H117" s="264">
        <f>I117+J117+K117</f>
        <v>19770.375</v>
      </c>
      <c r="I117" s="264">
        <f>4969+109</f>
        <v>5078</v>
      </c>
      <c r="J117" s="264">
        <f>7149.3-37.5</f>
        <v>7111.8</v>
      </c>
      <c r="K117" s="264">
        <f>7621.2-40.625</f>
        <v>7580.5749999999998</v>
      </c>
      <c r="L117" s="267"/>
      <c r="M117" s="267"/>
      <c r="N117" s="267"/>
      <c r="O117" s="267"/>
      <c r="P117" s="267"/>
      <c r="Q117" s="267"/>
      <c r="R117" s="396"/>
      <c r="S117" s="263"/>
    </row>
    <row r="118" spans="1:19" s="259" customFormat="1" ht="83.25" hidden="1">
      <c r="A118" s="648"/>
      <c r="B118" s="396"/>
      <c r="C118" s="397"/>
      <c r="D118" s="602"/>
      <c r="E118" s="397"/>
      <c r="F118" s="442"/>
      <c r="G118" s="240" t="s">
        <v>96</v>
      </c>
      <c r="H118" s="264">
        <f>I118+J118+K118</f>
        <v>1132.2</v>
      </c>
      <c r="I118" s="264">
        <v>1132.2</v>
      </c>
      <c r="J118" s="264">
        <v>0</v>
      </c>
      <c r="K118" s="264">
        <v>0</v>
      </c>
      <c r="L118" s="267"/>
      <c r="M118" s="267"/>
      <c r="N118" s="267"/>
      <c r="O118" s="267"/>
      <c r="P118" s="267"/>
      <c r="Q118" s="267"/>
      <c r="R118" s="396"/>
      <c r="S118" s="263"/>
    </row>
    <row r="119" spans="1:19" s="259" customFormat="1" ht="83.25" hidden="1">
      <c r="A119" s="648"/>
      <c r="B119" s="397"/>
      <c r="C119" s="240" t="s">
        <v>230</v>
      </c>
      <c r="D119" s="247" t="s">
        <v>31</v>
      </c>
      <c r="E119" s="236" t="s">
        <v>78</v>
      </c>
      <c r="F119" s="442"/>
      <c r="G119" s="240" t="s">
        <v>425</v>
      </c>
      <c r="H119" s="264">
        <f>I119+J119+K119</f>
        <v>1469.6</v>
      </c>
      <c r="I119" s="264">
        <v>527.79999999999995</v>
      </c>
      <c r="J119" s="264">
        <v>452.8</v>
      </c>
      <c r="K119" s="264">
        <v>489</v>
      </c>
      <c r="L119" s="268"/>
      <c r="M119" s="268"/>
      <c r="N119" s="268"/>
      <c r="O119" s="268"/>
      <c r="P119" s="268"/>
      <c r="Q119" s="268"/>
      <c r="R119" s="397"/>
      <c r="S119" s="263"/>
    </row>
    <row r="120" spans="1:19" s="259" customFormat="1" ht="27.75" hidden="1">
      <c r="A120" s="648"/>
      <c r="B120" s="648"/>
      <c r="C120" s="648"/>
      <c r="D120" s="648"/>
      <c r="E120" s="395" t="s">
        <v>272</v>
      </c>
      <c r="F120" s="442"/>
      <c r="G120" s="240"/>
      <c r="H120" s="264">
        <f>H116+H119</f>
        <v>22372.174999999999</v>
      </c>
      <c r="I120" s="264">
        <f>I116+I119</f>
        <v>6738</v>
      </c>
      <c r="J120" s="264">
        <f>J116+J119</f>
        <v>7564.6</v>
      </c>
      <c r="K120" s="264">
        <f>K116+K119</f>
        <v>8069.5749999999998</v>
      </c>
      <c r="L120" s="265"/>
      <c r="M120" s="265"/>
      <c r="N120" s="265"/>
      <c r="O120" s="265"/>
      <c r="P120" s="265"/>
      <c r="Q120" s="265"/>
      <c r="R120" s="395"/>
      <c r="S120" s="263"/>
    </row>
    <row r="121" spans="1:19" s="259" customFormat="1" ht="83.25" hidden="1">
      <c r="A121" s="648"/>
      <c r="B121" s="648"/>
      <c r="C121" s="648"/>
      <c r="D121" s="648"/>
      <c r="E121" s="396"/>
      <c r="F121" s="442"/>
      <c r="G121" s="240" t="s">
        <v>425</v>
      </c>
      <c r="H121" s="264">
        <f>H117+H119</f>
        <v>21239.974999999999</v>
      </c>
      <c r="I121" s="264">
        <f>I117+I119</f>
        <v>5605.8</v>
      </c>
      <c r="J121" s="264">
        <f>J117+J119</f>
        <v>7564.6</v>
      </c>
      <c r="K121" s="264">
        <f>K117+K119</f>
        <v>8069.5749999999998</v>
      </c>
      <c r="L121" s="267"/>
      <c r="M121" s="267"/>
      <c r="N121" s="267"/>
      <c r="O121" s="267"/>
      <c r="P121" s="267"/>
      <c r="Q121" s="267"/>
      <c r="R121" s="396"/>
      <c r="S121" s="263"/>
    </row>
    <row r="122" spans="1:19" s="259" customFormat="1" ht="83.25" hidden="1">
      <c r="A122" s="648"/>
      <c r="B122" s="648"/>
      <c r="C122" s="648"/>
      <c r="D122" s="648"/>
      <c r="E122" s="397"/>
      <c r="F122" s="442"/>
      <c r="G122" s="240" t="s">
        <v>96</v>
      </c>
      <c r="H122" s="264">
        <f>H118</f>
        <v>1132.2</v>
      </c>
      <c r="I122" s="264">
        <f>I118</f>
        <v>1132.2</v>
      </c>
      <c r="J122" s="264">
        <f>J118</f>
        <v>0</v>
      </c>
      <c r="K122" s="264">
        <f>K118</f>
        <v>0</v>
      </c>
      <c r="L122" s="268"/>
      <c r="M122" s="268"/>
      <c r="N122" s="268"/>
      <c r="O122" s="268"/>
      <c r="P122" s="268"/>
      <c r="Q122" s="268"/>
      <c r="R122" s="397"/>
      <c r="S122" s="263"/>
    </row>
    <row r="123" spans="1:19" ht="27.75">
      <c r="A123" s="645" t="s">
        <v>64</v>
      </c>
      <c r="B123" s="646"/>
      <c r="C123" s="646"/>
      <c r="D123" s="646"/>
      <c r="E123" s="646"/>
      <c r="F123" s="646"/>
      <c r="G123" s="647"/>
      <c r="H123" s="269">
        <f>H26+H85+H113+H120</f>
        <v>229755.72999999998</v>
      </c>
      <c r="I123" s="269">
        <f>I26+I85+I113+I120</f>
        <v>137253.223</v>
      </c>
      <c r="J123" s="269">
        <f>J26+J85+J113+J120</f>
        <v>46487.48</v>
      </c>
      <c r="K123" s="269">
        <f>K26+K85+K113+K120</f>
        <v>46015.026999999995</v>
      </c>
      <c r="L123" s="269"/>
      <c r="M123" s="269"/>
      <c r="N123" s="269"/>
      <c r="O123" s="269">
        <v>46087.5</v>
      </c>
      <c r="P123" s="269">
        <f>Q123-O123</f>
        <v>400</v>
      </c>
      <c r="Q123" s="269">
        <v>46487.5</v>
      </c>
      <c r="R123" s="673"/>
      <c r="S123" s="277"/>
    </row>
    <row r="124" spans="1:19" s="259" customFormat="1" ht="210.75" hidden="1" customHeight="1">
      <c r="A124" s="652" t="s">
        <v>18</v>
      </c>
      <c r="B124" s="652"/>
      <c r="C124" s="652"/>
      <c r="D124" s="652"/>
      <c r="E124" s="652"/>
      <c r="F124" s="653"/>
      <c r="G124" s="137" t="s">
        <v>425</v>
      </c>
      <c r="H124" s="269">
        <f>H26+H86+H114+H121</f>
        <v>172528.53</v>
      </c>
      <c r="I124" s="269">
        <f>I26+I86+I114+I121</f>
        <v>81526.022999999986</v>
      </c>
      <c r="J124" s="269">
        <f>J26+J86+J114+J121</f>
        <v>46487.48</v>
      </c>
      <c r="K124" s="269">
        <f>K26+K86+K114+K121</f>
        <v>46015.026999999995</v>
      </c>
      <c r="L124" s="269"/>
      <c r="M124" s="269"/>
      <c r="N124" s="269"/>
      <c r="O124" s="269"/>
      <c r="P124" s="269"/>
      <c r="Q124" s="269"/>
      <c r="R124" s="673"/>
      <c r="S124" s="263"/>
    </row>
    <row r="125" spans="1:19" s="259" customFormat="1" ht="83.25" hidden="1">
      <c r="A125" s="654"/>
      <c r="B125" s="654"/>
      <c r="C125" s="654"/>
      <c r="D125" s="654"/>
      <c r="E125" s="654"/>
      <c r="F125" s="655"/>
      <c r="G125" s="137" t="s">
        <v>96</v>
      </c>
      <c r="H125" s="269">
        <f>H122+H115+H87</f>
        <v>52839.700000000004</v>
      </c>
      <c r="I125" s="269">
        <f>I122+I115+I87</f>
        <v>52839.700000000004</v>
      </c>
      <c r="J125" s="269">
        <f>J122+J115+J87</f>
        <v>0</v>
      </c>
      <c r="K125" s="269">
        <f>K122+K115+K87</f>
        <v>0</v>
      </c>
      <c r="L125" s="269"/>
      <c r="M125" s="269"/>
      <c r="N125" s="269"/>
      <c r="O125" s="269"/>
      <c r="P125" s="269"/>
      <c r="Q125" s="269"/>
      <c r="R125" s="673"/>
      <c r="S125" s="263"/>
    </row>
    <row r="126" spans="1:19" s="259" customFormat="1" ht="222" hidden="1">
      <c r="A126" s="654"/>
      <c r="B126" s="654"/>
      <c r="C126" s="654"/>
      <c r="D126" s="654"/>
      <c r="E126" s="654"/>
      <c r="F126" s="655"/>
      <c r="G126" s="236" t="s">
        <v>99</v>
      </c>
      <c r="H126" s="269">
        <f>H88</f>
        <v>2827.5</v>
      </c>
      <c r="I126" s="269">
        <f t="shared" ref="I126:K127" si="4">I88</f>
        <v>2827.5</v>
      </c>
      <c r="J126" s="269">
        <f t="shared" si="4"/>
        <v>0</v>
      </c>
      <c r="K126" s="269">
        <f t="shared" si="4"/>
        <v>0</v>
      </c>
      <c r="L126" s="269"/>
      <c r="M126" s="269"/>
      <c r="N126" s="269"/>
      <c r="O126" s="269"/>
      <c r="P126" s="269"/>
      <c r="Q126" s="269"/>
      <c r="R126" s="673"/>
      <c r="S126" s="263"/>
    </row>
    <row r="127" spans="1:19" s="259" customFormat="1" ht="83.25" hidden="1">
      <c r="A127" s="656"/>
      <c r="B127" s="656"/>
      <c r="C127" s="656"/>
      <c r="D127" s="656"/>
      <c r="E127" s="656"/>
      <c r="F127" s="657"/>
      <c r="G127" s="240" t="s">
        <v>328</v>
      </c>
      <c r="H127" s="269">
        <f>H89</f>
        <v>60</v>
      </c>
      <c r="I127" s="269">
        <f t="shared" si="4"/>
        <v>60</v>
      </c>
      <c r="J127" s="269">
        <f t="shared" si="4"/>
        <v>0</v>
      </c>
      <c r="K127" s="269">
        <f t="shared" si="4"/>
        <v>0</v>
      </c>
      <c r="L127" s="269"/>
      <c r="M127" s="269"/>
      <c r="N127" s="269"/>
      <c r="O127" s="269"/>
      <c r="P127" s="269"/>
      <c r="Q127" s="269"/>
      <c r="R127" s="673"/>
      <c r="S127" s="263"/>
    </row>
    <row r="128" spans="1:19" s="259" customFormat="1" ht="27.75" hidden="1">
      <c r="A128" s="580" t="s">
        <v>278</v>
      </c>
      <c r="B128" s="652"/>
      <c r="C128" s="652"/>
      <c r="D128" s="653"/>
      <c r="E128" s="394" t="s">
        <v>82</v>
      </c>
      <c r="F128" s="670"/>
      <c r="G128" s="240" t="s">
        <v>97</v>
      </c>
      <c r="H128" s="269">
        <f>SUM(H129:H132)</f>
        <v>39387.53</v>
      </c>
      <c r="I128" s="269">
        <f>SUM(I129:I132)</f>
        <v>28290.43</v>
      </c>
      <c r="J128" s="269">
        <f>SUM(J129:J132)</f>
        <v>0</v>
      </c>
      <c r="K128" s="269">
        <f>SUM(K129:K132)</f>
        <v>5025.8999999999996</v>
      </c>
      <c r="L128" s="269"/>
      <c r="M128" s="269"/>
      <c r="N128" s="269"/>
      <c r="O128" s="269"/>
      <c r="P128" s="269"/>
      <c r="Q128" s="269"/>
      <c r="R128" s="673"/>
      <c r="S128" s="263"/>
    </row>
    <row r="129" spans="1:19" ht="83.25" hidden="1">
      <c r="A129" s="581"/>
      <c r="B129" s="654"/>
      <c r="C129" s="654"/>
      <c r="D129" s="655"/>
      <c r="E129" s="394"/>
      <c r="F129" s="671"/>
      <c r="G129" s="240" t="s">
        <v>425</v>
      </c>
      <c r="H129" s="269">
        <f>H92</f>
        <v>26694.73</v>
      </c>
      <c r="I129" s="269">
        <f>I92</f>
        <v>15597.63</v>
      </c>
      <c r="J129" s="269">
        <f>J884</f>
        <v>0</v>
      </c>
      <c r="K129" s="269">
        <f>K92</f>
        <v>5025.8999999999996</v>
      </c>
      <c r="L129" s="269"/>
      <c r="M129" s="269"/>
      <c r="N129" s="269"/>
      <c r="O129" s="269"/>
      <c r="P129" s="269"/>
      <c r="Q129" s="269"/>
      <c r="R129" s="673"/>
      <c r="S129" s="277"/>
    </row>
    <row r="130" spans="1:19" ht="210.75" hidden="1" customHeight="1">
      <c r="A130" s="581"/>
      <c r="B130" s="654"/>
      <c r="C130" s="654"/>
      <c r="D130" s="655"/>
      <c r="E130" s="394"/>
      <c r="F130" s="671"/>
      <c r="G130" s="240" t="str">
        <f>G35</f>
        <v>Субвенція з місцевого бюджету на здійснення переданих видатків у сфері охорони здоров'я за рахунок коштів медичної субвенції (загальний фонд)</v>
      </c>
      <c r="H130" s="264">
        <f>H94</f>
        <v>147.19999999999999</v>
      </c>
      <c r="I130" s="264">
        <f t="shared" ref="I130:K131" si="5">I94</f>
        <v>147.19999999999999</v>
      </c>
      <c r="J130" s="264">
        <f t="shared" si="5"/>
        <v>0</v>
      </c>
      <c r="K130" s="264">
        <f t="shared" si="5"/>
        <v>0</v>
      </c>
      <c r="L130" s="264"/>
      <c r="M130" s="264"/>
      <c r="N130" s="264"/>
      <c r="O130" s="264"/>
      <c r="P130" s="264"/>
      <c r="Q130" s="264"/>
      <c r="R130" s="673"/>
      <c r="S130" s="277"/>
    </row>
    <row r="131" spans="1:19" ht="210.75" hidden="1" customHeight="1">
      <c r="A131" s="581"/>
      <c r="B131" s="654"/>
      <c r="C131" s="654"/>
      <c r="D131" s="655"/>
      <c r="E131" s="394"/>
      <c r="F131" s="671"/>
      <c r="G131" s="240" t="s">
        <v>328</v>
      </c>
      <c r="H131" s="269">
        <f>H95</f>
        <v>60</v>
      </c>
      <c r="I131" s="269">
        <f t="shared" si="5"/>
        <v>60</v>
      </c>
      <c r="J131" s="269">
        <f t="shared" si="5"/>
        <v>0</v>
      </c>
      <c r="K131" s="269">
        <f t="shared" si="5"/>
        <v>0</v>
      </c>
      <c r="L131" s="269"/>
      <c r="M131" s="269"/>
      <c r="N131" s="269"/>
      <c r="O131" s="269"/>
      <c r="P131" s="269"/>
      <c r="Q131" s="269"/>
      <c r="R131" s="673"/>
      <c r="S131" s="277"/>
    </row>
    <row r="132" spans="1:19" ht="83.25" hidden="1">
      <c r="A132" s="581"/>
      <c r="B132" s="654"/>
      <c r="C132" s="654"/>
      <c r="D132" s="655"/>
      <c r="E132" s="394"/>
      <c r="F132" s="671"/>
      <c r="G132" s="240" t="s">
        <v>96</v>
      </c>
      <c r="H132" s="269">
        <f>H93</f>
        <v>12485.6</v>
      </c>
      <c r="I132" s="269">
        <f>I93</f>
        <v>12485.6</v>
      </c>
      <c r="J132" s="269">
        <f>J93</f>
        <v>0</v>
      </c>
      <c r="K132" s="269">
        <f>K93</f>
        <v>0</v>
      </c>
      <c r="L132" s="269"/>
      <c r="M132" s="269"/>
      <c r="N132" s="269"/>
      <c r="O132" s="269"/>
      <c r="P132" s="269"/>
      <c r="Q132" s="269"/>
      <c r="R132" s="673"/>
      <c r="S132" s="277"/>
    </row>
    <row r="133" spans="1:19" ht="27.75" hidden="1">
      <c r="A133" s="581"/>
      <c r="B133" s="654"/>
      <c r="C133" s="654"/>
      <c r="D133" s="655"/>
      <c r="E133" s="395" t="s">
        <v>76</v>
      </c>
      <c r="F133" s="671"/>
      <c r="G133" s="240" t="s">
        <v>97</v>
      </c>
      <c r="H133" s="269">
        <f>SUM(H134:H135)</f>
        <v>37542.879999999997</v>
      </c>
      <c r="I133" s="269">
        <f>SUM(I134:I135)</f>
        <v>19021.3</v>
      </c>
      <c r="J133" s="269">
        <f>SUM(J134:J135)</f>
        <v>8928.2799999999988</v>
      </c>
      <c r="K133" s="269">
        <f>SUM(K134:K135)</f>
        <v>9593.2999999999993</v>
      </c>
      <c r="L133" s="269"/>
      <c r="M133" s="269"/>
      <c r="N133" s="269"/>
      <c r="O133" s="269"/>
      <c r="P133" s="269"/>
      <c r="Q133" s="269"/>
      <c r="R133" s="673"/>
      <c r="S133" s="277"/>
    </row>
    <row r="134" spans="1:19" ht="83.25" hidden="1">
      <c r="A134" s="581"/>
      <c r="B134" s="654"/>
      <c r="C134" s="654"/>
      <c r="D134" s="655"/>
      <c r="E134" s="396"/>
      <c r="F134" s="671"/>
      <c r="G134" s="240" t="s">
        <v>425</v>
      </c>
      <c r="H134" s="269">
        <f>H97</f>
        <v>29382.78</v>
      </c>
      <c r="I134" s="269">
        <f t="shared" ref="I134:K135" si="6">I97</f>
        <v>10861.199999999999</v>
      </c>
      <c r="J134" s="269">
        <f t="shared" si="6"/>
        <v>8928.2799999999988</v>
      </c>
      <c r="K134" s="269">
        <f t="shared" si="6"/>
        <v>9593.2999999999993</v>
      </c>
      <c r="L134" s="269"/>
      <c r="M134" s="269"/>
      <c r="N134" s="269"/>
      <c r="O134" s="269"/>
      <c r="P134" s="269"/>
      <c r="Q134" s="269"/>
      <c r="R134" s="673"/>
      <c r="S134" s="277"/>
    </row>
    <row r="135" spans="1:19" ht="83.25" hidden="1">
      <c r="A135" s="581"/>
      <c r="B135" s="654"/>
      <c r="C135" s="654"/>
      <c r="D135" s="655"/>
      <c r="E135" s="397"/>
      <c r="F135" s="671"/>
      <c r="G135" s="137" t="s">
        <v>96</v>
      </c>
      <c r="H135" s="269">
        <f>H98</f>
        <v>8160.1</v>
      </c>
      <c r="I135" s="269">
        <f t="shared" si="6"/>
        <v>8160.1</v>
      </c>
      <c r="J135" s="269">
        <f t="shared" si="6"/>
        <v>0</v>
      </c>
      <c r="K135" s="269">
        <f t="shared" si="6"/>
        <v>0</v>
      </c>
      <c r="L135" s="269"/>
      <c r="M135" s="269"/>
      <c r="N135" s="269"/>
      <c r="O135" s="269"/>
      <c r="P135" s="269"/>
      <c r="Q135" s="269"/>
      <c r="R135" s="673"/>
      <c r="S135" s="277"/>
    </row>
    <row r="136" spans="1:19" ht="27.75" hidden="1">
      <c r="A136" s="581"/>
      <c r="B136" s="654"/>
      <c r="C136" s="654"/>
      <c r="D136" s="655"/>
      <c r="E136" s="395" t="s">
        <v>77</v>
      </c>
      <c r="F136" s="671"/>
      <c r="G136" s="240" t="s">
        <v>97</v>
      </c>
      <c r="H136" s="269">
        <f>SUM(H137:H139)</f>
        <v>47663.11</v>
      </c>
      <c r="I136" s="269">
        <f>SUM(I137:I139)</f>
        <v>33332.700000000004</v>
      </c>
      <c r="J136" s="269">
        <f>SUM(J137:J139)</f>
        <v>6896.57</v>
      </c>
      <c r="K136" s="269">
        <f>SUM(K137:K139)</f>
        <v>7433.84</v>
      </c>
      <c r="L136" s="269"/>
      <c r="M136" s="269"/>
      <c r="N136" s="269"/>
      <c r="O136" s="269"/>
      <c r="P136" s="269"/>
      <c r="Q136" s="269"/>
      <c r="R136" s="673"/>
      <c r="S136" s="277"/>
    </row>
    <row r="137" spans="1:19" ht="83.25" hidden="1">
      <c r="A137" s="581"/>
      <c r="B137" s="654"/>
      <c r="C137" s="654"/>
      <c r="D137" s="655"/>
      <c r="E137" s="396"/>
      <c r="F137" s="671"/>
      <c r="G137" s="240" t="s">
        <v>425</v>
      </c>
      <c r="H137" s="269">
        <f>H100</f>
        <v>32116.61</v>
      </c>
      <c r="I137" s="269">
        <f t="shared" ref="I137:K139" si="7">I100</f>
        <v>17786.2</v>
      </c>
      <c r="J137" s="269">
        <f t="shared" si="7"/>
        <v>6896.57</v>
      </c>
      <c r="K137" s="269">
        <f t="shared" si="7"/>
        <v>7433.84</v>
      </c>
      <c r="L137" s="269"/>
      <c r="M137" s="269"/>
      <c r="N137" s="269"/>
      <c r="O137" s="269"/>
      <c r="P137" s="269"/>
      <c r="Q137" s="269"/>
      <c r="R137" s="673"/>
      <c r="S137" s="277"/>
    </row>
    <row r="138" spans="1:19" ht="83.25" hidden="1">
      <c r="A138" s="581"/>
      <c r="B138" s="654"/>
      <c r="C138" s="654"/>
      <c r="D138" s="655"/>
      <c r="E138" s="396"/>
      <c r="F138" s="671"/>
      <c r="G138" s="137" t="s">
        <v>96</v>
      </c>
      <c r="H138" s="269">
        <f>H101</f>
        <v>12866.2</v>
      </c>
      <c r="I138" s="269">
        <f t="shared" si="7"/>
        <v>12866.2</v>
      </c>
      <c r="J138" s="269">
        <f t="shared" si="7"/>
        <v>0</v>
      </c>
      <c r="K138" s="269">
        <f t="shared" si="7"/>
        <v>0</v>
      </c>
      <c r="L138" s="269"/>
      <c r="M138" s="269"/>
      <c r="N138" s="269"/>
      <c r="O138" s="269"/>
      <c r="P138" s="269"/>
      <c r="Q138" s="269"/>
      <c r="R138" s="673"/>
      <c r="S138" s="277"/>
    </row>
    <row r="139" spans="1:19" ht="210.75" hidden="1" customHeight="1">
      <c r="A139" s="581"/>
      <c r="B139" s="654"/>
      <c r="C139" s="654"/>
      <c r="D139" s="655"/>
      <c r="E139" s="397"/>
      <c r="F139" s="671"/>
      <c r="G139" s="236" t="s">
        <v>99</v>
      </c>
      <c r="H139" s="269">
        <f>H102</f>
        <v>2680.3</v>
      </c>
      <c r="I139" s="269">
        <f t="shared" si="7"/>
        <v>2680.3</v>
      </c>
      <c r="J139" s="269">
        <f t="shared" si="7"/>
        <v>0</v>
      </c>
      <c r="K139" s="269">
        <f t="shared" si="7"/>
        <v>0</v>
      </c>
      <c r="L139" s="269"/>
      <c r="M139" s="269"/>
      <c r="N139" s="269"/>
      <c r="O139" s="269"/>
      <c r="P139" s="269"/>
      <c r="Q139" s="269"/>
      <c r="R139" s="673"/>
      <c r="S139" s="277"/>
    </row>
    <row r="140" spans="1:19" ht="27.75" hidden="1">
      <c r="A140" s="581"/>
      <c r="B140" s="654"/>
      <c r="C140" s="654"/>
      <c r="D140" s="655"/>
      <c r="E140" s="395" t="s">
        <v>75</v>
      </c>
      <c r="F140" s="671"/>
      <c r="G140" s="240" t="s">
        <v>97</v>
      </c>
      <c r="H140" s="269">
        <f>SUM(H141:H142)</f>
        <v>47734.004999999997</v>
      </c>
      <c r="I140" s="269">
        <f>SUM(I141:I142)</f>
        <v>31360.183000000001</v>
      </c>
      <c r="J140" s="269">
        <f>SUM(J141:J142)</f>
        <v>8771.43</v>
      </c>
      <c r="K140" s="269">
        <f>SUM(K141:K142)</f>
        <v>7602.3920000000007</v>
      </c>
      <c r="L140" s="269"/>
      <c r="M140" s="269"/>
      <c r="N140" s="269"/>
      <c r="O140" s="269"/>
      <c r="P140" s="269"/>
      <c r="Q140" s="269"/>
      <c r="R140" s="673"/>
      <c r="S140" s="277"/>
    </row>
    <row r="141" spans="1:19" ht="83.25" hidden="1">
      <c r="A141" s="581"/>
      <c r="B141" s="654"/>
      <c r="C141" s="654"/>
      <c r="D141" s="655"/>
      <c r="E141" s="396"/>
      <c r="F141" s="671"/>
      <c r="G141" s="137" t="s">
        <v>425</v>
      </c>
      <c r="H141" s="269">
        <f>H104</f>
        <v>35886.004999999997</v>
      </c>
      <c r="I141" s="269">
        <f t="shared" ref="I141:K142" si="8">I104</f>
        <v>19512.183000000001</v>
      </c>
      <c r="J141" s="269">
        <f t="shared" si="8"/>
        <v>8771.43</v>
      </c>
      <c r="K141" s="269">
        <f t="shared" si="8"/>
        <v>7602.3920000000007</v>
      </c>
      <c r="L141" s="269"/>
      <c r="M141" s="269"/>
      <c r="N141" s="269"/>
      <c r="O141" s="269"/>
      <c r="P141" s="269"/>
      <c r="Q141" s="269"/>
      <c r="R141" s="673"/>
      <c r="S141" s="277"/>
    </row>
    <row r="142" spans="1:19" ht="83.25" hidden="1">
      <c r="A142" s="581"/>
      <c r="B142" s="654"/>
      <c r="C142" s="654"/>
      <c r="D142" s="655"/>
      <c r="E142" s="397"/>
      <c r="F142" s="671"/>
      <c r="G142" s="137" t="s">
        <v>96</v>
      </c>
      <c r="H142" s="269">
        <f>H105</f>
        <v>11848</v>
      </c>
      <c r="I142" s="269">
        <f t="shared" si="8"/>
        <v>11848</v>
      </c>
      <c r="J142" s="269">
        <f t="shared" si="8"/>
        <v>0</v>
      </c>
      <c r="K142" s="269">
        <f t="shared" si="8"/>
        <v>0</v>
      </c>
      <c r="L142" s="269"/>
      <c r="M142" s="269"/>
      <c r="N142" s="269"/>
      <c r="O142" s="269"/>
      <c r="P142" s="269"/>
      <c r="Q142" s="269"/>
      <c r="R142" s="673"/>
      <c r="S142" s="277"/>
    </row>
    <row r="143" spans="1:19" ht="27.75" hidden="1">
      <c r="A143" s="581"/>
      <c r="B143" s="654"/>
      <c r="C143" s="654"/>
      <c r="D143" s="655"/>
      <c r="E143" s="395" t="s">
        <v>79</v>
      </c>
      <c r="F143" s="671"/>
      <c r="G143" s="240" t="s">
        <v>97</v>
      </c>
      <c r="H143" s="269">
        <f>SUM(H144:H145)</f>
        <v>19383.72</v>
      </c>
      <c r="I143" s="269">
        <f>SUM(I144:I145)</f>
        <v>12611</v>
      </c>
      <c r="J143" s="269">
        <f>SUM(J144:J145)</f>
        <v>3258.8</v>
      </c>
      <c r="K143" s="269">
        <f>SUM(K144:K145)</f>
        <v>3513.92</v>
      </c>
      <c r="L143" s="269"/>
      <c r="M143" s="269"/>
      <c r="N143" s="269"/>
      <c r="O143" s="269"/>
      <c r="P143" s="269"/>
      <c r="Q143" s="269"/>
      <c r="R143" s="673"/>
      <c r="S143" s="277"/>
    </row>
    <row r="144" spans="1:19" ht="83.25" hidden="1">
      <c r="A144" s="581"/>
      <c r="B144" s="654"/>
      <c r="C144" s="654"/>
      <c r="D144" s="655"/>
      <c r="E144" s="396"/>
      <c r="F144" s="671"/>
      <c r="G144" s="137" t="s">
        <v>425</v>
      </c>
      <c r="H144" s="269">
        <f>H114</f>
        <v>13036.12</v>
      </c>
      <c r="I144" s="269">
        <f t="shared" ref="I144:K145" si="9">I114</f>
        <v>6263.4000000000005</v>
      </c>
      <c r="J144" s="269">
        <f t="shared" si="9"/>
        <v>3258.8</v>
      </c>
      <c r="K144" s="269">
        <f t="shared" si="9"/>
        <v>3513.92</v>
      </c>
      <c r="L144" s="269"/>
      <c r="M144" s="269"/>
      <c r="N144" s="269"/>
      <c r="O144" s="269"/>
      <c r="P144" s="269"/>
      <c r="Q144" s="269"/>
      <c r="R144" s="673"/>
      <c r="S144" s="277"/>
    </row>
    <row r="145" spans="1:24" ht="83.25" hidden="1">
      <c r="A145" s="581"/>
      <c r="B145" s="654"/>
      <c r="C145" s="654"/>
      <c r="D145" s="655"/>
      <c r="E145" s="397"/>
      <c r="F145" s="671"/>
      <c r="G145" s="137" t="s">
        <v>96</v>
      </c>
      <c r="H145" s="269">
        <f>H115</f>
        <v>6347.6</v>
      </c>
      <c r="I145" s="269">
        <f t="shared" si="9"/>
        <v>6347.6</v>
      </c>
      <c r="J145" s="269">
        <f t="shared" si="9"/>
        <v>0</v>
      </c>
      <c r="K145" s="269">
        <f t="shared" si="9"/>
        <v>0</v>
      </c>
      <c r="L145" s="269"/>
      <c r="M145" s="269"/>
      <c r="N145" s="269"/>
      <c r="O145" s="269"/>
      <c r="P145" s="269"/>
      <c r="Q145" s="269"/>
      <c r="R145" s="673"/>
      <c r="S145" s="277"/>
    </row>
    <row r="146" spans="1:24" ht="27.75" hidden="1">
      <c r="A146" s="581"/>
      <c r="B146" s="654"/>
      <c r="C146" s="654"/>
      <c r="D146" s="655"/>
      <c r="E146" s="395" t="s">
        <v>78</v>
      </c>
      <c r="F146" s="671"/>
      <c r="G146" s="240" t="s">
        <v>97</v>
      </c>
      <c r="H146" s="269">
        <f>SUM(H147:H148)</f>
        <v>22372.174999999999</v>
      </c>
      <c r="I146" s="269">
        <f>SUM(I147:I148)</f>
        <v>6738</v>
      </c>
      <c r="J146" s="269">
        <f>SUM(J147:J148)</f>
        <v>7564.6</v>
      </c>
      <c r="K146" s="269">
        <f>SUM(K147:K148)</f>
        <v>8069.5749999999998</v>
      </c>
      <c r="L146" s="269"/>
      <c r="M146" s="269"/>
      <c r="N146" s="269"/>
      <c r="O146" s="269"/>
      <c r="P146" s="269"/>
      <c r="Q146" s="269"/>
      <c r="R146" s="673"/>
      <c r="S146" s="277"/>
    </row>
    <row r="147" spans="1:24" ht="210.75" hidden="1" customHeight="1">
      <c r="A147" s="581"/>
      <c r="B147" s="654"/>
      <c r="C147" s="654"/>
      <c r="D147" s="655"/>
      <c r="E147" s="396"/>
      <c r="F147" s="671"/>
      <c r="G147" s="137" t="s">
        <v>425</v>
      </c>
      <c r="H147" s="269">
        <f t="shared" ref="H147:K148" si="10">H121</f>
        <v>21239.974999999999</v>
      </c>
      <c r="I147" s="269">
        <f t="shared" si="10"/>
        <v>5605.8</v>
      </c>
      <c r="J147" s="269">
        <f t="shared" si="10"/>
        <v>7564.6</v>
      </c>
      <c r="K147" s="269">
        <f t="shared" si="10"/>
        <v>8069.5749999999998</v>
      </c>
      <c r="L147" s="269"/>
      <c r="M147" s="269"/>
      <c r="N147" s="269"/>
      <c r="O147" s="269"/>
      <c r="P147" s="269"/>
      <c r="Q147" s="269"/>
      <c r="R147" s="673"/>
      <c r="S147" s="277"/>
    </row>
    <row r="148" spans="1:24" ht="210.75" hidden="1" customHeight="1">
      <c r="A148" s="581"/>
      <c r="B148" s="654"/>
      <c r="C148" s="654"/>
      <c r="D148" s="655"/>
      <c r="E148" s="397"/>
      <c r="F148" s="671"/>
      <c r="G148" s="137" t="s">
        <v>96</v>
      </c>
      <c r="H148" s="269">
        <f t="shared" si="10"/>
        <v>1132.2</v>
      </c>
      <c r="I148" s="269">
        <f t="shared" si="10"/>
        <v>1132.2</v>
      </c>
      <c r="J148" s="269">
        <f t="shared" si="10"/>
        <v>0</v>
      </c>
      <c r="K148" s="269">
        <f t="shared" si="10"/>
        <v>0</v>
      </c>
      <c r="L148" s="269"/>
      <c r="M148" s="269"/>
      <c r="N148" s="269"/>
      <c r="O148" s="269"/>
      <c r="P148" s="269"/>
      <c r="Q148" s="269"/>
      <c r="R148" s="673"/>
      <c r="S148" s="277"/>
    </row>
    <row r="149" spans="1:24" ht="210.75" hidden="1" customHeight="1">
      <c r="A149" s="581"/>
      <c r="B149" s="654"/>
      <c r="C149" s="654"/>
      <c r="D149" s="655"/>
      <c r="E149" s="236" t="s">
        <v>80</v>
      </c>
      <c r="F149" s="671"/>
      <c r="G149" s="137" t="s">
        <v>425</v>
      </c>
      <c r="H149" s="269">
        <f>H27</f>
        <v>5916.0000000000009</v>
      </c>
      <c r="I149" s="269">
        <f t="shared" ref="I149:K150" si="11">I27</f>
        <v>1511</v>
      </c>
      <c r="J149" s="269">
        <f t="shared" si="11"/>
        <v>2122.1999999999998</v>
      </c>
      <c r="K149" s="269">
        <f t="shared" si="11"/>
        <v>2282.7999999999997</v>
      </c>
      <c r="L149" s="269"/>
      <c r="M149" s="269"/>
      <c r="N149" s="269"/>
      <c r="O149" s="269"/>
      <c r="P149" s="269"/>
      <c r="Q149" s="269"/>
      <c r="R149" s="673"/>
      <c r="S149" s="277"/>
    </row>
    <row r="150" spans="1:24" ht="210.75" hidden="1" customHeight="1">
      <c r="A150" s="581"/>
      <c r="B150" s="654"/>
      <c r="C150" s="654"/>
      <c r="D150" s="655"/>
      <c r="E150" s="240" t="s">
        <v>81</v>
      </c>
      <c r="F150" s="671"/>
      <c r="G150" s="137" t="s">
        <v>425</v>
      </c>
      <c r="H150" s="269">
        <f>H28</f>
        <v>6357.5099999999993</v>
      </c>
      <c r="I150" s="269">
        <f t="shared" si="11"/>
        <v>1388.61</v>
      </c>
      <c r="J150" s="269">
        <f t="shared" si="11"/>
        <v>2475.6000000000004</v>
      </c>
      <c r="K150" s="269">
        <f t="shared" si="11"/>
        <v>2493.3000000000002</v>
      </c>
      <c r="L150" s="269"/>
      <c r="M150" s="269"/>
      <c r="N150" s="269"/>
      <c r="O150" s="269"/>
      <c r="P150" s="269"/>
      <c r="Q150" s="269"/>
      <c r="R150" s="673"/>
      <c r="S150" s="277"/>
    </row>
    <row r="151" spans="1:24" ht="210.75" hidden="1" customHeight="1">
      <c r="A151" s="582"/>
      <c r="B151" s="656"/>
      <c r="C151" s="656"/>
      <c r="D151" s="657"/>
      <c r="E151" s="240" t="s">
        <v>404</v>
      </c>
      <c r="F151" s="672"/>
      <c r="G151" s="137" t="s">
        <v>425</v>
      </c>
      <c r="H151" s="269">
        <f>H106</f>
        <v>3000</v>
      </c>
      <c r="I151" s="269">
        <f>I106</f>
        <v>3000</v>
      </c>
      <c r="J151" s="269">
        <f>J106</f>
        <v>0</v>
      </c>
      <c r="K151" s="269">
        <f>K106</f>
        <v>0</v>
      </c>
      <c r="L151" s="269"/>
      <c r="M151" s="269"/>
      <c r="N151" s="269"/>
      <c r="O151" s="269"/>
      <c r="P151" s="269"/>
      <c r="Q151" s="269"/>
      <c r="R151" s="673"/>
      <c r="S151" s="277"/>
    </row>
    <row r="152" spans="1:24" ht="48" customHeight="1">
      <c r="A152" s="645" t="s">
        <v>211</v>
      </c>
      <c r="B152" s="646"/>
      <c r="C152" s="646"/>
      <c r="D152" s="646"/>
      <c r="E152" s="646"/>
      <c r="F152" s="646"/>
      <c r="G152" s="646"/>
      <c r="H152" s="646"/>
      <c r="I152" s="646"/>
      <c r="J152" s="646"/>
      <c r="K152" s="646"/>
      <c r="L152" s="646"/>
      <c r="M152" s="646"/>
      <c r="N152" s="646"/>
      <c r="O152" s="646"/>
      <c r="P152" s="646"/>
      <c r="Q152" s="646"/>
      <c r="R152" s="647"/>
    </row>
    <row r="153" spans="1:24" ht="210.75" hidden="1" customHeight="1">
      <c r="A153" s="648" t="s">
        <v>220</v>
      </c>
      <c r="B153" s="394" t="s">
        <v>212</v>
      </c>
      <c r="C153" s="394" t="s">
        <v>231</v>
      </c>
      <c r="D153" s="645" t="s">
        <v>350</v>
      </c>
      <c r="E153" s="646"/>
      <c r="F153" s="646"/>
      <c r="G153" s="647"/>
      <c r="H153" s="269">
        <f>SUM(H154:H155)</f>
        <v>16126.574089599999</v>
      </c>
      <c r="I153" s="269">
        <f>SUM(I154:I155)</f>
        <v>5194</v>
      </c>
      <c r="J153" s="269">
        <f>SUM(J154:J155)</f>
        <v>5234.409599999999</v>
      </c>
      <c r="K153" s="269">
        <f>SUM(K154:K155)</f>
        <v>5698.1644895999998</v>
      </c>
      <c r="L153" s="269"/>
      <c r="M153" s="269"/>
      <c r="N153" s="269"/>
      <c r="O153" s="270"/>
      <c r="P153" s="270"/>
      <c r="Q153" s="270"/>
      <c r="R153" s="565" t="s">
        <v>275</v>
      </c>
    </row>
    <row r="154" spans="1:24" ht="210.75" hidden="1" customHeight="1">
      <c r="A154" s="648"/>
      <c r="B154" s="394"/>
      <c r="C154" s="394"/>
      <c r="D154" s="266" t="s">
        <v>33</v>
      </c>
      <c r="E154" s="240" t="s">
        <v>80</v>
      </c>
      <c r="F154" s="394" t="s">
        <v>210</v>
      </c>
      <c r="G154" s="394" t="s">
        <v>425</v>
      </c>
      <c r="H154" s="264">
        <f>I154+J154+K154</f>
        <v>7318.1826335999995</v>
      </c>
      <c r="I154" s="264">
        <v>2331.3000000000002</v>
      </c>
      <c r="J154" s="264">
        <v>2387.7535999999996</v>
      </c>
      <c r="K154" s="264">
        <v>2599.1290335999997</v>
      </c>
      <c r="L154" s="264"/>
      <c r="M154" s="264"/>
      <c r="N154" s="264"/>
      <c r="O154" s="267"/>
      <c r="P154" s="267"/>
      <c r="Q154" s="267"/>
      <c r="R154" s="578"/>
      <c r="S154" s="264">
        <f>J153+J160-J161+J156+J16+J19</f>
        <v>15183.8</v>
      </c>
      <c r="T154" s="286">
        <v>5600</v>
      </c>
      <c r="U154" s="96">
        <v>5975.2</v>
      </c>
      <c r="W154" s="286">
        <f>T154-J162</f>
        <v>2387.7535999999996</v>
      </c>
      <c r="X154" s="286">
        <f>U154-K162</f>
        <v>2599.1290335999997</v>
      </c>
    </row>
    <row r="155" spans="1:24" ht="210.75" hidden="1" customHeight="1">
      <c r="A155" s="648"/>
      <c r="B155" s="394"/>
      <c r="C155" s="394"/>
      <c r="D155" s="266" t="s">
        <v>33</v>
      </c>
      <c r="E155" s="240" t="s">
        <v>81</v>
      </c>
      <c r="F155" s="394"/>
      <c r="G155" s="394"/>
      <c r="H155" s="264">
        <f>I155+J155+K155</f>
        <v>8808.3914559999994</v>
      </c>
      <c r="I155" s="264">
        <v>2862.7</v>
      </c>
      <c r="J155" s="264">
        <v>2846.6559999999999</v>
      </c>
      <c r="K155" s="264">
        <v>3099.0354559999996</v>
      </c>
      <c r="L155" s="264"/>
      <c r="M155" s="264"/>
      <c r="N155" s="264"/>
      <c r="O155" s="268"/>
      <c r="P155" s="268"/>
      <c r="Q155" s="268"/>
      <c r="R155" s="566"/>
      <c r="S155" s="264">
        <f>J156+J16</f>
        <v>2070</v>
      </c>
      <c r="T155" s="286">
        <v>6700</v>
      </c>
      <c r="U155" s="96">
        <v>7148.9</v>
      </c>
      <c r="W155" s="286">
        <f>T155-J163</f>
        <v>2846.6559999999999</v>
      </c>
      <c r="X155" s="286">
        <f>U155-K163</f>
        <v>3099.0354559999996</v>
      </c>
    </row>
    <row r="156" spans="1:24" s="259" customFormat="1" ht="210.75" hidden="1" customHeight="1">
      <c r="A156" s="648"/>
      <c r="B156" s="394"/>
      <c r="C156" s="580" t="s">
        <v>232</v>
      </c>
      <c r="D156" s="673" t="s">
        <v>351</v>
      </c>
      <c r="E156" s="673"/>
      <c r="F156" s="673"/>
      <c r="G156" s="673"/>
      <c r="H156" s="264">
        <f>H157+H158</f>
        <v>2688.9522999999999</v>
      </c>
      <c r="I156" s="264">
        <f>I157+I158</f>
        <v>833.40000000000009</v>
      </c>
      <c r="J156" s="264">
        <f>J157+J158</f>
        <v>900.7</v>
      </c>
      <c r="K156" s="264">
        <f>K157+K158</f>
        <v>954.85230000000001</v>
      </c>
      <c r="L156" s="265"/>
      <c r="M156" s="265"/>
      <c r="N156" s="265"/>
      <c r="O156" s="265"/>
      <c r="P156" s="265"/>
      <c r="Q156" s="265"/>
      <c r="R156" s="395" t="s">
        <v>46</v>
      </c>
      <c r="S156" s="263"/>
      <c r="T156" s="259">
        <v>6700</v>
      </c>
      <c r="U156" s="259">
        <v>7148.9</v>
      </c>
    </row>
    <row r="157" spans="1:24" ht="210.75" hidden="1" customHeight="1">
      <c r="A157" s="648"/>
      <c r="B157" s="394"/>
      <c r="C157" s="581"/>
      <c r="D157" s="266" t="s">
        <v>33</v>
      </c>
      <c r="E157" s="240" t="s">
        <v>80</v>
      </c>
      <c r="F157" s="394" t="s">
        <v>210</v>
      </c>
      <c r="G157" s="394" t="s">
        <v>425</v>
      </c>
      <c r="H157" s="264">
        <f>I157+J157+K157</f>
        <v>1540</v>
      </c>
      <c r="I157" s="264">
        <v>478.8</v>
      </c>
      <c r="J157" s="264">
        <v>513.4</v>
      </c>
      <c r="K157" s="264">
        <v>547.79999999999995</v>
      </c>
      <c r="L157" s="267"/>
      <c r="M157" s="267"/>
      <c r="N157" s="267"/>
      <c r="O157" s="267"/>
      <c r="P157" s="267"/>
      <c r="Q157" s="267"/>
      <c r="R157" s="396"/>
    </row>
    <row r="158" spans="1:24" ht="210.75" hidden="1" customHeight="1">
      <c r="A158" s="648"/>
      <c r="B158" s="394"/>
      <c r="C158" s="582"/>
      <c r="D158" s="266" t="s">
        <v>33</v>
      </c>
      <c r="E158" s="137" t="s">
        <v>81</v>
      </c>
      <c r="F158" s="394"/>
      <c r="G158" s="394"/>
      <c r="H158" s="264">
        <f>I158+J158+K158</f>
        <v>1148.9523000000002</v>
      </c>
      <c r="I158" s="264">
        <v>354.6</v>
      </c>
      <c r="J158" s="264">
        <v>387.3</v>
      </c>
      <c r="K158" s="264">
        <f>J158*1.051</f>
        <v>407.0523</v>
      </c>
      <c r="L158" s="268"/>
      <c r="M158" s="268"/>
      <c r="N158" s="268"/>
      <c r="O158" s="268"/>
      <c r="P158" s="268"/>
      <c r="Q158" s="268"/>
      <c r="R158" s="397"/>
    </row>
    <row r="159" spans="1:24" ht="210.75" hidden="1" customHeight="1">
      <c r="A159" s="648"/>
      <c r="B159" s="394"/>
      <c r="C159" s="245" t="s">
        <v>233</v>
      </c>
      <c r="D159" s="251" t="s">
        <v>29</v>
      </c>
      <c r="E159" s="240" t="s">
        <v>75</v>
      </c>
      <c r="F159" s="241" t="s">
        <v>210</v>
      </c>
      <c r="G159" s="240" t="s">
        <v>425</v>
      </c>
      <c r="H159" s="264">
        <f>I159+J159+K159</f>
        <v>900</v>
      </c>
      <c r="I159" s="264">
        <v>900</v>
      </c>
      <c r="J159" s="264"/>
      <c r="K159" s="264"/>
      <c r="L159" s="265"/>
      <c r="M159" s="265"/>
      <c r="N159" s="265"/>
      <c r="O159" s="265"/>
      <c r="P159" s="265"/>
      <c r="Q159" s="265"/>
      <c r="R159" s="565" t="s">
        <v>72</v>
      </c>
    </row>
    <row r="160" spans="1:24" ht="210.75" hidden="1" customHeight="1">
      <c r="A160" s="648"/>
      <c r="B160" s="394"/>
      <c r="C160" s="458" t="s">
        <v>234</v>
      </c>
      <c r="D160" s="673" t="s">
        <v>352</v>
      </c>
      <c r="E160" s="673"/>
      <c r="F160" s="673"/>
      <c r="G160" s="673"/>
      <c r="H160" s="264">
        <f>SUM(H161:H163)</f>
        <v>25082.925910400001</v>
      </c>
      <c r="I160" s="264">
        <f>SUM(I161:I163)</f>
        <v>7490.9</v>
      </c>
      <c r="J160" s="264">
        <f>SUM(J161:J163)</f>
        <v>8565.590400000001</v>
      </c>
      <c r="K160" s="264">
        <f>SUM(K161:K163)</f>
        <v>9026.4355104000006</v>
      </c>
      <c r="L160" s="267"/>
      <c r="M160" s="267"/>
      <c r="N160" s="267"/>
      <c r="O160" s="267"/>
      <c r="P160" s="267"/>
      <c r="Q160" s="267"/>
      <c r="R160" s="578"/>
    </row>
    <row r="161" spans="1:19" ht="210.75" hidden="1" customHeight="1">
      <c r="A161" s="648"/>
      <c r="B161" s="394"/>
      <c r="C161" s="459"/>
      <c r="D161" s="243" t="s">
        <v>29</v>
      </c>
      <c r="E161" s="240" t="s">
        <v>75</v>
      </c>
      <c r="F161" s="442" t="s">
        <v>17</v>
      </c>
      <c r="G161" s="394" t="s">
        <v>425</v>
      </c>
      <c r="H161" s="264">
        <f>I161+J161+K161</f>
        <v>3900.5</v>
      </c>
      <c r="I161" s="264">
        <f>600+200</f>
        <v>800</v>
      </c>
      <c r="J161" s="264">
        <v>1500</v>
      </c>
      <c r="K161" s="264">
        <v>1600.5</v>
      </c>
      <c r="L161" s="267"/>
      <c r="M161" s="267"/>
      <c r="N161" s="267"/>
      <c r="O161" s="267"/>
      <c r="P161" s="267"/>
      <c r="Q161" s="267"/>
      <c r="R161" s="578"/>
    </row>
    <row r="162" spans="1:19" ht="210.75" hidden="1" customHeight="1">
      <c r="A162" s="648"/>
      <c r="B162" s="394"/>
      <c r="C162" s="459"/>
      <c r="D162" s="266" t="s">
        <v>36</v>
      </c>
      <c r="E162" s="240" t="s">
        <v>80</v>
      </c>
      <c r="F162" s="442"/>
      <c r="G162" s="394"/>
      <c r="H162" s="264">
        <f>I162+J162+K162</f>
        <v>9630.2173664000002</v>
      </c>
      <c r="I162" s="264">
        <v>3041.9</v>
      </c>
      <c r="J162" s="264">
        <v>3212.2464000000004</v>
      </c>
      <c r="K162" s="264">
        <v>3376.0709664000001</v>
      </c>
      <c r="L162" s="267"/>
      <c r="M162" s="267"/>
      <c r="N162" s="267"/>
      <c r="O162" s="267"/>
      <c r="P162" s="267"/>
      <c r="Q162" s="267"/>
      <c r="R162" s="578"/>
    </row>
    <row r="163" spans="1:19" ht="55.5" hidden="1">
      <c r="A163" s="648"/>
      <c r="B163" s="394"/>
      <c r="C163" s="460"/>
      <c r="D163" s="266" t="s">
        <v>36</v>
      </c>
      <c r="E163" s="137" t="s">
        <v>81</v>
      </c>
      <c r="F163" s="442"/>
      <c r="G163" s="394"/>
      <c r="H163" s="264">
        <f>I163+J163+K163</f>
        <v>11552.208544000001</v>
      </c>
      <c r="I163" s="264">
        <v>3649</v>
      </c>
      <c r="J163" s="264">
        <v>3853.3440000000001</v>
      </c>
      <c r="K163" s="264">
        <v>4049.864544</v>
      </c>
      <c r="L163" s="267"/>
      <c r="M163" s="267"/>
      <c r="N163" s="267"/>
      <c r="O163" s="267"/>
      <c r="P163" s="267"/>
      <c r="Q163" s="267"/>
      <c r="R163" s="578"/>
    </row>
    <row r="164" spans="1:19" ht="210.75" hidden="1" customHeight="1">
      <c r="A164" s="648"/>
      <c r="B164" s="394"/>
      <c r="C164" s="241" t="s">
        <v>235</v>
      </c>
      <c r="D164" s="243" t="s">
        <v>29</v>
      </c>
      <c r="E164" s="240" t="s">
        <v>75</v>
      </c>
      <c r="F164" s="442"/>
      <c r="G164" s="394"/>
      <c r="H164" s="264">
        <f>I164+J164+K164</f>
        <v>420</v>
      </c>
      <c r="I164" s="264">
        <v>420</v>
      </c>
      <c r="J164" s="264"/>
      <c r="K164" s="264"/>
      <c r="L164" s="268"/>
      <c r="M164" s="268"/>
      <c r="N164" s="268"/>
      <c r="O164" s="268"/>
      <c r="P164" s="268"/>
      <c r="Q164" s="268"/>
      <c r="R164" s="566"/>
    </row>
    <row r="165" spans="1:19" ht="62.25" customHeight="1">
      <c r="A165" s="648"/>
      <c r="B165" s="394"/>
      <c r="C165" s="442" t="s">
        <v>236</v>
      </c>
      <c r="D165" s="673" t="s">
        <v>353</v>
      </c>
      <c r="E165" s="673"/>
      <c r="F165" s="673"/>
      <c r="G165" s="673"/>
      <c r="H165" s="264">
        <f>H166+H167</f>
        <v>5857.9</v>
      </c>
      <c r="I165" s="264">
        <f>I166+I167</f>
        <v>1921.3</v>
      </c>
      <c r="J165" s="264">
        <f>J166+J167</f>
        <v>1906.6</v>
      </c>
      <c r="K165" s="264">
        <f>K166+K167</f>
        <v>2030</v>
      </c>
      <c r="L165" s="264">
        <v>1920.9</v>
      </c>
      <c r="M165" s="264">
        <v>0.4</v>
      </c>
      <c r="N165" s="264">
        <f>L165+M165</f>
        <v>1921.3000000000002</v>
      </c>
      <c r="O165" s="264"/>
      <c r="P165" s="264"/>
      <c r="Q165" s="264"/>
      <c r="R165" s="565" t="s">
        <v>107</v>
      </c>
    </row>
    <row r="166" spans="1:19" ht="108" customHeight="1">
      <c r="A166" s="648"/>
      <c r="B166" s="394"/>
      <c r="C166" s="442"/>
      <c r="D166" s="681" t="s">
        <v>33</v>
      </c>
      <c r="E166" s="240" t="s">
        <v>76</v>
      </c>
      <c r="F166" s="442" t="s">
        <v>210</v>
      </c>
      <c r="G166" s="394" t="s">
        <v>425</v>
      </c>
      <c r="H166" s="264">
        <f>I166+J166+K166</f>
        <v>1745.5</v>
      </c>
      <c r="I166" s="264">
        <f>573.9+0.4</f>
        <v>574.29999999999995</v>
      </c>
      <c r="J166" s="264">
        <v>566.6</v>
      </c>
      <c r="K166" s="264">
        <v>604.6</v>
      </c>
      <c r="L166" s="264">
        <v>573.9</v>
      </c>
      <c r="M166" s="264">
        <v>0.4</v>
      </c>
      <c r="N166" s="264">
        <f>L166+M166</f>
        <v>574.29999999999995</v>
      </c>
      <c r="O166" s="264"/>
      <c r="P166" s="264"/>
      <c r="Q166" s="264"/>
      <c r="R166" s="578"/>
    </row>
    <row r="167" spans="1:19" ht="55.5" hidden="1">
      <c r="A167" s="648"/>
      <c r="B167" s="394"/>
      <c r="C167" s="442"/>
      <c r="D167" s="681"/>
      <c r="E167" s="240" t="s">
        <v>78</v>
      </c>
      <c r="F167" s="442"/>
      <c r="G167" s="394"/>
      <c r="H167" s="264">
        <f>I167+J167+K167</f>
        <v>4112.3999999999996</v>
      </c>
      <c r="I167" s="264">
        <v>1347</v>
      </c>
      <c r="J167" s="264">
        <v>1340</v>
      </c>
      <c r="K167" s="264">
        <v>1425.4</v>
      </c>
      <c r="L167" s="264"/>
      <c r="M167" s="264"/>
      <c r="N167" s="264"/>
      <c r="O167" s="264"/>
      <c r="P167" s="264"/>
      <c r="Q167" s="264"/>
      <c r="R167" s="566"/>
    </row>
    <row r="168" spans="1:19" ht="138.75" hidden="1">
      <c r="A168" s="648"/>
      <c r="B168" s="394"/>
      <c r="C168" s="240" t="s">
        <v>237</v>
      </c>
      <c r="D168" s="243" t="s">
        <v>29</v>
      </c>
      <c r="E168" s="240" t="s">
        <v>77</v>
      </c>
      <c r="F168" s="245" t="s">
        <v>210</v>
      </c>
      <c r="G168" s="236" t="s">
        <v>425</v>
      </c>
      <c r="H168" s="264">
        <f>I168+J168+K168</f>
        <v>533.4</v>
      </c>
      <c r="I168" s="264">
        <v>120</v>
      </c>
      <c r="J168" s="264">
        <v>200</v>
      </c>
      <c r="K168" s="264">
        <v>213.4</v>
      </c>
      <c r="L168" s="264"/>
      <c r="M168" s="264"/>
      <c r="N168" s="264"/>
      <c r="O168" s="264"/>
      <c r="P168" s="264"/>
      <c r="Q168" s="264"/>
      <c r="R168" s="245" t="s">
        <v>108</v>
      </c>
    </row>
    <row r="169" spans="1:19" ht="27" customHeight="1">
      <c r="A169" s="648"/>
      <c r="B169" s="394"/>
      <c r="C169" s="518" t="s">
        <v>276</v>
      </c>
      <c r="D169" s="673" t="s">
        <v>354</v>
      </c>
      <c r="E169" s="673"/>
      <c r="F169" s="673"/>
      <c r="G169" s="673"/>
      <c r="H169" s="264">
        <f>H170+H171+H172</f>
        <v>11499.719000000001</v>
      </c>
      <c r="I169" s="264">
        <f>I170+I171+I172</f>
        <v>11499.719000000001</v>
      </c>
      <c r="J169" s="264">
        <f>J170+J171+J172</f>
        <v>0</v>
      </c>
      <c r="K169" s="264">
        <f>K170+K171+K172</f>
        <v>0</v>
      </c>
      <c r="L169" s="264"/>
      <c r="M169" s="264"/>
      <c r="N169" s="264"/>
      <c r="O169" s="264">
        <v>0</v>
      </c>
      <c r="P169" s="264">
        <f>Q169-O169</f>
        <v>7670.8</v>
      </c>
      <c r="Q169" s="264">
        <v>7670.8</v>
      </c>
      <c r="R169" s="395" t="s">
        <v>69</v>
      </c>
    </row>
    <row r="170" spans="1:19" ht="210.75" hidden="1" customHeight="1">
      <c r="A170" s="648"/>
      <c r="B170" s="394"/>
      <c r="C170" s="518"/>
      <c r="D170" s="681" t="s">
        <v>34</v>
      </c>
      <c r="E170" s="442" t="s">
        <v>210</v>
      </c>
      <c r="F170" s="683"/>
      <c r="G170" s="240" t="s">
        <v>99</v>
      </c>
      <c r="H170" s="264">
        <f>I170+J170+K170</f>
        <v>1490.1</v>
      </c>
      <c r="I170" s="264">
        <v>1490.1</v>
      </c>
      <c r="J170" s="279">
        <v>0</v>
      </c>
      <c r="K170" s="264">
        <v>0</v>
      </c>
      <c r="L170" s="264"/>
      <c r="M170" s="264"/>
      <c r="N170" s="264"/>
      <c r="O170" s="264"/>
      <c r="P170" s="264"/>
      <c r="Q170" s="264"/>
      <c r="R170" s="396"/>
    </row>
    <row r="171" spans="1:19" ht="340.5" customHeight="1">
      <c r="A171" s="648"/>
      <c r="B171" s="394"/>
      <c r="C171" s="518"/>
      <c r="D171" s="681"/>
      <c r="E171" s="442"/>
      <c r="F171" s="683"/>
      <c r="G171" s="240" t="s">
        <v>100</v>
      </c>
      <c r="H171" s="264">
        <f>I171+J171+K171</f>
        <v>6609.6190000000006</v>
      </c>
      <c r="I171" s="264">
        <f>4342.569+2267.05</f>
        <v>6609.6190000000006</v>
      </c>
      <c r="J171" s="279">
        <v>0</v>
      </c>
      <c r="K171" s="264">
        <v>0</v>
      </c>
      <c r="L171" s="264"/>
      <c r="M171" s="264"/>
      <c r="N171" s="264"/>
      <c r="O171" s="264">
        <v>0</v>
      </c>
      <c r="P171" s="264">
        <v>7670.8</v>
      </c>
      <c r="Q171" s="264">
        <v>7670.8</v>
      </c>
      <c r="R171" s="396"/>
    </row>
    <row r="172" spans="1:19" ht="83.25" hidden="1">
      <c r="A172" s="648"/>
      <c r="B172" s="394"/>
      <c r="C172" s="518"/>
      <c r="D172" s="681"/>
      <c r="E172" s="442"/>
      <c r="F172" s="683"/>
      <c r="G172" s="240" t="s">
        <v>427</v>
      </c>
      <c r="H172" s="264">
        <f>I172+J172+K172</f>
        <v>3400</v>
      </c>
      <c r="I172" s="264">
        <f>1600+800+1000</f>
        <v>3400</v>
      </c>
      <c r="J172" s="264">
        <v>0</v>
      </c>
      <c r="K172" s="264">
        <v>0</v>
      </c>
      <c r="L172" s="264"/>
      <c r="M172" s="264"/>
      <c r="N172" s="264"/>
      <c r="O172" s="264"/>
      <c r="P172" s="264"/>
      <c r="Q172" s="264"/>
      <c r="R172" s="397"/>
    </row>
    <row r="173" spans="1:19" ht="210.75" hidden="1" customHeight="1">
      <c r="A173" s="648"/>
      <c r="B173" s="394"/>
      <c r="C173" s="442" t="s">
        <v>277</v>
      </c>
      <c r="D173" s="645" t="s">
        <v>355</v>
      </c>
      <c r="E173" s="646"/>
      <c r="F173" s="646"/>
      <c r="G173" s="647"/>
      <c r="H173" s="264">
        <f>SUM(H174:H178)</f>
        <v>2915.16</v>
      </c>
      <c r="I173" s="264">
        <f>SUM(I174:I178)</f>
        <v>789.51</v>
      </c>
      <c r="J173" s="264">
        <f>SUM(J174:J178)</f>
        <v>1030.3</v>
      </c>
      <c r="K173" s="264">
        <f>SUM(K174:K178)</f>
        <v>1095.3499999999999</v>
      </c>
      <c r="L173" s="264"/>
      <c r="M173" s="264"/>
      <c r="N173" s="264"/>
      <c r="O173" s="264"/>
      <c r="P173" s="264"/>
      <c r="Q173" s="264"/>
      <c r="R173" s="565" t="s">
        <v>51</v>
      </c>
    </row>
    <row r="174" spans="1:19" s="259" customFormat="1" ht="83.25" hidden="1">
      <c r="A174" s="648"/>
      <c r="B174" s="394"/>
      <c r="C174" s="442"/>
      <c r="D174" s="684" t="s">
        <v>29</v>
      </c>
      <c r="E174" s="394" t="s">
        <v>82</v>
      </c>
      <c r="F174" s="442" t="s">
        <v>17</v>
      </c>
      <c r="G174" s="240" t="s">
        <v>425</v>
      </c>
      <c r="H174" s="264">
        <f>I174+J174+K174</f>
        <v>1045.1100000000001</v>
      </c>
      <c r="I174" s="264">
        <f>307.81</f>
        <v>307.81</v>
      </c>
      <c r="J174" s="264">
        <v>356.7</v>
      </c>
      <c r="K174" s="264">
        <v>380.6</v>
      </c>
      <c r="L174" s="264"/>
      <c r="M174" s="264"/>
      <c r="N174" s="264"/>
      <c r="O174" s="264"/>
      <c r="P174" s="264"/>
      <c r="Q174" s="264"/>
      <c r="R174" s="578"/>
      <c r="S174" s="263"/>
    </row>
    <row r="175" spans="1:19" s="259" customFormat="1" ht="210.75" hidden="1" customHeight="1">
      <c r="A175" s="648"/>
      <c r="B175" s="394"/>
      <c r="C175" s="442"/>
      <c r="D175" s="685"/>
      <c r="E175" s="394"/>
      <c r="F175" s="442"/>
      <c r="G175" s="240" t="s">
        <v>99</v>
      </c>
      <c r="H175" s="264">
        <f>I175+J175+K175</f>
        <v>0.6</v>
      </c>
      <c r="I175" s="264">
        <v>0.6</v>
      </c>
      <c r="J175" s="264"/>
      <c r="K175" s="264"/>
      <c r="L175" s="264"/>
      <c r="M175" s="264"/>
      <c r="N175" s="264"/>
      <c r="O175" s="264"/>
      <c r="P175" s="264"/>
      <c r="Q175" s="264"/>
      <c r="R175" s="578"/>
      <c r="S175" s="263"/>
    </row>
    <row r="176" spans="1:19" s="259" customFormat="1" ht="27.75" hidden="1">
      <c r="A176" s="648"/>
      <c r="B176" s="394"/>
      <c r="C176" s="442"/>
      <c r="D176" s="287" t="s">
        <v>29</v>
      </c>
      <c r="E176" s="240" t="s">
        <v>76</v>
      </c>
      <c r="F176" s="442"/>
      <c r="G176" s="394" t="s">
        <v>425</v>
      </c>
      <c r="H176" s="264">
        <f>I176+J176+K176</f>
        <v>1126.2</v>
      </c>
      <c r="I176" s="264">
        <f>384-96</f>
        <v>288</v>
      </c>
      <c r="J176" s="264">
        <v>405.5</v>
      </c>
      <c r="K176" s="264">
        <v>432.7</v>
      </c>
      <c r="L176" s="264"/>
      <c r="M176" s="264"/>
      <c r="N176" s="264"/>
      <c r="O176" s="264"/>
      <c r="P176" s="264"/>
      <c r="Q176" s="264"/>
      <c r="R176" s="578"/>
      <c r="S176" s="263"/>
    </row>
    <row r="177" spans="1:19" s="259" customFormat="1" ht="27.75" hidden="1">
      <c r="A177" s="648"/>
      <c r="B177" s="394"/>
      <c r="C177" s="442"/>
      <c r="D177" s="287" t="s">
        <v>29</v>
      </c>
      <c r="E177" s="240" t="s">
        <v>77</v>
      </c>
      <c r="F177" s="442"/>
      <c r="G177" s="394"/>
      <c r="H177" s="264">
        <f>I177+J177+K177</f>
        <v>689.05</v>
      </c>
      <c r="I177" s="264">
        <f>193.3-17</f>
        <v>176.3</v>
      </c>
      <c r="J177" s="264">
        <v>250</v>
      </c>
      <c r="K177" s="264">
        <f>J177*1.051</f>
        <v>262.75</v>
      </c>
      <c r="L177" s="264"/>
      <c r="M177" s="264"/>
      <c r="N177" s="264"/>
      <c r="O177" s="264"/>
      <c r="P177" s="264"/>
      <c r="Q177" s="264"/>
      <c r="R177" s="578"/>
      <c r="S177" s="263"/>
    </row>
    <row r="178" spans="1:19" s="259" customFormat="1" ht="55.5" hidden="1">
      <c r="A178" s="648"/>
      <c r="B178" s="394"/>
      <c r="C178" s="442"/>
      <c r="D178" s="287" t="s">
        <v>29</v>
      </c>
      <c r="E178" s="240" t="s">
        <v>75</v>
      </c>
      <c r="F178" s="442"/>
      <c r="G178" s="394"/>
      <c r="H178" s="264">
        <f>I178+J178+K178</f>
        <v>54.2</v>
      </c>
      <c r="I178" s="264">
        <v>16.8</v>
      </c>
      <c r="J178" s="264">
        <v>18.100000000000001</v>
      </c>
      <c r="K178" s="264">
        <v>19.3</v>
      </c>
      <c r="L178" s="264"/>
      <c r="M178" s="264"/>
      <c r="N178" s="264"/>
      <c r="O178" s="264"/>
      <c r="P178" s="264"/>
      <c r="Q178" s="264"/>
      <c r="R178" s="566"/>
      <c r="S178" s="263"/>
    </row>
    <row r="179" spans="1:19" ht="45" customHeight="1">
      <c r="A179" s="649" t="s">
        <v>66</v>
      </c>
      <c r="B179" s="650"/>
      <c r="C179" s="650"/>
      <c r="D179" s="650"/>
      <c r="E179" s="650"/>
      <c r="F179" s="651"/>
      <c r="G179" s="240"/>
      <c r="H179" s="264">
        <f>H153+H156+H159+H160+H164+H165+H168+H169+H173</f>
        <v>66024.631300000008</v>
      </c>
      <c r="I179" s="264">
        <f>I153+I156+I159+I160+I164+I165+I168+I169+I173</f>
        <v>29168.828999999998</v>
      </c>
      <c r="J179" s="264">
        <f>J153+J156+J159+J160+J164+J165+J168+J169+J173</f>
        <v>17837.599999999999</v>
      </c>
      <c r="K179" s="264">
        <f>K153+K156+K159+K160+K164+K165+K168+K169+K173</f>
        <v>19018.202300000001</v>
      </c>
      <c r="L179" s="264">
        <v>29168.400000000001</v>
      </c>
      <c r="M179" s="264">
        <f>N179-L179</f>
        <v>0.39999999999781721</v>
      </c>
      <c r="N179" s="264">
        <v>29168.799999999999</v>
      </c>
      <c r="O179" s="264">
        <v>17837.599999999999</v>
      </c>
      <c r="P179" s="264">
        <f>Q179-O179</f>
        <v>7670.8000000000029</v>
      </c>
      <c r="Q179" s="264">
        <v>25508.400000000001</v>
      </c>
      <c r="R179" s="395"/>
    </row>
    <row r="180" spans="1:19" s="259" customFormat="1" ht="210.75" hidden="1" customHeight="1">
      <c r="A180" s="652" t="s">
        <v>18</v>
      </c>
      <c r="B180" s="652"/>
      <c r="D180" s="254"/>
      <c r="E180" s="254"/>
      <c r="F180" s="288"/>
      <c r="G180" s="137" t="s">
        <v>425</v>
      </c>
      <c r="H180" s="269">
        <f>H154+H155+H157+H158+H159+H161+H162+H163+H164+H166+H167+H168+H172+H174+H176+H177+H178</f>
        <v>57924.312299999998</v>
      </c>
      <c r="I180" s="269">
        <f>I154+I155+I157+I158+I159+I161+I162+I163+I164+I166+I167+I168+I172+I174+I176+I177+I178</f>
        <v>21068.51</v>
      </c>
      <c r="J180" s="269">
        <f>J154+J155+J157+J158+J159+J161+J162+J163+J164+J166+J167+J168+J172+J174+J176+J177+J178</f>
        <v>17837.600000000002</v>
      </c>
      <c r="K180" s="269">
        <f>K154+K155+K157+K158+K159+K161+K162+K163+K164+K166+K167+K168+K172+K174+K176+K177+K178</f>
        <v>19018.202300000001</v>
      </c>
      <c r="L180" s="269"/>
      <c r="M180" s="269"/>
      <c r="N180" s="269"/>
      <c r="O180" s="269"/>
      <c r="P180" s="269"/>
      <c r="Q180" s="269"/>
      <c r="R180" s="396"/>
      <c r="S180" s="263"/>
    </row>
    <row r="181" spans="1:19" s="259" customFormat="1" ht="222" hidden="1">
      <c r="A181" s="254"/>
      <c r="B181" s="254"/>
      <c r="C181" s="254"/>
      <c r="D181" s="254"/>
      <c r="E181" s="254"/>
      <c r="F181" s="254"/>
      <c r="G181" s="236" t="s">
        <v>99</v>
      </c>
      <c r="H181" s="270">
        <f>H175+H170</f>
        <v>1490.6999999999998</v>
      </c>
      <c r="I181" s="270">
        <f>I175+I170</f>
        <v>1490.6999999999998</v>
      </c>
      <c r="J181" s="270">
        <f>J175+J170</f>
        <v>0</v>
      </c>
      <c r="K181" s="270">
        <f>K175+K170</f>
        <v>0</v>
      </c>
      <c r="L181" s="269"/>
      <c r="M181" s="269"/>
      <c r="N181" s="269"/>
      <c r="O181" s="269"/>
      <c r="P181" s="269"/>
      <c r="Q181" s="269"/>
      <c r="R181" s="396"/>
      <c r="S181" s="263"/>
    </row>
    <row r="182" spans="1:19" s="259" customFormat="1" ht="277.5" hidden="1">
      <c r="A182" s="254"/>
      <c r="B182" s="254"/>
      <c r="C182" s="254"/>
      <c r="D182" s="254"/>
      <c r="E182" s="254"/>
      <c r="F182" s="254"/>
      <c r="G182" s="240" t="s">
        <v>100</v>
      </c>
      <c r="H182" s="270">
        <f>H171</f>
        <v>6609.6190000000006</v>
      </c>
      <c r="I182" s="270">
        <f>I171</f>
        <v>6609.6190000000006</v>
      </c>
      <c r="J182" s="270">
        <f>J171</f>
        <v>0</v>
      </c>
      <c r="K182" s="270">
        <f>K171</f>
        <v>0</v>
      </c>
      <c r="L182" s="289"/>
      <c r="M182" s="289"/>
      <c r="N182" s="289"/>
      <c r="O182" s="289"/>
      <c r="P182" s="289"/>
      <c r="Q182" s="289"/>
      <c r="R182" s="396"/>
      <c r="S182" s="263"/>
    </row>
    <row r="183" spans="1:19" s="259" customFormat="1" ht="27.75" hidden="1">
      <c r="A183" s="394" t="s">
        <v>278</v>
      </c>
      <c r="B183" s="394"/>
      <c r="C183" s="394"/>
      <c r="D183" s="394"/>
      <c r="E183" s="394" t="s">
        <v>82</v>
      </c>
      <c r="F183" s="394"/>
      <c r="G183" s="275" t="s">
        <v>98</v>
      </c>
      <c r="H183" s="269">
        <f>SUM(H184:H185)</f>
        <v>1045.71</v>
      </c>
      <c r="I183" s="269">
        <f>SUM(I184:I185)</f>
        <v>308.41000000000003</v>
      </c>
      <c r="J183" s="269">
        <f>SUM(J184:J185)</f>
        <v>356.7</v>
      </c>
      <c r="K183" s="269">
        <f>SUM(K184:K185)</f>
        <v>380.6</v>
      </c>
      <c r="L183" s="289"/>
      <c r="M183" s="289"/>
      <c r="N183" s="289"/>
      <c r="O183" s="289"/>
      <c r="P183" s="289"/>
      <c r="Q183" s="289"/>
      <c r="R183" s="396"/>
      <c r="S183" s="263"/>
    </row>
    <row r="184" spans="1:19" s="259" customFormat="1" ht="222" hidden="1">
      <c r="A184" s="394"/>
      <c r="B184" s="394"/>
      <c r="C184" s="394"/>
      <c r="D184" s="394"/>
      <c r="E184" s="394"/>
      <c r="F184" s="394"/>
      <c r="G184" s="240" t="s">
        <v>99</v>
      </c>
      <c r="H184" s="269">
        <f>H175</f>
        <v>0.6</v>
      </c>
      <c r="I184" s="269">
        <f>I175</f>
        <v>0.6</v>
      </c>
      <c r="J184" s="269">
        <f>J175</f>
        <v>0</v>
      </c>
      <c r="K184" s="269">
        <f>K175</f>
        <v>0</v>
      </c>
      <c r="L184" s="289"/>
      <c r="M184" s="289"/>
      <c r="N184" s="289"/>
      <c r="O184" s="289"/>
      <c r="P184" s="289"/>
      <c r="Q184" s="289"/>
      <c r="R184" s="396"/>
      <c r="S184" s="263"/>
    </row>
    <row r="185" spans="1:19" s="259" customFormat="1" ht="210.75" hidden="1" customHeight="1">
      <c r="A185" s="394"/>
      <c r="B185" s="394"/>
      <c r="C185" s="394"/>
      <c r="D185" s="394"/>
      <c r="E185" s="394"/>
      <c r="F185" s="394"/>
      <c r="G185" s="240" t="s">
        <v>425</v>
      </c>
      <c r="H185" s="269">
        <f>H174</f>
        <v>1045.1100000000001</v>
      </c>
      <c r="I185" s="269">
        <f>I174</f>
        <v>307.81</v>
      </c>
      <c r="J185" s="269">
        <f>J174</f>
        <v>356.7</v>
      </c>
      <c r="K185" s="269">
        <f>K174</f>
        <v>380.6</v>
      </c>
      <c r="L185" s="289"/>
      <c r="M185" s="289"/>
      <c r="N185" s="289"/>
      <c r="O185" s="289"/>
      <c r="P185" s="289"/>
      <c r="Q185" s="289"/>
      <c r="R185" s="396"/>
      <c r="S185" s="263"/>
    </row>
    <row r="186" spans="1:19" ht="27.75" hidden="1">
      <c r="A186" s="394"/>
      <c r="B186" s="394"/>
      <c r="C186" s="394"/>
      <c r="D186" s="394"/>
      <c r="E186" s="394" t="s">
        <v>76</v>
      </c>
      <c r="F186" s="394"/>
      <c r="G186" s="395" t="s">
        <v>425</v>
      </c>
      <c r="H186" s="269">
        <f>H176+H166</f>
        <v>2871.7</v>
      </c>
      <c r="I186" s="269">
        <f>I176+I166</f>
        <v>862.3</v>
      </c>
      <c r="J186" s="269">
        <f>J176+J166</f>
        <v>972.1</v>
      </c>
      <c r="K186" s="269">
        <f>K176+K166</f>
        <v>1037.3</v>
      </c>
      <c r="L186" s="289"/>
      <c r="M186" s="289"/>
      <c r="N186" s="289"/>
      <c r="O186" s="289"/>
      <c r="P186" s="289"/>
      <c r="Q186" s="289"/>
      <c r="R186" s="396"/>
      <c r="S186" s="277"/>
    </row>
    <row r="187" spans="1:19" ht="27.75" hidden="1">
      <c r="A187" s="394"/>
      <c r="B187" s="394"/>
      <c r="C187" s="394"/>
      <c r="D187" s="394"/>
      <c r="E187" s="394" t="s">
        <v>77</v>
      </c>
      <c r="F187" s="394"/>
      <c r="G187" s="396"/>
      <c r="H187" s="269">
        <f>H177+H168</f>
        <v>1222.4499999999998</v>
      </c>
      <c r="I187" s="269">
        <f>I177+I168</f>
        <v>296.3</v>
      </c>
      <c r="J187" s="269">
        <f>J177+J168</f>
        <v>450</v>
      </c>
      <c r="K187" s="269">
        <f>K177+K168</f>
        <v>476.15</v>
      </c>
      <c r="L187" s="289"/>
      <c r="M187" s="289"/>
      <c r="N187" s="289"/>
      <c r="O187" s="289"/>
      <c r="P187" s="289"/>
      <c r="Q187" s="289"/>
      <c r="R187" s="396"/>
      <c r="S187" s="277"/>
    </row>
    <row r="188" spans="1:19" ht="27.75" hidden="1">
      <c r="A188" s="394"/>
      <c r="B188" s="394"/>
      <c r="C188" s="394"/>
      <c r="D188" s="394"/>
      <c r="E188" s="394" t="s">
        <v>75</v>
      </c>
      <c r="F188" s="394"/>
      <c r="G188" s="396"/>
      <c r="H188" s="269">
        <f>H178+H164+H161+H159</f>
        <v>5274.7</v>
      </c>
      <c r="I188" s="269">
        <f>I178+I164+I161+I159</f>
        <v>2136.8000000000002</v>
      </c>
      <c r="J188" s="269">
        <f>J178+J164+J161+J159</f>
        <v>1518.1</v>
      </c>
      <c r="K188" s="269">
        <f>K178+K164+K161+K159</f>
        <v>1619.8</v>
      </c>
      <c r="L188" s="289"/>
      <c r="M188" s="289"/>
      <c r="N188" s="289"/>
      <c r="O188" s="289"/>
      <c r="P188" s="289"/>
      <c r="Q188" s="289"/>
      <c r="R188" s="396"/>
      <c r="S188" s="277"/>
    </row>
    <row r="189" spans="1:19" ht="27.75" hidden="1">
      <c r="A189" s="394"/>
      <c r="B189" s="394"/>
      <c r="C189" s="394"/>
      <c r="D189" s="394"/>
      <c r="E189" s="658" t="s">
        <v>78</v>
      </c>
      <c r="F189" s="660"/>
      <c r="G189" s="396"/>
      <c r="H189" s="269">
        <f>H167</f>
        <v>4112.3999999999996</v>
      </c>
      <c r="I189" s="269">
        <f>I167</f>
        <v>1347</v>
      </c>
      <c r="J189" s="269">
        <f>J167</f>
        <v>1340</v>
      </c>
      <c r="K189" s="269">
        <f>K167</f>
        <v>1425.4</v>
      </c>
      <c r="L189" s="289"/>
      <c r="M189" s="289"/>
      <c r="N189" s="289"/>
      <c r="O189" s="289"/>
      <c r="P189" s="289"/>
      <c r="Q189" s="289"/>
      <c r="R189" s="396"/>
      <c r="S189" s="277"/>
    </row>
    <row r="190" spans="1:19" ht="27.75" hidden="1">
      <c r="A190" s="394"/>
      <c r="B190" s="394"/>
      <c r="C190" s="394"/>
      <c r="D190" s="394"/>
      <c r="E190" s="394" t="s">
        <v>80</v>
      </c>
      <c r="F190" s="394"/>
      <c r="G190" s="396"/>
      <c r="H190" s="269">
        <f t="shared" ref="H190:K191" si="12">H154+H157+H162</f>
        <v>18488.400000000001</v>
      </c>
      <c r="I190" s="269">
        <f t="shared" si="12"/>
        <v>5852</v>
      </c>
      <c r="J190" s="269">
        <f t="shared" si="12"/>
        <v>6113.4</v>
      </c>
      <c r="K190" s="269">
        <f t="shared" si="12"/>
        <v>6523</v>
      </c>
      <c r="L190" s="289"/>
      <c r="M190" s="289"/>
      <c r="N190" s="289"/>
      <c r="O190" s="289"/>
      <c r="P190" s="289"/>
      <c r="Q190" s="289"/>
      <c r="R190" s="396"/>
      <c r="S190" s="277"/>
    </row>
    <row r="191" spans="1:19" ht="27.75" hidden="1">
      <c r="A191" s="394"/>
      <c r="B191" s="394"/>
      <c r="C191" s="394"/>
      <c r="D191" s="394"/>
      <c r="E191" s="394" t="s">
        <v>81</v>
      </c>
      <c r="F191" s="394"/>
      <c r="G191" s="397"/>
      <c r="H191" s="269">
        <f t="shared" si="12"/>
        <v>21509.552300000003</v>
      </c>
      <c r="I191" s="269">
        <f t="shared" si="12"/>
        <v>6866.2999999999993</v>
      </c>
      <c r="J191" s="269">
        <f t="shared" si="12"/>
        <v>7087.3</v>
      </c>
      <c r="K191" s="269">
        <f t="shared" si="12"/>
        <v>7555.952299999999</v>
      </c>
      <c r="L191" s="289"/>
      <c r="M191" s="289"/>
      <c r="N191" s="289"/>
      <c r="O191" s="289"/>
      <c r="P191" s="289"/>
      <c r="Q191" s="289"/>
      <c r="R191" s="396"/>
      <c r="S191" s="277"/>
    </row>
    <row r="192" spans="1:19" ht="27.75" hidden="1">
      <c r="A192" s="394"/>
      <c r="B192" s="394"/>
      <c r="C192" s="394"/>
      <c r="D192" s="394"/>
      <c r="E192" s="394" t="s">
        <v>54</v>
      </c>
      <c r="F192" s="394"/>
      <c r="G192" s="275" t="s">
        <v>98</v>
      </c>
      <c r="H192" s="264">
        <f>SUM(H193:H195)</f>
        <v>11499.719000000001</v>
      </c>
      <c r="I192" s="264">
        <f>SUM(I193:I195)</f>
        <v>11499.719000000001</v>
      </c>
      <c r="J192" s="264">
        <f>SUM(J193:J195)</f>
        <v>0</v>
      </c>
      <c r="K192" s="264">
        <f>SUM(K193:K195)</f>
        <v>0</v>
      </c>
      <c r="L192" s="267"/>
      <c r="M192" s="267"/>
      <c r="N192" s="267"/>
      <c r="O192" s="267"/>
      <c r="P192" s="267"/>
      <c r="Q192" s="267"/>
      <c r="R192" s="396"/>
      <c r="S192" s="277"/>
    </row>
    <row r="193" spans="1:19" ht="222" hidden="1">
      <c r="A193" s="394"/>
      <c r="B193" s="394"/>
      <c r="C193" s="394"/>
      <c r="D193" s="394"/>
      <c r="E193" s="394"/>
      <c r="F193" s="394"/>
      <c r="G193" s="240" t="s">
        <v>99</v>
      </c>
      <c r="H193" s="264">
        <f>H170</f>
        <v>1490.1</v>
      </c>
      <c r="I193" s="264">
        <f>I170</f>
        <v>1490.1</v>
      </c>
      <c r="J193" s="264">
        <f>J170</f>
        <v>0</v>
      </c>
      <c r="K193" s="264">
        <f>K170</f>
        <v>0</v>
      </c>
      <c r="L193" s="267"/>
      <c r="M193" s="267"/>
      <c r="N193" s="267"/>
      <c r="O193" s="267"/>
      <c r="P193" s="267"/>
      <c r="Q193" s="267"/>
      <c r="R193" s="396"/>
      <c r="S193" s="277"/>
    </row>
    <row r="194" spans="1:19" ht="277.5" hidden="1">
      <c r="A194" s="394"/>
      <c r="B194" s="394"/>
      <c r="C194" s="394"/>
      <c r="D194" s="394"/>
      <c r="E194" s="394"/>
      <c r="F194" s="394"/>
      <c r="G194" s="240" t="s">
        <v>100</v>
      </c>
      <c r="H194" s="264">
        <f>H171</f>
        <v>6609.6190000000006</v>
      </c>
      <c r="I194" s="264">
        <f t="shared" ref="I194:K195" si="13">I171</f>
        <v>6609.6190000000006</v>
      </c>
      <c r="J194" s="264">
        <f t="shared" si="13"/>
        <v>0</v>
      </c>
      <c r="K194" s="264">
        <f t="shared" si="13"/>
        <v>0</v>
      </c>
      <c r="L194" s="267"/>
      <c r="M194" s="267"/>
      <c r="N194" s="267"/>
      <c r="O194" s="267"/>
      <c r="P194" s="267"/>
      <c r="Q194" s="267"/>
      <c r="R194" s="396"/>
      <c r="S194" s="277"/>
    </row>
    <row r="195" spans="1:19" ht="210.75" hidden="1" customHeight="1">
      <c r="A195" s="394"/>
      <c r="B195" s="394"/>
      <c r="C195" s="394"/>
      <c r="D195" s="394"/>
      <c r="E195" s="394"/>
      <c r="F195" s="394"/>
      <c r="G195" s="240" t="s">
        <v>427</v>
      </c>
      <c r="H195" s="264">
        <f>H172</f>
        <v>3400</v>
      </c>
      <c r="I195" s="264">
        <f t="shared" si="13"/>
        <v>3400</v>
      </c>
      <c r="J195" s="264">
        <f t="shared" si="13"/>
        <v>0</v>
      </c>
      <c r="K195" s="264">
        <f t="shared" si="13"/>
        <v>0</v>
      </c>
      <c r="L195" s="268"/>
      <c r="M195" s="268"/>
      <c r="N195" s="268"/>
      <c r="O195" s="268"/>
      <c r="P195" s="268"/>
      <c r="Q195" s="268"/>
      <c r="R195" s="397"/>
      <c r="S195" s="277"/>
    </row>
    <row r="196" spans="1:19" ht="27.75">
      <c r="A196" s="645" t="s">
        <v>393</v>
      </c>
      <c r="B196" s="646"/>
      <c r="C196" s="646"/>
      <c r="D196" s="646"/>
      <c r="E196" s="646"/>
      <c r="F196" s="646"/>
      <c r="G196" s="646"/>
      <c r="H196" s="646"/>
      <c r="I196" s="646"/>
      <c r="J196" s="646"/>
      <c r="K196" s="646"/>
      <c r="L196" s="646"/>
      <c r="M196" s="646"/>
      <c r="N196" s="646"/>
      <c r="O196" s="646"/>
      <c r="P196" s="646"/>
      <c r="Q196" s="646"/>
      <c r="R196" s="647"/>
    </row>
    <row r="197" spans="1:19" ht="138.75" hidden="1">
      <c r="A197" s="676" t="s">
        <v>238</v>
      </c>
      <c r="B197" s="395" t="s">
        <v>213</v>
      </c>
      <c r="C197" s="240" t="s">
        <v>239</v>
      </c>
      <c r="D197" s="247" t="s">
        <v>33</v>
      </c>
      <c r="E197" s="163" t="s">
        <v>54</v>
      </c>
      <c r="F197" s="246"/>
      <c r="G197" s="238" t="s">
        <v>426</v>
      </c>
      <c r="H197" s="268">
        <f>I197+J197+K197</f>
        <v>0</v>
      </c>
      <c r="I197" s="268"/>
      <c r="J197" s="268"/>
      <c r="K197" s="268"/>
      <c r="L197" s="267"/>
      <c r="M197" s="267"/>
      <c r="N197" s="267"/>
      <c r="O197" s="267"/>
      <c r="P197" s="267"/>
      <c r="Q197" s="267"/>
      <c r="R197" s="236" t="s">
        <v>327</v>
      </c>
    </row>
    <row r="198" spans="1:19" ht="138.75" hidden="1">
      <c r="A198" s="678"/>
      <c r="B198" s="397"/>
      <c r="C198" s="240" t="s">
        <v>323</v>
      </c>
      <c r="D198" s="247" t="s">
        <v>33</v>
      </c>
      <c r="E198" s="163" t="s">
        <v>54</v>
      </c>
      <c r="F198" s="241"/>
      <c r="G198" s="238" t="s">
        <v>426</v>
      </c>
      <c r="H198" s="268">
        <f>I198+J198+K198</f>
        <v>0</v>
      </c>
      <c r="I198" s="268">
        <v>0</v>
      </c>
      <c r="J198" s="264"/>
      <c r="K198" s="264"/>
      <c r="L198" s="265"/>
      <c r="M198" s="265"/>
      <c r="N198" s="265"/>
      <c r="O198" s="265"/>
      <c r="P198" s="265"/>
      <c r="Q198" s="265"/>
      <c r="R198" s="236" t="s">
        <v>324</v>
      </c>
    </row>
    <row r="199" spans="1:19" ht="83.25" hidden="1">
      <c r="A199" s="290"/>
      <c r="B199" s="658"/>
      <c r="C199" s="659"/>
      <c r="D199" s="660"/>
      <c r="E199" s="240" t="s">
        <v>358</v>
      </c>
      <c r="F199" s="291"/>
      <c r="G199" s="238" t="s">
        <v>426</v>
      </c>
      <c r="H199" s="268">
        <f>H197+H198</f>
        <v>0</v>
      </c>
      <c r="I199" s="268">
        <f>I197+I198</f>
        <v>0</v>
      </c>
      <c r="J199" s="268">
        <f>J197+J198</f>
        <v>0</v>
      </c>
      <c r="K199" s="268">
        <f>K197+K198</f>
        <v>0</v>
      </c>
      <c r="L199" s="267"/>
      <c r="M199" s="267"/>
      <c r="N199" s="267"/>
      <c r="O199" s="267"/>
      <c r="P199" s="267"/>
      <c r="Q199" s="267"/>
      <c r="R199" s="236"/>
    </row>
    <row r="200" spans="1:19" ht="222" hidden="1">
      <c r="A200" s="292" t="s">
        <v>240</v>
      </c>
      <c r="B200" s="247" t="s">
        <v>214</v>
      </c>
      <c r="C200" s="33" t="s">
        <v>242</v>
      </c>
      <c r="D200" s="243" t="s">
        <v>32</v>
      </c>
      <c r="E200" s="241" t="s">
        <v>17</v>
      </c>
      <c r="F200" s="282"/>
      <c r="G200" s="240" t="s">
        <v>425</v>
      </c>
      <c r="H200" s="268">
        <f>I200+J200+K200</f>
        <v>8931.2000000000007</v>
      </c>
      <c r="I200" s="264">
        <v>2894.2</v>
      </c>
      <c r="J200" s="264">
        <v>3049.3</v>
      </c>
      <c r="K200" s="264">
        <f>2931+56.7</f>
        <v>2987.7</v>
      </c>
      <c r="L200" s="265"/>
      <c r="M200" s="265"/>
      <c r="N200" s="265"/>
      <c r="O200" s="265"/>
      <c r="P200" s="265"/>
      <c r="Q200" s="265"/>
      <c r="R200" s="236" t="s">
        <v>70</v>
      </c>
    </row>
    <row r="201" spans="1:19" ht="138.75" hidden="1">
      <c r="A201" s="648" t="s">
        <v>241</v>
      </c>
      <c r="B201" s="394" t="s">
        <v>94</v>
      </c>
      <c r="C201" s="240" t="s">
        <v>243</v>
      </c>
      <c r="D201" s="243" t="s">
        <v>33</v>
      </c>
      <c r="E201" s="240" t="s">
        <v>54</v>
      </c>
      <c r="F201" s="241"/>
      <c r="G201" s="240" t="s">
        <v>425</v>
      </c>
      <c r="H201" s="293">
        <f>I201+J201+K201</f>
        <v>13488</v>
      </c>
      <c r="I201" s="264">
        <f>15739-1800-2951</f>
        <v>10988</v>
      </c>
      <c r="J201" s="264">
        <v>2500</v>
      </c>
      <c r="K201" s="264">
        <v>0</v>
      </c>
      <c r="L201" s="265"/>
      <c r="M201" s="265"/>
      <c r="N201" s="265"/>
      <c r="O201" s="265"/>
      <c r="P201" s="265"/>
      <c r="Q201" s="265"/>
      <c r="R201" s="236" t="s">
        <v>357</v>
      </c>
    </row>
    <row r="202" spans="1:19" ht="281.25" customHeight="1">
      <c r="A202" s="648"/>
      <c r="B202" s="394"/>
      <c r="C202" s="394" t="s">
        <v>244</v>
      </c>
      <c r="D202" s="673" t="s">
        <v>356</v>
      </c>
      <c r="E202" s="673"/>
      <c r="F202" s="673"/>
      <c r="G202" s="673"/>
      <c r="H202" s="294">
        <f>H203+H204</f>
        <v>8346.89</v>
      </c>
      <c r="I202" s="264">
        <f>I203+I204</f>
        <v>8346.89</v>
      </c>
      <c r="J202" s="264">
        <f>J203+J204</f>
        <v>0</v>
      </c>
      <c r="K202" s="264">
        <f>K203+K204</f>
        <v>0</v>
      </c>
      <c r="L202" s="264">
        <v>8346.9</v>
      </c>
      <c r="M202" s="264">
        <f>N202-L202</f>
        <v>912.10000000000036</v>
      </c>
      <c r="N202" s="264">
        <v>9259</v>
      </c>
      <c r="O202" s="264"/>
      <c r="P202" s="264"/>
      <c r="Q202" s="264"/>
      <c r="R202" s="395" t="s">
        <v>65</v>
      </c>
      <c r="S202" s="278"/>
    </row>
    <row r="203" spans="1:19" ht="210.75" hidden="1" customHeight="1">
      <c r="A203" s="648"/>
      <c r="B203" s="394"/>
      <c r="C203" s="394"/>
      <c r="D203" s="266" t="s">
        <v>36</v>
      </c>
      <c r="E203" s="240" t="s">
        <v>80</v>
      </c>
      <c r="F203" s="240" t="s">
        <v>17</v>
      </c>
      <c r="G203" s="240" t="s">
        <v>100</v>
      </c>
      <c r="H203" s="294">
        <f t="shared" ref="H203:H210" si="14">I203+J203+K203</f>
        <v>2.5</v>
      </c>
      <c r="I203" s="264">
        <v>2.5</v>
      </c>
      <c r="J203" s="264"/>
      <c r="K203" s="264"/>
      <c r="L203" s="264"/>
      <c r="M203" s="264"/>
      <c r="N203" s="264"/>
      <c r="O203" s="264"/>
      <c r="P203" s="264"/>
      <c r="Q203" s="264"/>
      <c r="R203" s="396"/>
    </row>
    <row r="204" spans="1:19" ht="210.75" hidden="1" customHeight="1">
      <c r="A204" s="648"/>
      <c r="B204" s="394"/>
      <c r="C204" s="394"/>
      <c r="D204" s="682" t="s">
        <v>98</v>
      </c>
      <c r="E204" s="682"/>
      <c r="F204" s="682"/>
      <c r="G204" s="682"/>
      <c r="H204" s="294">
        <f>H205+H206+H208+H209+H210+H207</f>
        <v>8344.39</v>
      </c>
      <c r="I204" s="264">
        <f>I205+I206+I208+I209+I210+I207</f>
        <v>8344.39</v>
      </c>
      <c r="J204" s="264">
        <f>J205+J206+J208+J209+J210</f>
        <v>0</v>
      </c>
      <c r="K204" s="264">
        <f>K205+K206+K208+K209+K210</f>
        <v>0</v>
      </c>
      <c r="L204" s="267"/>
      <c r="M204" s="267"/>
      <c r="N204" s="267"/>
      <c r="O204" s="267"/>
      <c r="P204" s="267"/>
      <c r="Q204" s="267"/>
      <c r="R204" s="396"/>
    </row>
    <row r="205" spans="1:19" ht="55.5" hidden="1">
      <c r="A205" s="648"/>
      <c r="B205" s="394"/>
      <c r="C205" s="394"/>
      <c r="D205" s="266" t="s">
        <v>36</v>
      </c>
      <c r="E205" s="240" t="s">
        <v>80</v>
      </c>
      <c r="F205" s="394" t="s">
        <v>17</v>
      </c>
      <c r="G205" s="394" t="s">
        <v>425</v>
      </c>
      <c r="H205" s="294">
        <f t="shared" si="14"/>
        <v>241.91</v>
      </c>
      <c r="I205" s="264">
        <f>50+51.31+140.6</f>
        <v>241.91</v>
      </c>
      <c r="J205" s="264"/>
      <c r="K205" s="264"/>
      <c r="L205" s="267"/>
      <c r="M205" s="267"/>
      <c r="N205" s="267"/>
      <c r="O205" s="267"/>
      <c r="P205" s="267"/>
      <c r="Q205" s="267"/>
      <c r="R205" s="396"/>
    </row>
    <row r="206" spans="1:19" ht="55.5" hidden="1">
      <c r="A206" s="648"/>
      <c r="B206" s="394"/>
      <c r="C206" s="394"/>
      <c r="D206" s="266" t="s">
        <v>36</v>
      </c>
      <c r="E206" s="240" t="s">
        <v>81</v>
      </c>
      <c r="F206" s="394"/>
      <c r="G206" s="394"/>
      <c r="H206" s="294">
        <f t="shared" si="14"/>
        <v>187.78</v>
      </c>
      <c r="I206" s="264">
        <f>50+43.38+94.4</f>
        <v>187.78</v>
      </c>
      <c r="J206" s="264"/>
      <c r="K206" s="264"/>
      <c r="L206" s="267"/>
      <c r="M206" s="267"/>
      <c r="N206" s="267"/>
      <c r="O206" s="267"/>
      <c r="P206" s="267"/>
      <c r="Q206" s="267"/>
      <c r="R206" s="396"/>
    </row>
    <row r="207" spans="1:19" ht="55.5" hidden="1">
      <c r="A207" s="648"/>
      <c r="B207" s="394"/>
      <c r="C207" s="394"/>
      <c r="D207" s="266" t="s">
        <v>36</v>
      </c>
      <c r="E207" s="240" t="s">
        <v>82</v>
      </c>
      <c r="F207" s="394"/>
      <c r="G207" s="394"/>
      <c r="H207" s="294">
        <f t="shared" si="14"/>
        <v>206.8</v>
      </c>
      <c r="I207" s="264">
        <v>206.8</v>
      </c>
      <c r="J207" s="264"/>
      <c r="K207" s="264"/>
      <c r="L207" s="267"/>
      <c r="M207" s="267"/>
      <c r="N207" s="267"/>
      <c r="O207" s="267"/>
      <c r="P207" s="267"/>
      <c r="Q207" s="267"/>
      <c r="R207" s="396"/>
    </row>
    <row r="208" spans="1:19" ht="27.75" hidden="1">
      <c r="A208" s="648"/>
      <c r="B208" s="394"/>
      <c r="C208" s="394"/>
      <c r="D208" s="266" t="s">
        <v>29</v>
      </c>
      <c r="E208" s="240" t="s">
        <v>76</v>
      </c>
      <c r="F208" s="394"/>
      <c r="G208" s="394"/>
      <c r="H208" s="294">
        <f t="shared" si="14"/>
        <v>1422.3</v>
      </c>
      <c r="I208" s="264">
        <f>50+571.7+307.8+492.8</f>
        <v>1422.3</v>
      </c>
      <c r="J208" s="264"/>
      <c r="K208" s="264"/>
      <c r="L208" s="267"/>
      <c r="M208" s="267"/>
      <c r="N208" s="267"/>
      <c r="O208" s="267"/>
      <c r="P208" s="267"/>
      <c r="Q208" s="267"/>
      <c r="R208" s="396"/>
    </row>
    <row r="209" spans="1:19" ht="27.75" hidden="1">
      <c r="A209" s="648"/>
      <c r="B209" s="394"/>
      <c r="C209" s="394"/>
      <c r="D209" s="266" t="s">
        <v>29</v>
      </c>
      <c r="E209" s="240" t="s">
        <v>77</v>
      </c>
      <c r="F209" s="394"/>
      <c r="G209" s="394"/>
      <c r="H209" s="294">
        <f t="shared" si="14"/>
        <v>4962.2</v>
      </c>
      <c r="I209" s="264">
        <f>150+1176.7+3635.5</f>
        <v>4962.2</v>
      </c>
      <c r="J209" s="264"/>
      <c r="K209" s="264"/>
      <c r="L209" s="267"/>
      <c r="M209" s="267"/>
      <c r="N209" s="267"/>
      <c r="O209" s="267"/>
      <c r="P209" s="267"/>
      <c r="Q209" s="267"/>
      <c r="R209" s="396"/>
    </row>
    <row r="210" spans="1:19" ht="55.5" hidden="1">
      <c r="A210" s="648"/>
      <c r="B210" s="394"/>
      <c r="C210" s="394"/>
      <c r="D210" s="266" t="s">
        <v>29</v>
      </c>
      <c r="E210" s="240" t="s">
        <v>75</v>
      </c>
      <c r="F210" s="394"/>
      <c r="G210" s="394"/>
      <c r="H210" s="294">
        <f t="shared" si="14"/>
        <v>1323.4</v>
      </c>
      <c r="I210" s="264">
        <v>1323.4</v>
      </c>
      <c r="J210" s="264"/>
      <c r="K210" s="264"/>
      <c r="L210" s="268"/>
      <c r="M210" s="268"/>
      <c r="N210" s="268"/>
      <c r="O210" s="268"/>
      <c r="P210" s="268"/>
      <c r="Q210" s="268"/>
      <c r="R210" s="397"/>
    </row>
    <row r="211" spans="1:19" ht="27.75" hidden="1">
      <c r="A211" s="648"/>
      <c r="B211" s="394"/>
      <c r="C211" s="394"/>
      <c r="D211" s="394"/>
      <c r="E211" s="243" t="s">
        <v>359</v>
      </c>
      <c r="F211" s="243"/>
      <c r="G211" s="243"/>
      <c r="H211" s="295">
        <f>H201+H202</f>
        <v>21834.89</v>
      </c>
      <c r="I211" s="295">
        <f>I201+I202</f>
        <v>19334.89</v>
      </c>
      <c r="J211" s="295">
        <f>J201+J202</f>
        <v>2500</v>
      </c>
      <c r="K211" s="295">
        <f>K201+K202</f>
        <v>0</v>
      </c>
      <c r="L211" s="296"/>
      <c r="M211" s="296"/>
      <c r="N211" s="296"/>
      <c r="O211" s="296"/>
      <c r="P211" s="296"/>
      <c r="Q211" s="296"/>
      <c r="R211" s="395"/>
    </row>
    <row r="212" spans="1:19" ht="83.25" hidden="1">
      <c r="A212" s="661"/>
      <c r="B212" s="662"/>
      <c r="C212" s="662"/>
      <c r="D212" s="662"/>
      <c r="E212" s="662"/>
      <c r="F212" s="663"/>
      <c r="G212" s="243" t="s">
        <v>425</v>
      </c>
      <c r="H212" s="295">
        <f>H201+H204</f>
        <v>21832.39</v>
      </c>
      <c r="I212" s="295">
        <f>I201+I204</f>
        <v>19332.39</v>
      </c>
      <c r="J212" s="295">
        <f>J201+J204</f>
        <v>2500</v>
      </c>
      <c r="K212" s="295">
        <f>K201+K204</f>
        <v>0</v>
      </c>
      <c r="L212" s="297"/>
      <c r="M212" s="297"/>
      <c r="N212" s="297"/>
      <c r="O212" s="297"/>
      <c r="P212" s="297"/>
      <c r="Q212" s="297"/>
      <c r="R212" s="396"/>
    </row>
    <row r="213" spans="1:19" ht="210.75" hidden="1" customHeight="1">
      <c r="A213" s="667"/>
      <c r="B213" s="668"/>
      <c r="C213" s="668"/>
      <c r="D213" s="668"/>
      <c r="E213" s="668"/>
      <c r="F213" s="669"/>
      <c r="G213" s="243" t="s">
        <v>100</v>
      </c>
      <c r="H213" s="298">
        <f>H203</f>
        <v>2.5</v>
      </c>
      <c r="I213" s="298">
        <f>I203</f>
        <v>2.5</v>
      </c>
      <c r="J213" s="298">
        <f>J203</f>
        <v>0</v>
      </c>
      <c r="K213" s="298">
        <f>K203</f>
        <v>0</v>
      </c>
      <c r="L213" s="299"/>
      <c r="M213" s="299"/>
      <c r="N213" s="299"/>
      <c r="O213" s="299"/>
      <c r="P213" s="299"/>
      <c r="Q213" s="299"/>
      <c r="R213" s="397"/>
    </row>
    <row r="214" spans="1:19" ht="47.25" customHeight="1">
      <c r="A214" s="649" t="s">
        <v>71</v>
      </c>
      <c r="B214" s="650"/>
      <c r="C214" s="650"/>
      <c r="D214" s="650"/>
      <c r="E214" s="650"/>
      <c r="F214" s="651"/>
      <c r="G214" s="265"/>
      <c r="H214" s="264">
        <f>H199+H200+H211</f>
        <v>30766.09</v>
      </c>
      <c r="I214" s="264">
        <f>I199+I200+I211</f>
        <v>22229.09</v>
      </c>
      <c r="J214" s="264">
        <f>J199+J200+J211</f>
        <v>5549.3</v>
      </c>
      <c r="K214" s="264">
        <f>K199+K200+K211</f>
        <v>2987.7</v>
      </c>
      <c r="L214" s="265">
        <v>22229.1</v>
      </c>
      <c r="M214" s="265">
        <f>N214-L214</f>
        <v>912.10000000000218</v>
      </c>
      <c r="N214" s="265">
        <v>23141.200000000001</v>
      </c>
      <c r="O214" s="265"/>
      <c r="P214" s="265"/>
      <c r="Q214" s="265"/>
      <c r="R214" s="395"/>
    </row>
    <row r="215" spans="1:19" s="259" customFormat="1" ht="210.75" hidden="1" customHeight="1">
      <c r="A215" s="652" t="s">
        <v>18</v>
      </c>
      <c r="B215" s="652"/>
      <c r="D215" s="254"/>
      <c r="E215" s="254"/>
      <c r="F215" s="288"/>
      <c r="G215" s="137" t="s">
        <v>425</v>
      </c>
      <c r="H215" s="269">
        <f>H212+H200+H199</f>
        <v>30763.59</v>
      </c>
      <c r="I215" s="269">
        <f>I212+I200+I199</f>
        <v>22226.59</v>
      </c>
      <c r="J215" s="269">
        <f>J212+J200+J199</f>
        <v>5549.3</v>
      </c>
      <c r="K215" s="269">
        <f>K212+K200+K199</f>
        <v>2987.7</v>
      </c>
      <c r="L215" s="289"/>
      <c r="M215" s="289"/>
      <c r="N215" s="289"/>
      <c r="O215" s="289"/>
      <c r="P215" s="289"/>
      <c r="Q215" s="289"/>
      <c r="R215" s="396"/>
      <c r="S215" s="263"/>
    </row>
    <row r="216" spans="1:19" s="259" customFormat="1" ht="277.5" hidden="1">
      <c r="A216" s="255"/>
      <c r="B216" s="255"/>
      <c r="D216" s="254"/>
      <c r="E216" s="254"/>
      <c r="F216" s="288"/>
      <c r="G216" s="240" t="s">
        <v>100</v>
      </c>
      <c r="H216" s="270">
        <f>H203</f>
        <v>2.5</v>
      </c>
      <c r="I216" s="270">
        <f>I203</f>
        <v>2.5</v>
      </c>
      <c r="J216" s="270">
        <f>J203</f>
        <v>0</v>
      </c>
      <c r="K216" s="270">
        <f>K203</f>
        <v>0</v>
      </c>
      <c r="L216" s="289"/>
      <c r="M216" s="289"/>
      <c r="N216" s="289"/>
      <c r="O216" s="289"/>
      <c r="P216" s="289"/>
      <c r="Q216" s="289"/>
      <c r="R216" s="396"/>
      <c r="S216" s="263"/>
    </row>
    <row r="217" spans="1:19" s="259" customFormat="1" ht="27.75" hidden="1">
      <c r="A217" s="652" t="s">
        <v>95</v>
      </c>
      <c r="B217" s="652"/>
      <c r="C217" s="652"/>
      <c r="D217" s="653"/>
      <c r="E217" s="395" t="s">
        <v>80</v>
      </c>
      <c r="F217" s="670"/>
      <c r="G217" s="275" t="s">
        <v>98</v>
      </c>
      <c r="H217" s="269">
        <f>H218+H219</f>
        <v>244.41</v>
      </c>
      <c r="I217" s="269">
        <f>I218+I219</f>
        <v>244.41</v>
      </c>
      <c r="J217" s="269">
        <f>J218+J219</f>
        <v>0</v>
      </c>
      <c r="K217" s="269">
        <f>K218+K219</f>
        <v>0</v>
      </c>
      <c r="L217" s="289"/>
      <c r="M217" s="289"/>
      <c r="N217" s="289"/>
      <c r="O217" s="289"/>
      <c r="P217" s="289"/>
      <c r="Q217" s="289"/>
      <c r="R217" s="396"/>
      <c r="S217" s="263"/>
    </row>
    <row r="218" spans="1:19" s="259" customFormat="1" ht="277.5" hidden="1">
      <c r="A218" s="654"/>
      <c r="B218" s="654"/>
      <c r="C218" s="654"/>
      <c r="D218" s="655"/>
      <c r="E218" s="396"/>
      <c r="F218" s="671"/>
      <c r="G218" s="240" t="s">
        <v>100</v>
      </c>
      <c r="H218" s="269">
        <f>H203</f>
        <v>2.5</v>
      </c>
      <c r="I218" s="269">
        <f>I203</f>
        <v>2.5</v>
      </c>
      <c r="J218" s="269">
        <f>J203</f>
        <v>0</v>
      </c>
      <c r="K218" s="269">
        <f>K203</f>
        <v>0</v>
      </c>
      <c r="L218" s="289"/>
      <c r="M218" s="289"/>
      <c r="N218" s="289"/>
      <c r="O218" s="289"/>
      <c r="P218" s="289"/>
      <c r="Q218" s="289"/>
      <c r="R218" s="396"/>
      <c r="S218" s="263"/>
    </row>
    <row r="219" spans="1:19" ht="210.75" hidden="1" customHeight="1">
      <c r="A219" s="654"/>
      <c r="B219" s="654"/>
      <c r="C219" s="654"/>
      <c r="D219" s="655"/>
      <c r="E219" s="397"/>
      <c r="F219" s="671"/>
      <c r="G219" s="236" t="s">
        <v>425</v>
      </c>
      <c r="H219" s="269">
        <f>H205</f>
        <v>241.91</v>
      </c>
      <c r="I219" s="269">
        <f>I205</f>
        <v>241.91</v>
      </c>
      <c r="J219" s="269">
        <f>J205</f>
        <v>0</v>
      </c>
      <c r="K219" s="269">
        <f>K205</f>
        <v>0</v>
      </c>
      <c r="L219" s="289"/>
      <c r="M219" s="289"/>
      <c r="N219" s="289"/>
      <c r="O219" s="289"/>
      <c r="P219" s="289"/>
      <c r="Q219" s="289"/>
      <c r="R219" s="396"/>
      <c r="S219" s="277"/>
    </row>
    <row r="220" spans="1:19" ht="55.5" hidden="1">
      <c r="A220" s="654"/>
      <c r="B220" s="654"/>
      <c r="C220" s="654"/>
      <c r="D220" s="655"/>
      <c r="E220" s="240" t="s">
        <v>54</v>
      </c>
      <c r="F220" s="671"/>
      <c r="G220" s="395" t="s">
        <v>425</v>
      </c>
      <c r="H220" s="269">
        <f>H197+H198+H200+H201</f>
        <v>22419.200000000001</v>
      </c>
      <c r="I220" s="269">
        <f>I197+I198+I200+I201</f>
        <v>13882.2</v>
      </c>
      <c r="J220" s="269">
        <f>J197+J198+J200+J201</f>
        <v>5549.3</v>
      </c>
      <c r="K220" s="269">
        <f>K197+K198+K200+K201</f>
        <v>2987.7</v>
      </c>
      <c r="L220" s="289"/>
      <c r="M220" s="289"/>
      <c r="N220" s="289"/>
      <c r="O220" s="289"/>
      <c r="P220" s="289"/>
      <c r="Q220" s="289"/>
      <c r="R220" s="396"/>
      <c r="S220" s="277"/>
    </row>
    <row r="221" spans="1:19" ht="55.5" hidden="1">
      <c r="A221" s="654"/>
      <c r="B221" s="654"/>
      <c r="C221" s="654"/>
      <c r="D221" s="655"/>
      <c r="E221" s="240" t="s">
        <v>81</v>
      </c>
      <c r="F221" s="671"/>
      <c r="G221" s="396"/>
      <c r="H221" s="269">
        <f>H206</f>
        <v>187.78</v>
      </c>
      <c r="I221" s="269">
        <f>I206</f>
        <v>187.78</v>
      </c>
      <c r="J221" s="269">
        <f>J206</f>
        <v>0</v>
      </c>
      <c r="K221" s="269">
        <f>K206</f>
        <v>0</v>
      </c>
      <c r="L221" s="289"/>
      <c r="M221" s="289"/>
      <c r="N221" s="289"/>
      <c r="O221" s="289"/>
      <c r="P221" s="289"/>
      <c r="Q221" s="289"/>
      <c r="R221" s="396"/>
      <c r="S221" s="277"/>
    </row>
    <row r="222" spans="1:19" ht="27.75" hidden="1">
      <c r="A222" s="654"/>
      <c r="B222" s="654"/>
      <c r="C222" s="654"/>
      <c r="D222" s="655"/>
      <c r="E222" s="240" t="s">
        <v>76</v>
      </c>
      <c r="F222" s="671"/>
      <c r="G222" s="396"/>
      <c r="H222" s="269">
        <f>H208</f>
        <v>1422.3</v>
      </c>
      <c r="I222" s="269">
        <f t="shared" ref="I222:K224" si="15">I208</f>
        <v>1422.3</v>
      </c>
      <c r="J222" s="269">
        <f t="shared" si="15"/>
        <v>0</v>
      </c>
      <c r="K222" s="269">
        <f t="shared" si="15"/>
        <v>0</v>
      </c>
      <c r="L222" s="289"/>
      <c r="M222" s="289"/>
      <c r="N222" s="289"/>
      <c r="O222" s="289"/>
      <c r="P222" s="289"/>
      <c r="Q222" s="289"/>
      <c r="R222" s="396"/>
      <c r="S222" s="277"/>
    </row>
    <row r="223" spans="1:19" ht="27.75" hidden="1">
      <c r="A223" s="654"/>
      <c r="B223" s="654"/>
      <c r="C223" s="654"/>
      <c r="D223" s="655"/>
      <c r="E223" s="240" t="s">
        <v>77</v>
      </c>
      <c r="F223" s="671"/>
      <c r="G223" s="396"/>
      <c r="H223" s="269">
        <f>H209</f>
        <v>4962.2</v>
      </c>
      <c r="I223" s="269">
        <f t="shared" si="15"/>
        <v>4962.2</v>
      </c>
      <c r="J223" s="269">
        <f t="shared" si="15"/>
        <v>0</v>
      </c>
      <c r="K223" s="269">
        <f t="shared" si="15"/>
        <v>0</v>
      </c>
      <c r="L223" s="289"/>
      <c r="M223" s="289"/>
      <c r="N223" s="289"/>
      <c r="O223" s="289"/>
      <c r="P223" s="289"/>
      <c r="Q223" s="289"/>
      <c r="R223" s="396"/>
      <c r="S223" s="277"/>
    </row>
    <row r="224" spans="1:19" ht="55.5" hidden="1">
      <c r="A224" s="656"/>
      <c r="B224" s="656"/>
      <c r="C224" s="656"/>
      <c r="D224" s="657"/>
      <c r="E224" s="240" t="s">
        <v>75</v>
      </c>
      <c r="F224" s="672"/>
      <c r="G224" s="397"/>
      <c r="H224" s="269">
        <f>H210</f>
        <v>1323.4</v>
      </c>
      <c r="I224" s="269">
        <f t="shared" si="15"/>
        <v>1323.4</v>
      </c>
      <c r="J224" s="269">
        <f t="shared" si="15"/>
        <v>0</v>
      </c>
      <c r="K224" s="269">
        <f t="shared" si="15"/>
        <v>0</v>
      </c>
      <c r="L224" s="300"/>
      <c r="M224" s="300"/>
      <c r="N224" s="300"/>
      <c r="O224" s="300"/>
      <c r="P224" s="300"/>
      <c r="Q224" s="300"/>
      <c r="R224" s="397"/>
      <c r="S224" s="277"/>
    </row>
    <row r="225" spans="1:19" ht="27.75">
      <c r="A225" s="645" t="s">
        <v>245</v>
      </c>
      <c r="B225" s="646"/>
      <c r="C225" s="646"/>
      <c r="D225" s="646"/>
      <c r="E225" s="646"/>
      <c r="F225" s="646"/>
      <c r="G225" s="646"/>
      <c r="H225" s="646"/>
      <c r="I225" s="646"/>
      <c r="J225" s="646"/>
      <c r="K225" s="646"/>
      <c r="L225" s="646"/>
      <c r="M225" s="646"/>
      <c r="N225" s="646"/>
      <c r="O225" s="646"/>
      <c r="P225" s="646"/>
      <c r="Q225" s="646"/>
      <c r="R225" s="647"/>
      <c r="S225" s="277"/>
    </row>
    <row r="226" spans="1:19" ht="216.75" customHeight="1">
      <c r="A226" s="394" t="s">
        <v>246</v>
      </c>
      <c r="B226" s="600" t="s">
        <v>247</v>
      </c>
      <c r="C226" s="600" t="s">
        <v>248</v>
      </c>
      <c r="D226" s="645" t="s">
        <v>360</v>
      </c>
      <c r="E226" s="646"/>
      <c r="F226" s="646"/>
      <c r="G226" s="647"/>
      <c r="H226" s="269" t="e">
        <f>#REF!+H234</f>
        <v>#REF!</v>
      </c>
      <c r="I226" s="269" t="e">
        <f>#REF!+I234</f>
        <v>#REF!</v>
      </c>
      <c r="J226" s="269" t="e">
        <f>#REF!+J234</f>
        <v>#REF!</v>
      </c>
      <c r="K226" s="269" t="e">
        <f>#REF!+K234</f>
        <v>#REF!</v>
      </c>
      <c r="L226" s="270">
        <v>71896.600000000006</v>
      </c>
      <c r="M226" s="301">
        <f>N226-L226</f>
        <v>-228.30000000000291</v>
      </c>
      <c r="N226" s="282">
        <v>71668.3</v>
      </c>
      <c r="O226" s="270">
        <v>63837.5</v>
      </c>
      <c r="P226" s="270">
        <v>5000</v>
      </c>
      <c r="Q226" s="270">
        <f>O226+P226</f>
        <v>68837.5</v>
      </c>
      <c r="R226" s="395" t="s">
        <v>101</v>
      </c>
      <c r="S226" s="277"/>
    </row>
    <row r="227" spans="1:19" ht="55.5" hidden="1">
      <c r="A227" s="394"/>
      <c r="B227" s="601"/>
      <c r="C227" s="601"/>
      <c r="D227" s="251" t="s">
        <v>33</v>
      </c>
      <c r="E227" s="240" t="s">
        <v>54</v>
      </c>
      <c r="F227" s="565" t="s">
        <v>17</v>
      </c>
      <c r="G227" s="395" t="s">
        <v>429</v>
      </c>
      <c r="H227" s="268">
        <f>I227+J227+K227</f>
        <v>39460.800000000003</v>
      </c>
      <c r="I227" s="264">
        <f>14923.3+1800+3000</f>
        <v>19723.3</v>
      </c>
      <c r="J227" s="264">
        <v>19737.5</v>
      </c>
      <c r="K227" s="264">
        <v>0</v>
      </c>
      <c r="L227" s="264"/>
      <c r="M227" s="282"/>
      <c r="N227" s="282"/>
      <c r="O227" s="264"/>
      <c r="P227" s="264"/>
      <c r="Q227" s="264"/>
      <c r="R227" s="396"/>
    </row>
    <row r="228" spans="1:19" ht="55.5" hidden="1">
      <c r="A228" s="394"/>
      <c r="B228" s="601"/>
      <c r="C228" s="601"/>
      <c r="D228" s="251" t="s">
        <v>29</v>
      </c>
      <c r="E228" s="240" t="s">
        <v>82</v>
      </c>
      <c r="F228" s="578"/>
      <c r="G228" s="396"/>
      <c r="H228" s="264">
        <f t="shared" ref="H228:H247" si="16">I228+J228+K228</f>
        <v>21042.5</v>
      </c>
      <c r="I228" s="265">
        <f>6890.5+50+202</f>
        <v>7142.5</v>
      </c>
      <c r="J228" s="264">
        <f>8400+2000+1000</f>
        <v>11400</v>
      </c>
      <c r="K228" s="264">
        <v>2500</v>
      </c>
      <c r="L228" s="264"/>
      <c r="M228" s="282"/>
      <c r="N228" s="282"/>
      <c r="O228" s="264">
        <v>10400</v>
      </c>
      <c r="P228" s="264">
        <v>1000</v>
      </c>
      <c r="Q228" s="264">
        <f>O228+P228</f>
        <v>11400</v>
      </c>
      <c r="R228" s="396"/>
      <c r="S228" s="278"/>
    </row>
    <row r="229" spans="1:19" ht="27.75" hidden="1">
      <c r="A229" s="394"/>
      <c r="B229" s="601"/>
      <c r="C229" s="601"/>
      <c r="D229" s="252" t="s">
        <v>29</v>
      </c>
      <c r="E229" s="240" t="s">
        <v>76</v>
      </c>
      <c r="F229" s="578"/>
      <c r="G229" s="396"/>
      <c r="H229" s="264">
        <f t="shared" si="16"/>
        <v>5132</v>
      </c>
      <c r="I229" s="265">
        <f>232+200</f>
        <v>432</v>
      </c>
      <c r="J229" s="264">
        <f>1200+1000</f>
        <v>2200</v>
      </c>
      <c r="K229" s="264">
        <v>2500</v>
      </c>
      <c r="L229" s="264"/>
      <c r="M229" s="282"/>
      <c r="N229" s="282"/>
      <c r="O229" s="264">
        <v>1200</v>
      </c>
      <c r="P229" s="264">
        <v>1000</v>
      </c>
      <c r="Q229" s="264">
        <f>O229+P229</f>
        <v>2200</v>
      </c>
      <c r="R229" s="396"/>
      <c r="S229" s="278"/>
    </row>
    <row r="230" spans="1:19" ht="27.75" hidden="1">
      <c r="A230" s="394"/>
      <c r="B230" s="601"/>
      <c r="C230" s="601"/>
      <c r="D230" s="252" t="s">
        <v>29</v>
      </c>
      <c r="E230" s="240" t="s">
        <v>77</v>
      </c>
      <c r="F230" s="578"/>
      <c r="G230" s="396"/>
      <c r="H230" s="264">
        <f t="shared" si="16"/>
        <v>28189.554</v>
      </c>
      <c r="I230" s="265">
        <f>11036+180-26.446</f>
        <v>11189.554</v>
      </c>
      <c r="J230" s="264">
        <f>13500+1000</f>
        <v>14500</v>
      </c>
      <c r="K230" s="264">
        <v>2500</v>
      </c>
      <c r="L230" s="264"/>
      <c r="M230" s="282"/>
      <c r="N230" s="282"/>
      <c r="O230" s="264">
        <v>13500</v>
      </c>
      <c r="P230" s="264">
        <v>1000</v>
      </c>
      <c r="Q230" s="264">
        <f>O230+P230</f>
        <v>14500</v>
      </c>
      <c r="R230" s="396"/>
      <c r="S230" s="302" t="s">
        <v>436</v>
      </c>
    </row>
    <row r="231" spans="1:19" ht="55.5" hidden="1">
      <c r="A231" s="394"/>
      <c r="B231" s="601"/>
      <c r="C231" s="601"/>
      <c r="D231" s="252" t="s">
        <v>29</v>
      </c>
      <c r="E231" s="240" t="s">
        <v>75</v>
      </c>
      <c r="F231" s="578"/>
      <c r="G231" s="396"/>
      <c r="H231" s="264">
        <f t="shared" si="16"/>
        <v>38297.202000000005</v>
      </c>
      <c r="I231" s="265">
        <f>20947.39-50.188</f>
        <v>20897.202000000001</v>
      </c>
      <c r="J231" s="264">
        <f>13900+1000</f>
        <v>14900</v>
      </c>
      <c r="K231" s="264">
        <v>2500</v>
      </c>
      <c r="L231" s="264"/>
      <c r="M231" s="282"/>
      <c r="N231" s="282"/>
      <c r="O231" s="264">
        <v>13900</v>
      </c>
      <c r="P231" s="264">
        <v>1000</v>
      </c>
      <c r="Q231" s="264">
        <f>O231+P231</f>
        <v>14900</v>
      </c>
      <c r="R231" s="396"/>
      <c r="S231" s="278"/>
    </row>
    <row r="232" spans="1:19" ht="210.75" hidden="1" customHeight="1">
      <c r="A232" s="394"/>
      <c r="B232" s="601"/>
      <c r="C232" s="601"/>
      <c r="D232" s="252" t="s">
        <v>30</v>
      </c>
      <c r="E232" s="236" t="s">
        <v>79</v>
      </c>
      <c r="F232" s="578"/>
      <c r="G232" s="396"/>
      <c r="H232" s="264">
        <f t="shared" si="16"/>
        <v>12930</v>
      </c>
      <c r="I232" s="264">
        <f>6800+30</f>
        <v>6830</v>
      </c>
      <c r="J232" s="264">
        <f>5100+1000</f>
        <v>6100</v>
      </c>
      <c r="K232" s="264">
        <v>0</v>
      </c>
      <c r="L232" s="264"/>
      <c r="M232" s="282"/>
      <c r="N232" s="282"/>
      <c r="O232" s="264">
        <v>5100</v>
      </c>
      <c r="P232" s="264">
        <v>1000</v>
      </c>
      <c r="Q232" s="264">
        <f>O232+P232</f>
        <v>6100</v>
      </c>
      <c r="R232" s="396"/>
      <c r="S232" s="278"/>
    </row>
    <row r="233" spans="1:19" ht="55.5" hidden="1">
      <c r="A233" s="394"/>
      <c r="B233" s="601"/>
      <c r="C233" s="601"/>
      <c r="D233" s="251" t="s">
        <v>31</v>
      </c>
      <c r="E233" s="236" t="s">
        <v>78</v>
      </c>
      <c r="F233" s="566"/>
      <c r="G233" s="397"/>
      <c r="H233" s="264">
        <f t="shared" si="16"/>
        <v>690</v>
      </c>
      <c r="I233" s="268">
        <f>590+100</f>
        <v>690</v>
      </c>
      <c r="J233" s="264">
        <v>0</v>
      </c>
      <c r="K233" s="264">
        <v>0</v>
      </c>
      <c r="L233" s="264"/>
      <c r="M233" s="264"/>
      <c r="N233" s="264"/>
      <c r="O233" s="264"/>
      <c r="P233" s="264"/>
      <c r="Q233" s="264"/>
      <c r="R233" s="396"/>
      <c r="S233" s="278"/>
    </row>
    <row r="234" spans="1:19" ht="210.75" hidden="1" customHeight="1">
      <c r="A234" s="394"/>
      <c r="B234" s="601"/>
      <c r="C234" s="601"/>
      <c r="D234" s="679" t="s">
        <v>97</v>
      </c>
      <c r="E234" s="680"/>
      <c r="F234" s="680"/>
      <c r="G234" s="681"/>
      <c r="H234" s="264">
        <f>H235+H236+H237+H238</f>
        <v>4992.0529999999999</v>
      </c>
      <c r="I234" s="264">
        <f>I235+I236+I237+I238</f>
        <v>4992.0529999999999</v>
      </c>
      <c r="J234" s="264">
        <f>J235+J236+J237</f>
        <v>0</v>
      </c>
      <c r="K234" s="264">
        <f>K235+K236+K237</f>
        <v>0</v>
      </c>
      <c r="L234" s="264"/>
      <c r="M234" s="264"/>
      <c r="N234" s="264"/>
      <c r="O234" s="264"/>
      <c r="P234" s="264"/>
      <c r="Q234" s="264"/>
      <c r="R234" s="396"/>
      <c r="S234" s="278"/>
    </row>
    <row r="235" spans="1:19" ht="55.5" hidden="1">
      <c r="A235" s="394"/>
      <c r="B235" s="601"/>
      <c r="C235" s="601"/>
      <c r="D235" s="252" t="s">
        <v>37</v>
      </c>
      <c r="E235" s="240" t="s">
        <v>82</v>
      </c>
      <c r="F235" s="565" t="s">
        <v>17</v>
      </c>
      <c r="G235" s="565" t="s">
        <v>204</v>
      </c>
      <c r="H235" s="264">
        <f t="shared" si="16"/>
        <v>250</v>
      </c>
      <c r="I235" s="268">
        <v>250</v>
      </c>
      <c r="J235" s="264">
        <v>0</v>
      </c>
      <c r="K235" s="264">
        <v>0</v>
      </c>
      <c r="L235" s="264"/>
      <c r="M235" s="264"/>
      <c r="N235" s="264"/>
      <c r="O235" s="264"/>
      <c r="P235" s="264"/>
      <c r="Q235" s="264"/>
      <c r="R235" s="396"/>
      <c r="S235" s="278"/>
    </row>
    <row r="236" spans="1:19" ht="55.5" hidden="1">
      <c r="A236" s="394"/>
      <c r="B236" s="601"/>
      <c r="C236" s="601"/>
      <c r="D236" s="252" t="s">
        <v>37</v>
      </c>
      <c r="E236" s="240" t="s">
        <v>75</v>
      </c>
      <c r="F236" s="578"/>
      <c r="G236" s="578"/>
      <c r="H236" s="264">
        <f t="shared" si="16"/>
        <v>1412.0530000000003</v>
      </c>
      <c r="I236" s="268">
        <f>1196.053+165.812+50.188</f>
        <v>1412.0530000000003</v>
      </c>
      <c r="J236" s="264">
        <v>0</v>
      </c>
      <c r="K236" s="264">
        <v>0</v>
      </c>
      <c r="L236" s="264"/>
      <c r="M236" s="264"/>
      <c r="N236" s="264"/>
      <c r="O236" s="264"/>
      <c r="P236" s="264"/>
      <c r="Q236" s="264"/>
      <c r="R236" s="396"/>
      <c r="S236" s="278"/>
    </row>
    <row r="237" spans="1:19" ht="210.75" hidden="1" customHeight="1">
      <c r="A237" s="394"/>
      <c r="B237" s="601"/>
      <c r="C237" s="602"/>
      <c r="D237" s="252" t="s">
        <v>37</v>
      </c>
      <c r="E237" s="236" t="s">
        <v>79</v>
      </c>
      <c r="F237" s="578"/>
      <c r="G237" s="578"/>
      <c r="H237" s="264">
        <f t="shared" si="16"/>
        <v>930</v>
      </c>
      <c r="I237" s="268">
        <v>930</v>
      </c>
      <c r="J237" s="264">
        <v>0</v>
      </c>
      <c r="K237" s="264">
        <v>0</v>
      </c>
      <c r="L237" s="264"/>
      <c r="M237" s="264"/>
      <c r="N237" s="264"/>
      <c r="O237" s="264"/>
      <c r="P237" s="264"/>
      <c r="Q237" s="264"/>
      <c r="R237" s="396"/>
      <c r="S237" s="278"/>
    </row>
    <row r="238" spans="1:19" ht="55.5" hidden="1">
      <c r="A238" s="394"/>
      <c r="B238" s="601"/>
      <c r="C238" s="248"/>
      <c r="D238" s="252" t="s">
        <v>37</v>
      </c>
      <c r="E238" s="240" t="s">
        <v>54</v>
      </c>
      <c r="F238" s="566"/>
      <c r="G238" s="566"/>
      <c r="H238" s="264">
        <f>I238+J238+K238</f>
        <v>2400</v>
      </c>
      <c r="I238" s="268">
        <v>2400</v>
      </c>
      <c r="J238" s="264">
        <v>0</v>
      </c>
      <c r="K238" s="264">
        <v>0</v>
      </c>
      <c r="L238" s="264"/>
      <c r="M238" s="264"/>
      <c r="N238" s="264"/>
      <c r="O238" s="264"/>
      <c r="P238" s="264"/>
      <c r="Q238" s="264"/>
      <c r="R238" s="396"/>
      <c r="S238" s="278"/>
    </row>
    <row r="239" spans="1:19" ht="177" customHeight="1">
      <c r="A239" s="394"/>
      <c r="B239" s="601"/>
      <c r="C239" s="600" t="s">
        <v>249</v>
      </c>
      <c r="D239" s="645" t="s">
        <v>361</v>
      </c>
      <c r="E239" s="646"/>
      <c r="F239" s="646"/>
      <c r="G239" s="647"/>
      <c r="H239" s="264">
        <f>SUM(H240:H245)</f>
        <v>63333.67</v>
      </c>
      <c r="I239" s="264">
        <f>SUM(I240:I245)</f>
        <v>27333.67</v>
      </c>
      <c r="J239" s="264">
        <f>SUM(J240:J245)</f>
        <v>26000</v>
      </c>
      <c r="K239" s="264">
        <f>SUM(K240:K245)</f>
        <v>10000</v>
      </c>
      <c r="L239" s="264"/>
      <c r="M239" s="282"/>
      <c r="N239" s="282"/>
      <c r="O239" s="264">
        <v>20000</v>
      </c>
      <c r="P239" s="264">
        <f>Q239-O239</f>
        <v>7000</v>
      </c>
      <c r="Q239" s="264">
        <v>27000</v>
      </c>
      <c r="R239" s="396"/>
      <c r="S239" s="278"/>
    </row>
    <row r="240" spans="1:19" ht="55.5" hidden="1">
      <c r="A240" s="394"/>
      <c r="B240" s="601"/>
      <c r="C240" s="601"/>
      <c r="D240" s="252" t="s">
        <v>183</v>
      </c>
      <c r="E240" s="240" t="s">
        <v>82</v>
      </c>
      <c r="F240" s="565" t="s">
        <v>17</v>
      </c>
      <c r="G240" s="394" t="s">
        <v>429</v>
      </c>
      <c r="H240" s="264">
        <f t="shared" si="16"/>
        <v>13480.869999999999</v>
      </c>
      <c r="I240" s="268">
        <f>6150-169.13</f>
        <v>5980.87</v>
      </c>
      <c r="J240" s="264">
        <f>3000+2000</f>
        <v>5000</v>
      </c>
      <c r="K240" s="264">
        <v>2500</v>
      </c>
      <c r="L240" s="264"/>
      <c r="M240" s="282"/>
      <c r="N240" s="282"/>
      <c r="O240" s="264"/>
      <c r="P240" s="264"/>
      <c r="Q240" s="264"/>
      <c r="R240" s="396"/>
      <c r="S240" s="278"/>
    </row>
    <row r="241" spans="1:19" ht="27.75" hidden="1">
      <c r="A241" s="394"/>
      <c r="B241" s="601"/>
      <c r="C241" s="601"/>
      <c r="D241" s="252" t="s">
        <v>183</v>
      </c>
      <c r="E241" s="240" t="s">
        <v>76</v>
      </c>
      <c r="F241" s="578"/>
      <c r="G241" s="394"/>
      <c r="H241" s="264">
        <f t="shared" si="16"/>
        <v>6669.13</v>
      </c>
      <c r="I241" s="268">
        <f>169.13</f>
        <v>169.13</v>
      </c>
      <c r="J241" s="264">
        <f>3000+1000</f>
        <v>4000</v>
      </c>
      <c r="K241" s="264">
        <v>2500</v>
      </c>
      <c r="L241" s="264"/>
      <c r="M241" s="282"/>
      <c r="N241" s="282"/>
      <c r="O241" s="264"/>
      <c r="P241" s="264"/>
      <c r="Q241" s="264"/>
      <c r="R241" s="396"/>
      <c r="S241" s="278"/>
    </row>
    <row r="242" spans="1:19" ht="27.75" hidden="1">
      <c r="A242" s="394"/>
      <c r="B242" s="601"/>
      <c r="C242" s="601"/>
      <c r="D242" s="252" t="s">
        <v>183</v>
      </c>
      <c r="E242" s="240" t="s">
        <v>77</v>
      </c>
      <c r="F242" s="578"/>
      <c r="G242" s="394"/>
      <c r="H242" s="264">
        <f t="shared" si="16"/>
        <v>16034.1</v>
      </c>
      <c r="I242" s="268">
        <f>6930-395.9</f>
        <v>6534.1</v>
      </c>
      <c r="J242" s="264">
        <f>6000+1000</f>
        <v>7000</v>
      </c>
      <c r="K242" s="264">
        <v>2500</v>
      </c>
      <c r="L242" s="264"/>
      <c r="M242" s="282"/>
      <c r="N242" s="282"/>
      <c r="O242" s="264"/>
      <c r="P242" s="264"/>
      <c r="Q242" s="264"/>
      <c r="R242" s="396"/>
      <c r="S242" s="278"/>
    </row>
    <row r="243" spans="1:19" ht="55.5" hidden="1">
      <c r="A243" s="394"/>
      <c r="B243" s="601"/>
      <c r="C243" s="601"/>
      <c r="D243" s="252" t="s">
        <v>183</v>
      </c>
      <c r="E243" s="240" t="s">
        <v>75</v>
      </c>
      <c r="F243" s="578"/>
      <c r="G243" s="394"/>
      <c r="H243" s="264">
        <f t="shared" si="16"/>
        <v>10000</v>
      </c>
      <c r="I243" s="268">
        <v>3500</v>
      </c>
      <c r="J243" s="264">
        <f>3000+1000</f>
        <v>4000</v>
      </c>
      <c r="K243" s="264">
        <v>2500</v>
      </c>
      <c r="L243" s="264"/>
      <c r="M243" s="282"/>
      <c r="N243" s="282"/>
      <c r="O243" s="264"/>
      <c r="P243" s="264"/>
      <c r="Q243" s="264"/>
      <c r="R243" s="396"/>
      <c r="S243" s="278"/>
    </row>
    <row r="244" spans="1:19" ht="210.75" hidden="1" customHeight="1">
      <c r="A244" s="394"/>
      <c r="B244" s="601"/>
      <c r="C244" s="601"/>
      <c r="D244" s="252" t="s">
        <v>183</v>
      </c>
      <c r="E244" s="236" t="s">
        <v>79</v>
      </c>
      <c r="F244" s="578"/>
      <c r="G244" s="394"/>
      <c r="H244" s="264">
        <f t="shared" si="16"/>
        <v>16589.57</v>
      </c>
      <c r="I244" s="268">
        <v>10589.57</v>
      </c>
      <c r="J244" s="264">
        <f>5000+1000</f>
        <v>6000</v>
      </c>
      <c r="K244" s="264">
        <v>0</v>
      </c>
      <c r="L244" s="264"/>
      <c r="M244" s="282"/>
      <c r="N244" s="282"/>
      <c r="O244" s="264"/>
      <c r="P244" s="264"/>
      <c r="Q244" s="264"/>
      <c r="R244" s="396"/>
      <c r="S244" s="278"/>
    </row>
    <row r="245" spans="1:19" ht="55.5" hidden="1">
      <c r="A245" s="394"/>
      <c r="B245" s="601"/>
      <c r="C245" s="602"/>
      <c r="D245" s="252" t="s">
        <v>183</v>
      </c>
      <c r="E245" s="236" t="s">
        <v>78</v>
      </c>
      <c r="F245" s="578"/>
      <c r="G245" s="394"/>
      <c r="H245" s="264">
        <f t="shared" si="16"/>
        <v>560</v>
      </c>
      <c r="I245" s="268">
        <v>560</v>
      </c>
      <c r="J245" s="264">
        <v>0</v>
      </c>
      <c r="K245" s="264">
        <v>0</v>
      </c>
      <c r="L245" s="264"/>
      <c r="M245" s="264"/>
      <c r="N245" s="264"/>
      <c r="O245" s="267"/>
      <c r="P245" s="267"/>
      <c r="Q245" s="267"/>
      <c r="R245" s="396"/>
      <c r="S245" s="278"/>
    </row>
    <row r="246" spans="1:19" ht="194.25" customHeight="1">
      <c r="A246" s="394"/>
      <c r="B246" s="601"/>
      <c r="C246" s="243" t="s">
        <v>362</v>
      </c>
      <c r="D246" s="243" t="s">
        <v>68</v>
      </c>
      <c r="E246" s="236" t="s">
        <v>75</v>
      </c>
      <c r="F246" s="578"/>
      <c r="G246" s="394"/>
      <c r="H246" s="264">
        <f t="shared" si="16"/>
        <v>2594</v>
      </c>
      <c r="I246" s="264">
        <f>3000+307.7-713.7</f>
        <v>2594</v>
      </c>
      <c r="J246" s="264">
        <v>0</v>
      </c>
      <c r="K246" s="264">
        <v>0</v>
      </c>
      <c r="L246" s="264"/>
      <c r="M246" s="264"/>
      <c r="N246" s="264"/>
      <c r="O246" s="264">
        <v>0</v>
      </c>
      <c r="P246" s="264">
        <v>2288.1999999999998</v>
      </c>
      <c r="Q246" s="264">
        <v>2288.1999999999998</v>
      </c>
      <c r="R246" s="397"/>
      <c r="S246" s="278"/>
    </row>
    <row r="247" spans="1:19" ht="333" hidden="1">
      <c r="A247" s="394"/>
      <c r="B247" s="602"/>
      <c r="C247" s="243" t="s">
        <v>395</v>
      </c>
      <c r="D247" s="243" t="s">
        <v>400</v>
      </c>
      <c r="E247" s="236" t="s">
        <v>54</v>
      </c>
      <c r="F247" s="578"/>
      <c r="G247" s="238" t="s">
        <v>394</v>
      </c>
      <c r="H247" s="264">
        <f t="shared" si="16"/>
        <v>799.7</v>
      </c>
      <c r="I247" s="264">
        <v>799.7</v>
      </c>
      <c r="J247" s="264">
        <v>0</v>
      </c>
      <c r="K247" s="264">
        <v>0</v>
      </c>
      <c r="L247" s="264"/>
      <c r="M247" s="264"/>
      <c r="N247" s="264"/>
      <c r="O247" s="264"/>
      <c r="P247" s="264"/>
      <c r="Q247" s="264"/>
      <c r="R247" s="240" t="s">
        <v>399</v>
      </c>
      <c r="S247" s="278"/>
    </row>
    <row r="248" spans="1:19" ht="51.75" customHeight="1">
      <c r="A248" s="649" t="s">
        <v>73</v>
      </c>
      <c r="B248" s="650"/>
      <c r="C248" s="650"/>
      <c r="D248" s="650"/>
      <c r="E248" s="650"/>
      <c r="F248" s="650"/>
      <c r="G248" s="651"/>
      <c r="H248" s="264" t="e">
        <f>H226+H239+H246+H247</f>
        <v>#REF!</v>
      </c>
      <c r="I248" s="264" t="e">
        <f>I226+I239+I246+I247</f>
        <v>#REF!</v>
      </c>
      <c r="J248" s="264" t="e">
        <f>J226+J239+J246+J247</f>
        <v>#REF!</v>
      </c>
      <c r="K248" s="264" t="e">
        <f>K226+K239+K246+K247</f>
        <v>#REF!</v>
      </c>
      <c r="L248" s="264">
        <v>102624</v>
      </c>
      <c r="M248" s="264">
        <f>N248-L248</f>
        <v>-228.30000000000291</v>
      </c>
      <c r="N248" s="240">
        <v>102395.7</v>
      </c>
      <c r="O248" s="264">
        <v>83837.5</v>
      </c>
      <c r="P248" s="264">
        <f>Q248-O248</f>
        <v>14288.199999999997</v>
      </c>
      <c r="Q248" s="264">
        <v>98125.7</v>
      </c>
      <c r="R248" s="395"/>
    </row>
    <row r="249" spans="1:19" ht="262.5" customHeight="1">
      <c r="A249" s="652" t="s">
        <v>18</v>
      </c>
      <c r="B249" s="652"/>
      <c r="C249" s="652"/>
      <c r="D249" s="652"/>
      <c r="E249" s="652"/>
      <c r="F249" s="653"/>
      <c r="G249" s="240" t="s">
        <v>203</v>
      </c>
      <c r="H249" s="264">
        <f>H235+H236+H237</f>
        <v>2592.0530000000003</v>
      </c>
      <c r="I249" s="264">
        <f>I235+I236+I237</f>
        <v>2592.0530000000003</v>
      </c>
      <c r="J249" s="264">
        <f>J235+J236+J237</f>
        <v>0</v>
      </c>
      <c r="K249" s="264">
        <f>K235+K236+K237</f>
        <v>0</v>
      </c>
      <c r="L249" s="264">
        <v>2592.1</v>
      </c>
      <c r="M249" s="303">
        <f>N249-L249</f>
        <v>2171.6630000000009</v>
      </c>
      <c r="N249" s="303">
        <v>4763.7630000000008</v>
      </c>
      <c r="O249" s="264">
        <v>0</v>
      </c>
      <c r="P249" s="301">
        <f>Q249-O249</f>
        <v>0</v>
      </c>
      <c r="Q249" s="264">
        <v>0</v>
      </c>
      <c r="R249" s="396"/>
    </row>
    <row r="250" spans="1:19" ht="83.25">
      <c r="A250" s="654"/>
      <c r="B250" s="654"/>
      <c r="C250" s="654"/>
      <c r="D250" s="654"/>
      <c r="E250" s="654"/>
      <c r="F250" s="655"/>
      <c r="G250" s="238" t="s">
        <v>394</v>
      </c>
      <c r="H250" s="264">
        <f>H247</f>
        <v>799.7</v>
      </c>
      <c r="I250" s="264">
        <f>I247</f>
        <v>799.7</v>
      </c>
      <c r="J250" s="264">
        <f>J247</f>
        <v>0</v>
      </c>
      <c r="K250" s="264">
        <f>K247</f>
        <v>0</v>
      </c>
      <c r="L250" s="264">
        <v>799.7</v>
      </c>
      <c r="M250" s="303">
        <f t="shared" ref="M250:M251" si="17">N250-L250</f>
        <v>0</v>
      </c>
      <c r="N250" s="303">
        <v>799.7</v>
      </c>
      <c r="O250" s="264">
        <v>0</v>
      </c>
      <c r="P250" s="301">
        <f t="shared" ref="P250:P251" si="18">Q250-O250</f>
        <v>0</v>
      </c>
      <c r="Q250" s="264">
        <v>0</v>
      </c>
      <c r="R250" s="396"/>
    </row>
    <row r="251" spans="1:19" ht="91.5" customHeight="1">
      <c r="A251" s="656"/>
      <c r="B251" s="656"/>
      <c r="C251" s="656"/>
      <c r="D251" s="656"/>
      <c r="E251" s="656"/>
      <c r="F251" s="657"/>
      <c r="G251" s="240" t="s">
        <v>429</v>
      </c>
      <c r="H251" s="264" t="e">
        <f>#REF!+H239+H246</f>
        <v>#REF!</v>
      </c>
      <c r="I251" s="264" t="e">
        <f>#REF!+I239+I246</f>
        <v>#REF!</v>
      </c>
      <c r="J251" s="264" t="e">
        <f>#REF!+J239+J246</f>
        <v>#REF!</v>
      </c>
      <c r="K251" s="264" t="e">
        <f>#REF!+K239+K246</f>
        <v>#REF!</v>
      </c>
      <c r="L251" s="264">
        <v>96832.2</v>
      </c>
      <c r="M251" s="303">
        <f t="shared" si="17"/>
        <v>2.599999999802094E-2</v>
      </c>
      <c r="N251" s="303">
        <v>96832.225999999995</v>
      </c>
      <c r="O251" s="264">
        <v>83837.5</v>
      </c>
      <c r="P251" s="301">
        <f t="shared" si="18"/>
        <v>14288.199999999997</v>
      </c>
      <c r="Q251" s="264">
        <v>98125.7</v>
      </c>
      <c r="R251" s="396"/>
    </row>
    <row r="252" spans="1:19" ht="27.75" hidden="1">
      <c r="A252" s="661" t="s">
        <v>95</v>
      </c>
      <c r="B252" s="662"/>
      <c r="C252" s="662"/>
      <c r="D252" s="663"/>
      <c r="E252" s="395" t="s">
        <v>82</v>
      </c>
      <c r="F252" s="394"/>
      <c r="G252" s="283" t="s">
        <v>97</v>
      </c>
      <c r="H252" s="304">
        <f>SUM(H253:H254)</f>
        <v>34773.369999999995</v>
      </c>
      <c r="I252" s="304">
        <f>SUM(I253:I254)</f>
        <v>13373.369999999999</v>
      </c>
      <c r="J252" s="304">
        <f>SUM(J253:J254)</f>
        <v>16400</v>
      </c>
      <c r="K252" s="304">
        <f>SUM(K253:K254)</f>
        <v>5000</v>
      </c>
      <c r="L252" s="305"/>
      <c r="M252" s="305"/>
      <c r="N252" s="305"/>
      <c r="O252" s="305"/>
      <c r="P252" s="305"/>
      <c r="Q252" s="305"/>
      <c r="R252" s="396"/>
      <c r="S252" s="277"/>
    </row>
    <row r="253" spans="1:19" ht="210.75" hidden="1" customHeight="1">
      <c r="A253" s="664"/>
      <c r="B253" s="665"/>
      <c r="C253" s="665"/>
      <c r="D253" s="666"/>
      <c r="E253" s="396"/>
      <c r="F253" s="394"/>
      <c r="G253" s="240" t="s">
        <v>429</v>
      </c>
      <c r="H253" s="269">
        <f>H228+H240</f>
        <v>34523.369999999995</v>
      </c>
      <c r="I253" s="269">
        <f>I228+I240</f>
        <v>13123.369999999999</v>
      </c>
      <c r="J253" s="269">
        <f>J228+J240</f>
        <v>16400</v>
      </c>
      <c r="K253" s="269">
        <f>K228+K240</f>
        <v>5000</v>
      </c>
      <c r="L253" s="289"/>
      <c r="M253" s="289"/>
      <c r="N253" s="289"/>
      <c r="O253" s="289"/>
      <c r="P253" s="289"/>
      <c r="Q253" s="289"/>
      <c r="R253" s="396"/>
      <c r="S253" s="277"/>
    </row>
    <row r="254" spans="1:19" ht="222" hidden="1">
      <c r="A254" s="664"/>
      <c r="B254" s="665"/>
      <c r="C254" s="665"/>
      <c r="D254" s="666"/>
      <c r="E254" s="397"/>
      <c r="F254" s="394"/>
      <c r="G254" s="240" t="s">
        <v>203</v>
      </c>
      <c r="H254" s="269">
        <f>H235</f>
        <v>250</v>
      </c>
      <c r="I254" s="269">
        <f>I235</f>
        <v>250</v>
      </c>
      <c r="J254" s="269">
        <f>J235</f>
        <v>0</v>
      </c>
      <c r="K254" s="269">
        <f>K235</f>
        <v>0</v>
      </c>
      <c r="L254" s="289"/>
      <c r="M254" s="289"/>
      <c r="N254" s="289"/>
      <c r="O254" s="289"/>
      <c r="P254" s="289"/>
      <c r="Q254" s="289"/>
      <c r="R254" s="396"/>
      <c r="S254" s="277"/>
    </row>
    <row r="255" spans="1:19" ht="27.75" hidden="1">
      <c r="A255" s="664"/>
      <c r="B255" s="665"/>
      <c r="C255" s="665"/>
      <c r="D255" s="666"/>
      <c r="E255" s="240" t="s">
        <v>76</v>
      </c>
      <c r="F255" s="394"/>
      <c r="G255" s="394" t="s">
        <v>429</v>
      </c>
      <c r="H255" s="269">
        <f>H229</f>
        <v>5132</v>
      </c>
      <c r="I255" s="269">
        <f>I229+I241</f>
        <v>601.13</v>
      </c>
      <c r="J255" s="269">
        <f>J229+J241</f>
        <v>6200</v>
      </c>
      <c r="K255" s="269">
        <f>K229</f>
        <v>2500</v>
      </c>
      <c r="L255" s="289"/>
      <c r="M255" s="289"/>
      <c r="N255" s="289"/>
      <c r="O255" s="289"/>
      <c r="P255" s="289"/>
      <c r="Q255" s="289"/>
      <c r="R255" s="396"/>
      <c r="S255" s="277"/>
    </row>
    <row r="256" spans="1:19" ht="27.75" hidden="1">
      <c r="A256" s="664"/>
      <c r="B256" s="665"/>
      <c r="C256" s="665"/>
      <c r="D256" s="666"/>
      <c r="E256" s="240" t="s">
        <v>77</v>
      </c>
      <c r="F256" s="394"/>
      <c r="G256" s="394"/>
      <c r="H256" s="269">
        <f>H230+H242</f>
        <v>44223.654000000002</v>
      </c>
      <c r="I256" s="269">
        <f>I230+I242</f>
        <v>17723.654000000002</v>
      </c>
      <c r="J256" s="269">
        <f>J230+J242</f>
        <v>21500</v>
      </c>
      <c r="K256" s="269">
        <f>K230+K242</f>
        <v>5000</v>
      </c>
      <c r="L256" s="289"/>
      <c r="M256" s="289"/>
      <c r="N256" s="289"/>
      <c r="O256" s="289"/>
      <c r="P256" s="289"/>
      <c r="Q256" s="289"/>
      <c r="R256" s="396"/>
      <c r="S256" s="277"/>
    </row>
    <row r="257" spans="1:19" ht="27.75" hidden="1">
      <c r="A257" s="664"/>
      <c r="B257" s="665"/>
      <c r="C257" s="665"/>
      <c r="D257" s="666"/>
      <c r="E257" s="395" t="s">
        <v>75</v>
      </c>
      <c r="F257" s="394"/>
      <c r="G257" s="283" t="s">
        <v>97</v>
      </c>
      <c r="H257" s="269">
        <f>H258+H259</f>
        <v>52303.255000000005</v>
      </c>
      <c r="I257" s="269">
        <f>I258+I259</f>
        <v>28403.255000000001</v>
      </c>
      <c r="J257" s="269">
        <f>J258+J259</f>
        <v>18900</v>
      </c>
      <c r="K257" s="269">
        <f>K258+K259</f>
        <v>5000</v>
      </c>
      <c r="L257" s="289"/>
      <c r="M257" s="289"/>
      <c r="N257" s="289"/>
      <c r="O257" s="289"/>
      <c r="P257" s="289"/>
      <c r="Q257" s="289"/>
      <c r="R257" s="396"/>
      <c r="S257" s="277"/>
    </row>
    <row r="258" spans="1:19" ht="210.75" hidden="1" customHeight="1">
      <c r="A258" s="664"/>
      <c r="B258" s="665"/>
      <c r="C258" s="665"/>
      <c r="D258" s="666"/>
      <c r="E258" s="396"/>
      <c r="F258" s="394"/>
      <c r="G258" s="240" t="s">
        <v>429</v>
      </c>
      <c r="H258" s="269">
        <f>H231+H243+H246</f>
        <v>50891.202000000005</v>
      </c>
      <c r="I258" s="269">
        <f>I231+I243+I246</f>
        <v>26991.202000000001</v>
      </c>
      <c r="J258" s="269">
        <f>J231+J243+J246</f>
        <v>18900</v>
      </c>
      <c r="K258" s="269">
        <f>K231+K243+K246</f>
        <v>5000</v>
      </c>
      <c r="L258" s="289"/>
      <c r="M258" s="289"/>
      <c r="N258" s="289"/>
      <c r="O258" s="289"/>
      <c r="P258" s="289"/>
      <c r="Q258" s="289"/>
      <c r="R258" s="396"/>
      <c r="S258" s="277"/>
    </row>
    <row r="259" spans="1:19" ht="222" hidden="1">
      <c r="A259" s="664"/>
      <c r="B259" s="665"/>
      <c r="C259" s="665"/>
      <c r="D259" s="666"/>
      <c r="E259" s="397"/>
      <c r="F259" s="394"/>
      <c r="G259" s="240" t="s">
        <v>203</v>
      </c>
      <c r="H259" s="269">
        <f>H236</f>
        <v>1412.0530000000003</v>
      </c>
      <c r="I259" s="269">
        <f>I236</f>
        <v>1412.0530000000003</v>
      </c>
      <c r="J259" s="269">
        <f>J236</f>
        <v>0</v>
      </c>
      <c r="K259" s="269">
        <f>K236</f>
        <v>0</v>
      </c>
      <c r="L259" s="289"/>
      <c r="M259" s="289"/>
      <c r="N259" s="289"/>
      <c r="O259" s="289"/>
      <c r="P259" s="289"/>
      <c r="Q259" s="289"/>
      <c r="R259" s="396"/>
      <c r="S259" s="277"/>
    </row>
    <row r="260" spans="1:19" ht="27.75" hidden="1">
      <c r="A260" s="664"/>
      <c r="B260" s="665"/>
      <c r="C260" s="665"/>
      <c r="D260" s="666"/>
      <c r="E260" s="395" t="s">
        <v>79</v>
      </c>
      <c r="F260" s="394"/>
      <c r="G260" s="283" t="s">
        <v>97</v>
      </c>
      <c r="H260" s="269">
        <f>H261+H262</f>
        <v>30449.57</v>
      </c>
      <c r="I260" s="269">
        <f>I261+I262</f>
        <v>18349.57</v>
      </c>
      <c r="J260" s="269">
        <f>J261+J262</f>
        <v>12100</v>
      </c>
      <c r="K260" s="269">
        <f>K261+K262</f>
        <v>0</v>
      </c>
      <c r="L260" s="289"/>
      <c r="M260" s="289"/>
      <c r="N260" s="289"/>
      <c r="O260" s="289"/>
      <c r="P260" s="289"/>
      <c r="Q260" s="289"/>
      <c r="R260" s="396"/>
      <c r="S260" s="277"/>
    </row>
    <row r="261" spans="1:19" ht="210.75" hidden="1" customHeight="1">
      <c r="A261" s="664"/>
      <c r="B261" s="665"/>
      <c r="C261" s="665"/>
      <c r="D261" s="666"/>
      <c r="E261" s="396"/>
      <c r="F261" s="394"/>
      <c r="G261" s="240" t="s">
        <v>429</v>
      </c>
      <c r="H261" s="269">
        <f>H232+H244</f>
        <v>29519.57</v>
      </c>
      <c r="I261" s="269">
        <f>I232+I244</f>
        <v>17419.57</v>
      </c>
      <c r="J261" s="269">
        <f>J232+J244</f>
        <v>12100</v>
      </c>
      <c r="K261" s="269">
        <f>K232+K244</f>
        <v>0</v>
      </c>
      <c r="L261" s="289"/>
      <c r="M261" s="289"/>
      <c r="N261" s="289"/>
      <c r="O261" s="289"/>
      <c r="P261" s="289"/>
      <c r="Q261" s="289"/>
      <c r="R261" s="396"/>
      <c r="S261" s="277"/>
    </row>
    <row r="262" spans="1:19" ht="222" hidden="1">
      <c r="A262" s="664"/>
      <c r="B262" s="665"/>
      <c r="C262" s="665"/>
      <c r="D262" s="666"/>
      <c r="E262" s="397"/>
      <c r="F262" s="394"/>
      <c r="G262" s="240" t="s">
        <v>203</v>
      </c>
      <c r="H262" s="269">
        <f>H237</f>
        <v>930</v>
      </c>
      <c r="I262" s="269">
        <f>I237</f>
        <v>930</v>
      </c>
      <c r="J262" s="269">
        <f>J237</f>
        <v>0</v>
      </c>
      <c r="K262" s="269">
        <f>K237</f>
        <v>0</v>
      </c>
      <c r="L262" s="289"/>
      <c r="M262" s="289"/>
      <c r="N262" s="289"/>
      <c r="O262" s="289"/>
      <c r="P262" s="289"/>
      <c r="Q262" s="289"/>
      <c r="R262" s="396"/>
      <c r="S262" s="277"/>
    </row>
    <row r="263" spans="1:19" ht="210.75" hidden="1" customHeight="1">
      <c r="A263" s="664"/>
      <c r="B263" s="665"/>
      <c r="C263" s="665"/>
      <c r="D263" s="666"/>
      <c r="E263" s="240" t="s">
        <v>78</v>
      </c>
      <c r="F263" s="394"/>
      <c r="G263" s="236" t="s">
        <v>429</v>
      </c>
      <c r="H263" s="269">
        <f>H233+H245</f>
        <v>1250</v>
      </c>
      <c r="I263" s="269">
        <f>I233+I245</f>
        <v>1250</v>
      </c>
      <c r="J263" s="269">
        <f>J233+J245</f>
        <v>0</v>
      </c>
      <c r="K263" s="269">
        <f>K233+K245</f>
        <v>0</v>
      </c>
      <c r="L263" s="289"/>
      <c r="M263" s="289"/>
      <c r="N263" s="289"/>
      <c r="O263" s="289"/>
      <c r="P263" s="289"/>
      <c r="Q263" s="289"/>
      <c r="R263" s="396"/>
      <c r="S263" s="277"/>
    </row>
    <row r="264" spans="1:19" ht="27.75" hidden="1">
      <c r="A264" s="664"/>
      <c r="B264" s="665"/>
      <c r="C264" s="665"/>
      <c r="D264" s="666"/>
      <c r="E264" s="395" t="s">
        <v>54</v>
      </c>
      <c r="F264" s="394"/>
      <c r="G264" s="283" t="s">
        <v>97</v>
      </c>
      <c r="H264" s="269">
        <f>H265+H266</f>
        <v>40260.5</v>
      </c>
      <c r="I264" s="269">
        <f>I265+I266</f>
        <v>20523</v>
      </c>
      <c r="J264" s="269">
        <f>J265+J266</f>
        <v>19737.5</v>
      </c>
      <c r="K264" s="269">
        <f>K265+K266</f>
        <v>0</v>
      </c>
      <c r="L264" s="289"/>
      <c r="M264" s="289"/>
      <c r="N264" s="289"/>
      <c r="O264" s="289"/>
      <c r="P264" s="289"/>
      <c r="Q264" s="289"/>
      <c r="R264" s="396"/>
      <c r="S264" s="277"/>
    </row>
    <row r="265" spans="1:19" ht="83.25" hidden="1">
      <c r="A265" s="664"/>
      <c r="B265" s="665"/>
      <c r="C265" s="665"/>
      <c r="D265" s="666"/>
      <c r="E265" s="396"/>
      <c r="F265" s="394"/>
      <c r="G265" s="238" t="s">
        <v>394</v>
      </c>
      <c r="H265" s="269">
        <f>H247</f>
        <v>799.7</v>
      </c>
      <c r="I265" s="269">
        <f>I247</f>
        <v>799.7</v>
      </c>
      <c r="J265" s="269">
        <f>J247</f>
        <v>0</v>
      </c>
      <c r="K265" s="269">
        <f>K247</f>
        <v>0</v>
      </c>
      <c r="L265" s="289"/>
      <c r="M265" s="289"/>
      <c r="N265" s="289"/>
      <c r="O265" s="289"/>
      <c r="P265" s="289"/>
      <c r="Q265" s="289"/>
      <c r="R265" s="396"/>
      <c r="S265" s="277"/>
    </row>
    <row r="266" spans="1:19" ht="210.75" hidden="1" customHeight="1">
      <c r="A266" s="667"/>
      <c r="B266" s="668"/>
      <c r="C266" s="668"/>
      <c r="D266" s="669"/>
      <c r="E266" s="397"/>
      <c r="F266" s="394"/>
      <c r="G266" s="236" t="s">
        <v>429</v>
      </c>
      <c r="H266" s="269">
        <f>H227</f>
        <v>39460.800000000003</v>
      </c>
      <c r="I266" s="269">
        <f>I227</f>
        <v>19723.3</v>
      </c>
      <c r="J266" s="269">
        <f>J227</f>
        <v>19737.5</v>
      </c>
      <c r="K266" s="269">
        <f>K227</f>
        <v>0</v>
      </c>
      <c r="L266" s="300"/>
      <c r="M266" s="300"/>
      <c r="N266" s="300"/>
      <c r="O266" s="300"/>
      <c r="P266" s="300"/>
      <c r="Q266" s="300"/>
      <c r="R266" s="397"/>
      <c r="S266" s="277"/>
    </row>
    <row r="267" spans="1:19" ht="57" customHeight="1">
      <c r="A267" s="649" t="s">
        <v>102</v>
      </c>
      <c r="B267" s="650"/>
      <c r="C267" s="650"/>
      <c r="D267" s="650"/>
      <c r="E267" s="650"/>
      <c r="F267" s="651"/>
      <c r="G267" s="264"/>
      <c r="H267" s="264" t="e">
        <f>H123+H179+H214+H248</f>
        <v>#REF!</v>
      </c>
      <c r="I267" s="264" t="e">
        <f>I123+I179+I214+I248</f>
        <v>#REF!</v>
      </c>
      <c r="J267" s="264" t="e">
        <f>J123+J179+J214+J248</f>
        <v>#REF!</v>
      </c>
      <c r="K267" s="264" t="e">
        <f>K123+K179+K214+K248</f>
        <v>#REF!</v>
      </c>
      <c r="L267" s="264">
        <v>291274.7</v>
      </c>
      <c r="M267" s="264">
        <f>N267-L267</f>
        <v>-182.90000000002328</v>
      </c>
      <c r="N267" s="264">
        <v>291091.8</v>
      </c>
      <c r="O267" s="264">
        <v>153311.9</v>
      </c>
      <c r="P267" s="264">
        <f>Q267-O267</f>
        <v>22359.800000000017</v>
      </c>
      <c r="Q267" s="264">
        <v>175671.7</v>
      </c>
      <c r="R267" s="394"/>
      <c r="S267" s="286" t="e">
        <f>153942.7-J267</f>
        <v>#REF!</v>
      </c>
    </row>
    <row r="268" spans="1:19" ht="210.75" hidden="1" customHeight="1">
      <c r="A268" s="662" t="s">
        <v>103</v>
      </c>
      <c r="B268" s="662"/>
      <c r="C268" s="662"/>
      <c r="D268" s="662"/>
      <c r="E268" s="662"/>
      <c r="F268" s="663"/>
      <c r="G268" s="236" t="s">
        <v>426</v>
      </c>
      <c r="H268" s="264">
        <f>H124+H180+H215</f>
        <v>261216.43229999999</v>
      </c>
      <c r="I268" s="264">
        <f>I124+I180+I215</f>
        <v>124821.12299999998</v>
      </c>
      <c r="J268" s="264">
        <f>J124+J180+J215-0.1</f>
        <v>69874.28</v>
      </c>
      <c r="K268" s="264">
        <f>K124+K180+K215</f>
        <v>68020.929299999989</v>
      </c>
      <c r="L268" s="264"/>
      <c r="M268" s="264"/>
      <c r="N268" s="264"/>
      <c r="O268" s="264"/>
      <c r="P268" s="264"/>
      <c r="Q268" s="264"/>
      <c r="R268" s="394"/>
    </row>
    <row r="269" spans="1:19" ht="210.75" hidden="1" customHeight="1">
      <c r="A269" s="665"/>
      <c r="B269" s="665"/>
      <c r="C269" s="665"/>
      <c r="D269" s="665"/>
      <c r="E269" s="665"/>
      <c r="F269" s="666"/>
      <c r="G269" s="236" t="s">
        <v>429</v>
      </c>
      <c r="H269" s="264" t="e">
        <f>H251</f>
        <v>#REF!</v>
      </c>
      <c r="I269" s="264" t="e">
        <f>I251</f>
        <v>#REF!</v>
      </c>
      <c r="J269" s="264" t="e">
        <f>J251</f>
        <v>#REF!</v>
      </c>
      <c r="K269" s="264" t="e">
        <f>K251</f>
        <v>#REF!</v>
      </c>
      <c r="L269" s="264"/>
      <c r="M269" s="264"/>
      <c r="N269" s="264"/>
      <c r="O269" s="264"/>
      <c r="P269" s="264"/>
      <c r="Q269" s="264"/>
      <c r="R269" s="394"/>
    </row>
    <row r="270" spans="1:19" ht="83.25" hidden="1">
      <c r="A270" s="665"/>
      <c r="B270" s="665"/>
      <c r="C270" s="665"/>
      <c r="D270" s="665"/>
      <c r="E270" s="665"/>
      <c r="F270" s="666"/>
      <c r="G270" s="236" t="s">
        <v>96</v>
      </c>
      <c r="H270" s="264">
        <f>H125</f>
        <v>52839.700000000004</v>
      </c>
      <c r="I270" s="264">
        <f>I125</f>
        <v>52839.700000000004</v>
      </c>
      <c r="J270" s="264">
        <f>J125</f>
        <v>0</v>
      </c>
      <c r="K270" s="264">
        <f>K125</f>
        <v>0</v>
      </c>
      <c r="L270" s="264"/>
      <c r="M270" s="264"/>
      <c r="N270" s="264"/>
      <c r="O270" s="264"/>
      <c r="P270" s="264"/>
      <c r="Q270" s="264"/>
      <c r="R270" s="394"/>
    </row>
    <row r="271" spans="1:19" ht="277.5" hidden="1">
      <c r="A271" s="665"/>
      <c r="B271" s="665"/>
      <c r="C271" s="665"/>
      <c r="D271" s="665"/>
      <c r="E271" s="665"/>
      <c r="F271" s="666"/>
      <c r="G271" s="240" t="s">
        <v>100</v>
      </c>
      <c r="H271" s="264">
        <f>H182+H216</f>
        <v>6612.1190000000006</v>
      </c>
      <c r="I271" s="264">
        <f>I182+I216</f>
        <v>6612.1190000000006</v>
      </c>
      <c r="J271" s="264">
        <f>J182+J216</f>
        <v>0</v>
      </c>
      <c r="K271" s="264">
        <f>K182+K216</f>
        <v>0</v>
      </c>
      <c r="L271" s="264"/>
      <c r="M271" s="264"/>
      <c r="N271" s="264"/>
      <c r="O271" s="264"/>
      <c r="P271" s="264"/>
      <c r="Q271" s="264"/>
      <c r="R271" s="394"/>
    </row>
    <row r="272" spans="1:19" ht="222" hidden="1">
      <c r="A272" s="665"/>
      <c r="B272" s="665"/>
      <c r="C272" s="665"/>
      <c r="D272" s="665"/>
      <c r="E272" s="665"/>
      <c r="F272" s="666"/>
      <c r="G272" s="236" t="s">
        <v>99</v>
      </c>
      <c r="H272" s="264">
        <f>H126+H181</f>
        <v>4318.2</v>
      </c>
      <c r="I272" s="264">
        <f>I126+I181</f>
        <v>4318.2</v>
      </c>
      <c r="J272" s="264">
        <f>J126+J181</f>
        <v>0</v>
      </c>
      <c r="K272" s="264">
        <f>K126+K181</f>
        <v>0</v>
      </c>
      <c r="L272" s="264"/>
      <c r="M272" s="264"/>
      <c r="N272" s="264"/>
      <c r="O272" s="264"/>
      <c r="P272" s="264"/>
      <c r="Q272" s="264"/>
      <c r="R272" s="394"/>
    </row>
    <row r="273" spans="1:18" ht="222" hidden="1">
      <c r="A273" s="665"/>
      <c r="B273" s="665"/>
      <c r="C273" s="665"/>
      <c r="D273" s="665"/>
      <c r="E273" s="665"/>
      <c r="F273" s="666"/>
      <c r="G273" s="240" t="s">
        <v>203</v>
      </c>
      <c r="H273" s="264">
        <f>H249</f>
        <v>2592.0530000000003</v>
      </c>
      <c r="I273" s="264">
        <f t="shared" ref="I273:K274" si="19">I249</f>
        <v>2592.0530000000003</v>
      </c>
      <c r="J273" s="264">
        <f t="shared" si="19"/>
        <v>0</v>
      </c>
      <c r="K273" s="264">
        <f t="shared" si="19"/>
        <v>0</v>
      </c>
      <c r="L273" s="264"/>
      <c r="M273" s="264"/>
      <c r="N273" s="264"/>
      <c r="O273" s="264"/>
      <c r="P273" s="264"/>
      <c r="Q273" s="264"/>
      <c r="R273" s="394"/>
    </row>
    <row r="274" spans="1:18" ht="83.25" hidden="1">
      <c r="A274" s="665"/>
      <c r="B274" s="665"/>
      <c r="C274" s="665"/>
      <c r="D274" s="665"/>
      <c r="E274" s="665"/>
      <c r="F274" s="666"/>
      <c r="G274" s="238" t="s">
        <v>394</v>
      </c>
      <c r="H274" s="264">
        <f>H250</f>
        <v>799.7</v>
      </c>
      <c r="I274" s="264">
        <f t="shared" si="19"/>
        <v>799.7</v>
      </c>
      <c r="J274" s="264">
        <f t="shared" si="19"/>
        <v>0</v>
      </c>
      <c r="K274" s="264">
        <f t="shared" si="19"/>
        <v>0</v>
      </c>
      <c r="L274" s="264"/>
      <c r="M274" s="264"/>
      <c r="N274" s="264"/>
      <c r="O274" s="264"/>
      <c r="P274" s="264"/>
      <c r="Q274" s="264"/>
      <c r="R274" s="394"/>
    </row>
    <row r="275" spans="1:18" ht="83.25" hidden="1">
      <c r="A275" s="668"/>
      <c r="B275" s="668"/>
      <c r="C275" s="668"/>
      <c r="D275" s="668"/>
      <c r="E275" s="668"/>
      <c r="F275" s="669"/>
      <c r="G275" s="236" t="s">
        <v>328</v>
      </c>
      <c r="H275" s="264">
        <f>H127</f>
        <v>60</v>
      </c>
      <c r="I275" s="264">
        <f>I127</f>
        <v>60</v>
      </c>
      <c r="J275" s="264">
        <f>J127</f>
        <v>0</v>
      </c>
      <c r="K275" s="264">
        <f>K127</f>
        <v>0</v>
      </c>
      <c r="L275" s="264"/>
      <c r="M275" s="264"/>
      <c r="N275" s="264"/>
      <c r="O275" s="264"/>
      <c r="P275" s="264"/>
      <c r="Q275" s="264"/>
      <c r="R275" s="394"/>
    </row>
    <row r="276" spans="1:18" ht="27.75" hidden="1">
      <c r="A276" s="662" t="s">
        <v>95</v>
      </c>
      <c r="B276" s="662"/>
      <c r="C276" s="662"/>
      <c r="D276" s="663"/>
      <c r="E276" s="395" t="s">
        <v>82</v>
      </c>
      <c r="F276" s="676"/>
      <c r="G276" s="236" t="s">
        <v>90</v>
      </c>
      <c r="H276" s="264">
        <f>SUM(H277:H282)</f>
        <v>75206.61</v>
      </c>
      <c r="I276" s="264">
        <f>SUM(I277:I282)</f>
        <v>41972.21</v>
      </c>
      <c r="J276" s="264">
        <f>SUM(J277:J282)</f>
        <v>16756.7</v>
      </c>
      <c r="K276" s="264">
        <f>SUM(K277:K282)</f>
        <v>10406.5</v>
      </c>
      <c r="L276" s="265"/>
      <c r="M276" s="265"/>
      <c r="N276" s="265"/>
      <c r="O276" s="265"/>
      <c r="P276" s="265"/>
      <c r="Q276" s="265"/>
      <c r="R276" s="265"/>
    </row>
    <row r="277" spans="1:18" ht="83.25" hidden="1">
      <c r="A277" s="665"/>
      <c r="B277" s="665"/>
      <c r="C277" s="665"/>
      <c r="D277" s="666"/>
      <c r="E277" s="396"/>
      <c r="F277" s="677"/>
      <c r="G277" s="240" t="s">
        <v>425</v>
      </c>
      <c r="H277" s="264">
        <f>H129+H185</f>
        <v>27739.84</v>
      </c>
      <c r="I277" s="264">
        <f>I129+I185</f>
        <v>15905.439999999999</v>
      </c>
      <c r="J277" s="264">
        <f>J129+J185</f>
        <v>356.7</v>
      </c>
      <c r="K277" s="264">
        <f>K129+K185</f>
        <v>5406.5</v>
      </c>
      <c r="L277" s="267"/>
      <c r="M277" s="267"/>
      <c r="N277" s="267"/>
      <c r="O277" s="267"/>
      <c r="P277" s="267"/>
      <c r="Q277" s="267"/>
      <c r="R277" s="267"/>
    </row>
    <row r="278" spans="1:18" ht="83.25" hidden="1">
      <c r="A278" s="665"/>
      <c r="B278" s="665"/>
      <c r="C278" s="665"/>
      <c r="D278" s="666"/>
      <c r="E278" s="396"/>
      <c r="F278" s="677"/>
      <c r="G278" s="236" t="s">
        <v>96</v>
      </c>
      <c r="H278" s="264">
        <f>H132</f>
        <v>12485.6</v>
      </c>
      <c r="I278" s="264">
        <f>I132</f>
        <v>12485.6</v>
      </c>
      <c r="J278" s="264">
        <f>J132</f>
        <v>0</v>
      </c>
      <c r="K278" s="264">
        <f>K132</f>
        <v>0</v>
      </c>
      <c r="L278" s="267"/>
      <c r="M278" s="267"/>
      <c r="N278" s="267"/>
      <c r="O278" s="267"/>
      <c r="P278" s="267"/>
      <c r="Q278" s="267"/>
      <c r="R278" s="267"/>
    </row>
    <row r="279" spans="1:18" ht="222" hidden="1">
      <c r="A279" s="665"/>
      <c r="B279" s="665"/>
      <c r="C279" s="665"/>
      <c r="D279" s="666"/>
      <c r="E279" s="396"/>
      <c r="F279" s="677"/>
      <c r="G279" s="236" t="str">
        <f>G130</f>
        <v>Субвенція з місцевого бюджету на здійснення переданих видатків у сфері охорони здоров'я за рахунок коштів медичної субвенції (загальний фонд)</v>
      </c>
      <c r="H279" s="265">
        <f>H130+H184</f>
        <v>147.79999999999998</v>
      </c>
      <c r="I279" s="265">
        <f>I130+I184</f>
        <v>147.79999999999998</v>
      </c>
      <c r="J279" s="265">
        <f>J130+J184</f>
        <v>0</v>
      </c>
      <c r="K279" s="265">
        <f>K130+K184</f>
        <v>0</v>
      </c>
      <c r="L279" s="267"/>
      <c r="M279" s="267"/>
      <c r="N279" s="267"/>
      <c r="O279" s="267"/>
      <c r="P279" s="267"/>
      <c r="Q279" s="267"/>
      <c r="R279" s="267"/>
    </row>
    <row r="280" spans="1:18" ht="222" hidden="1">
      <c r="A280" s="665"/>
      <c r="B280" s="665"/>
      <c r="C280" s="665"/>
      <c r="D280" s="666"/>
      <c r="E280" s="396"/>
      <c r="F280" s="677"/>
      <c r="G280" s="236" t="s">
        <v>203</v>
      </c>
      <c r="H280" s="264">
        <f>H254</f>
        <v>250</v>
      </c>
      <c r="I280" s="264">
        <f>I254</f>
        <v>250</v>
      </c>
      <c r="J280" s="264">
        <f>J254</f>
        <v>0</v>
      </c>
      <c r="K280" s="264">
        <f>K254</f>
        <v>0</v>
      </c>
      <c r="L280" s="267"/>
      <c r="M280" s="267"/>
      <c r="N280" s="267"/>
      <c r="O280" s="267"/>
      <c r="P280" s="267"/>
      <c r="Q280" s="267"/>
      <c r="R280" s="267"/>
    </row>
    <row r="281" spans="1:18" ht="83.25" hidden="1">
      <c r="A281" s="665"/>
      <c r="B281" s="665"/>
      <c r="C281" s="665"/>
      <c r="D281" s="666"/>
      <c r="E281" s="396"/>
      <c r="F281" s="677"/>
      <c r="G281" s="240" t="s">
        <v>328</v>
      </c>
      <c r="H281" s="264">
        <f>H131</f>
        <v>60</v>
      </c>
      <c r="I281" s="264">
        <f>I131</f>
        <v>60</v>
      </c>
      <c r="J281" s="264">
        <f>J131</f>
        <v>0</v>
      </c>
      <c r="K281" s="264">
        <f>K131</f>
        <v>0</v>
      </c>
      <c r="L281" s="267"/>
      <c r="M281" s="267"/>
      <c r="N281" s="267"/>
      <c r="O281" s="267"/>
      <c r="P281" s="267"/>
      <c r="Q281" s="267"/>
      <c r="R281" s="267"/>
    </row>
    <row r="282" spans="1:18" ht="83.25" hidden="1">
      <c r="A282" s="665"/>
      <c r="B282" s="665"/>
      <c r="C282" s="665"/>
      <c r="D282" s="666"/>
      <c r="E282" s="397"/>
      <c r="F282" s="677"/>
      <c r="G282" s="240" t="s">
        <v>429</v>
      </c>
      <c r="H282" s="264">
        <f>H253</f>
        <v>34523.369999999995</v>
      </c>
      <c r="I282" s="264">
        <f>I253</f>
        <v>13123.369999999999</v>
      </c>
      <c r="J282" s="264">
        <f>J253</f>
        <v>16400</v>
      </c>
      <c r="K282" s="264">
        <f>K253</f>
        <v>5000</v>
      </c>
      <c r="L282" s="267"/>
      <c r="M282" s="267"/>
      <c r="N282" s="267"/>
      <c r="O282" s="267"/>
      <c r="P282" s="267"/>
      <c r="Q282" s="267"/>
      <c r="R282" s="267"/>
    </row>
    <row r="283" spans="1:18" ht="27.75" hidden="1">
      <c r="A283" s="665"/>
      <c r="B283" s="665"/>
      <c r="C283" s="665"/>
      <c r="D283" s="666"/>
      <c r="E283" s="395" t="s">
        <v>76</v>
      </c>
      <c r="F283" s="677"/>
      <c r="G283" s="236" t="s">
        <v>90</v>
      </c>
      <c r="H283" s="264">
        <f>SUM(H284:H286)</f>
        <v>46968.88</v>
      </c>
      <c r="I283" s="264">
        <f>SUM(I284:I286)</f>
        <v>21907.03</v>
      </c>
      <c r="J283" s="264">
        <f>SUM(J284:J286)</f>
        <v>16100.38</v>
      </c>
      <c r="K283" s="264">
        <f>SUM(K284:K286)</f>
        <v>13130.599999999999</v>
      </c>
      <c r="L283" s="267"/>
      <c r="M283" s="267"/>
      <c r="N283" s="267"/>
      <c r="O283" s="267"/>
      <c r="P283" s="267"/>
      <c r="Q283" s="267"/>
      <c r="R283" s="267"/>
    </row>
    <row r="284" spans="1:18" ht="83.25" hidden="1">
      <c r="A284" s="665"/>
      <c r="B284" s="665"/>
      <c r="C284" s="665"/>
      <c r="D284" s="666"/>
      <c r="E284" s="396"/>
      <c r="F284" s="677"/>
      <c r="G284" s="240" t="s">
        <v>425</v>
      </c>
      <c r="H284" s="264">
        <f>H134+H186+H222</f>
        <v>33676.78</v>
      </c>
      <c r="I284" s="264">
        <f>I134+I186+I222</f>
        <v>13145.799999999997</v>
      </c>
      <c r="J284" s="264">
        <f>J134+J186+J222</f>
        <v>9900.3799999999992</v>
      </c>
      <c r="K284" s="264">
        <f>K134+K186+K222</f>
        <v>10630.599999999999</v>
      </c>
      <c r="L284" s="267"/>
      <c r="M284" s="267"/>
      <c r="N284" s="267"/>
      <c r="O284" s="267"/>
      <c r="P284" s="267"/>
      <c r="Q284" s="267"/>
      <c r="R284" s="237"/>
    </row>
    <row r="285" spans="1:18" ht="83.25" hidden="1">
      <c r="A285" s="665"/>
      <c r="B285" s="665"/>
      <c r="C285" s="665"/>
      <c r="D285" s="666"/>
      <c r="E285" s="396"/>
      <c r="F285" s="677"/>
      <c r="G285" s="236" t="s">
        <v>96</v>
      </c>
      <c r="H285" s="264">
        <f>H135</f>
        <v>8160.1</v>
      </c>
      <c r="I285" s="264">
        <f>I135</f>
        <v>8160.1</v>
      </c>
      <c r="J285" s="264">
        <f>J135</f>
        <v>0</v>
      </c>
      <c r="K285" s="264">
        <f>K135</f>
        <v>0</v>
      </c>
      <c r="L285" s="267"/>
      <c r="M285" s="267"/>
      <c r="N285" s="267"/>
      <c r="O285" s="267"/>
      <c r="P285" s="267"/>
      <c r="Q285" s="267"/>
      <c r="R285" s="267"/>
    </row>
    <row r="286" spans="1:18" ht="83.25" hidden="1">
      <c r="A286" s="665"/>
      <c r="B286" s="665"/>
      <c r="C286" s="665"/>
      <c r="D286" s="666"/>
      <c r="E286" s="397"/>
      <c r="F286" s="677"/>
      <c r="G286" s="240" t="s">
        <v>429</v>
      </c>
      <c r="H286" s="264">
        <f>H255</f>
        <v>5132</v>
      </c>
      <c r="I286" s="264">
        <f>I255</f>
        <v>601.13</v>
      </c>
      <c r="J286" s="264">
        <f>J255</f>
        <v>6200</v>
      </c>
      <c r="K286" s="264">
        <f>K255</f>
        <v>2500</v>
      </c>
      <c r="L286" s="267"/>
      <c r="M286" s="267"/>
      <c r="N286" s="267"/>
      <c r="O286" s="267"/>
      <c r="P286" s="267"/>
      <c r="Q286" s="267"/>
      <c r="R286" s="237"/>
    </row>
    <row r="287" spans="1:18" ht="27.75" hidden="1">
      <c r="A287" s="665"/>
      <c r="B287" s="665"/>
      <c r="C287" s="665"/>
      <c r="D287" s="666"/>
      <c r="E287" s="395" t="s">
        <v>77</v>
      </c>
      <c r="F287" s="677"/>
      <c r="G287" s="236" t="s">
        <v>90</v>
      </c>
      <c r="H287" s="264">
        <f>SUM(H288:H291)</f>
        <v>98071.41399999999</v>
      </c>
      <c r="I287" s="264">
        <f>SUM(I288:I291)</f>
        <v>56314.854000000007</v>
      </c>
      <c r="J287" s="264">
        <f>SUM(J288:J291)</f>
        <v>28846.57</v>
      </c>
      <c r="K287" s="264">
        <f>SUM(K288:K291)</f>
        <v>12909.99</v>
      </c>
      <c r="L287" s="267"/>
      <c r="M287" s="267"/>
      <c r="N287" s="267"/>
      <c r="O287" s="267"/>
      <c r="P287" s="267"/>
      <c r="Q287" s="267"/>
      <c r="R287" s="237"/>
    </row>
    <row r="288" spans="1:18" ht="83.25" hidden="1">
      <c r="A288" s="665"/>
      <c r="B288" s="665"/>
      <c r="C288" s="665"/>
      <c r="D288" s="666"/>
      <c r="E288" s="396"/>
      <c r="F288" s="677"/>
      <c r="G288" s="240" t="s">
        <v>425</v>
      </c>
      <c r="H288" s="264">
        <f>H137+H187+H223</f>
        <v>38301.259999999995</v>
      </c>
      <c r="I288" s="264">
        <f>I137+I187+I223</f>
        <v>23044.7</v>
      </c>
      <c r="J288" s="264">
        <f>J137+J187+J223</f>
        <v>7346.57</v>
      </c>
      <c r="K288" s="264">
        <f>K137+K187+K223</f>
        <v>7909.99</v>
      </c>
      <c r="L288" s="267"/>
      <c r="M288" s="267"/>
      <c r="N288" s="267"/>
      <c r="O288" s="267"/>
      <c r="P288" s="267"/>
      <c r="Q288" s="267"/>
      <c r="R288" s="237"/>
    </row>
    <row r="289" spans="1:18" ht="83.25" hidden="1">
      <c r="A289" s="665"/>
      <c r="B289" s="665"/>
      <c r="C289" s="665"/>
      <c r="D289" s="666"/>
      <c r="E289" s="396"/>
      <c r="F289" s="677"/>
      <c r="G289" s="236" t="s">
        <v>96</v>
      </c>
      <c r="H289" s="264">
        <f>H138</f>
        <v>12866.2</v>
      </c>
      <c r="I289" s="264">
        <f t="shared" ref="I289:K290" si="20">I138</f>
        <v>12866.2</v>
      </c>
      <c r="J289" s="264">
        <f t="shared" si="20"/>
        <v>0</v>
      </c>
      <c r="K289" s="264">
        <f t="shared" si="20"/>
        <v>0</v>
      </c>
      <c r="L289" s="267"/>
      <c r="M289" s="267"/>
      <c r="N289" s="267"/>
      <c r="O289" s="267"/>
      <c r="P289" s="267"/>
      <c r="Q289" s="267"/>
      <c r="R289" s="237"/>
    </row>
    <row r="290" spans="1:18" ht="222" hidden="1">
      <c r="A290" s="665"/>
      <c r="B290" s="665"/>
      <c r="C290" s="665"/>
      <c r="D290" s="666"/>
      <c r="E290" s="396"/>
      <c r="F290" s="677"/>
      <c r="G290" s="236" t="s">
        <v>99</v>
      </c>
      <c r="H290" s="264">
        <f>H139</f>
        <v>2680.3</v>
      </c>
      <c r="I290" s="264">
        <f t="shared" si="20"/>
        <v>2680.3</v>
      </c>
      <c r="J290" s="264">
        <f t="shared" si="20"/>
        <v>0</v>
      </c>
      <c r="K290" s="264">
        <f t="shared" si="20"/>
        <v>0</v>
      </c>
      <c r="L290" s="267"/>
      <c r="M290" s="267"/>
      <c r="N290" s="267"/>
      <c r="O290" s="267"/>
      <c r="P290" s="267"/>
      <c r="Q290" s="267"/>
      <c r="R290" s="237"/>
    </row>
    <row r="291" spans="1:18" ht="83.25" hidden="1">
      <c r="A291" s="665"/>
      <c r="B291" s="665"/>
      <c r="C291" s="665"/>
      <c r="D291" s="666"/>
      <c r="E291" s="397"/>
      <c r="F291" s="677"/>
      <c r="G291" s="240" t="s">
        <v>429</v>
      </c>
      <c r="H291" s="264">
        <f>H256</f>
        <v>44223.654000000002</v>
      </c>
      <c r="I291" s="264">
        <f>I256</f>
        <v>17723.654000000002</v>
      </c>
      <c r="J291" s="264">
        <f>J256</f>
        <v>21500</v>
      </c>
      <c r="K291" s="264">
        <f>K256</f>
        <v>5000</v>
      </c>
      <c r="L291" s="267"/>
      <c r="M291" s="267"/>
      <c r="N291" s="267"/>
      <c r="O291" s="267"/>
      <c r="P291" s="267"/>
      <c r="Q291" s="267"/>
      <c r="R291" s="237"/>
    </row>
    <row r="292" spans="1:18" ht="27.75" hidden="1">
      <c r="A292" s="665"/>
      <c r="B292" s="665"/>
      <c r="C292" s="665"/>
      <c r="D292" s="666"/>
      <c r="E292" s="395" t="s">
        <v>75</v>
      </c>
      <c r="F292" s="677"/>
      <c r="G292" s="236" t="s">
        <v>90</v>
      </c>
      <c r="H292" s="264">
        <f>SUM(H293:H296)</f>
        <v>106635.36</v>
      </c>
      <c r="I292" s="264">
        <f>SUM(I293:I296)</f>
        <v>63223.638000000006</v>
      </c>
      <c r="J292" s="264">
        <f>SUM(J293:J296)</f>
        <v>29189.53</v>
      </c>
      <c r="K292" s="264">
        <f>SUM(K293:K296)</f>
        <v>14222.192000000001</v>
      </c>
      <c r="L292" s="267"/>
      <c r="M292" s="267"/>
      <c r="N292" s="267"/>
      <c r="O292" s="267"/>
      <c r="P292" s="267"/>
      <c r="Q292" s="267"/>
      <c r="R292" s="237"/>
    </row>
    <row r="293" spans="1:18" ht="83.25" hidden="1">
      <c r="A293" s="665"/>
      <c r="B293" s="665"/>
      <c r="C293" s="665"/>
      <c r="D293" s="666"/>
      <c r="E293" s="396"/>
      <c r="F293" s="677"/>
      <c r="G293" s="137" t="s">
        <v>425</v>
      </c>
      <c r="H293" s="264">
        <f>H141+H188+H224</f>
        <v>42484.104999999996</v>
      </c>
      <c r="I293" s="264">
        <f>I141+I188+I224</f>
        <v>22972.383000000002</v>
      </c>
      <c r="J293" s="264">
        <f>J141+J188+J224</f>
        <v>10289.530000000001</v>
      </c>
      <c r="K293" s="264">
        <f>K141+K188+K224</f>
        <v>9222.1920000000009</v>
      </c>
      <c r="L293" s="267"/>
      <c r="M293" s="267"/>
      <c r="N293" s="267"/>
      <c r="O293" s="267"/>
      <c r="P293" s="267"/>
      <c r="Q293" s="267"/>
      <c r="R293" s="237"/>
    </row>
    <row r="294" spans="1:18" ht="83.25" hidden="1">
      <c r="A294" s="665"/>
      <c r="B294" s="665"/>
      <c r="C294" s="665"/>
      <c r="D294" s="666"/>
      <c r="E294" s="396"/>
      <c r="F294" s="677"/>
      <c r="G294" s="236" t="s">
        <v>96</v>
      </c>
      <c r="H294" s="264">
        <f>H142</f>
        <v>11848</v>
      </c>
      <c r="I294" s="264">
        <f>I142</f>
        <v>11848</v>
      </c>
      <c r="J294" s="264">
        <f>J142</f>
        <v>0</v>
      </c>
      <c r="K294" s="264">
        <f>K142</f>
        <v>0</v>
      </c>
      <c r="L294" s="267"/>
      <c r="M294" s="267"/>
      <c r="N294" s="267"/>
      <c r="O294" s="267"/>
      <c r="P294" s="267"/>
      <c r="Q294" s="267"/>
      <c r="R294" s="237"/>
    </row>
    <row r="295" spans="1:18" ht="222" hidden="1">
      <c r="A295" s="665"/>
      <c r="B295" s="665"/>
      <c r="C295" s="665"/>
      <c r="D295" s="666"/>
      <c r="E295" s="396"/>
      <c r="F295" s="677"/>
      <c r="G295" s="236" t="s">
        <v>203</v>
      </c>
      <c r="H295" s="264">
        <f>H259</f>
        <v>1412.0530000000003</v>
      </c>
      <c r="I295" s="264">
        <f>I259</f>
        <v>1412.0530000000003</v>
      </c>
      <c r="J295" s="264">
        <f>J259</f>
        <v>0</v>
      </c>
      <c r="K295" s="264">
        <f>K259</f>
        <v>0</v>
      </c>
      <c r="L295" s="267"/>
      <c r="M295" s="267"/>
      <c r="N295" s="267"/>
      <c r="O295" s="267"/>
      <c r="P295" s="267"/>
      <c r="Q295" s="267"/>
      <c r="R295" s="237"/>
    </row>
    <row r="296" spans="1:18" ht="83.25" hidden="1">
      <c r="A296" s="665"/>
      <c r="B296" s="665"/>
      <c r="C296" s="665"/>
      <c r="D296" s="666"/>
      <c r="E296" s="397"/>
      <c r="F296" s="677"/>
      <c r="G296" s="240" t="s">
        <v>429</v>
      </c>
      <c r="H296" s="264">
        <f>H258</f>
        <v>50891.202000000005</v>
      </c>
      <c r="I296" s="264">
        <f>I258</f>
        <v>26991.202000000001</v>
      </c>
      <c r="J296" s="264">
        <f>J258</f>
        <v>18900</v>
      </c>
      <c r="K296" s="264">
        <f>K258</f>
        <v>5000</v>
      </c>
      <c r="L296" s="267"/>
      <c r="M296" s="267"/>
      <c r="N296" s="267"/>
      <c r="O296" s="267"/>
      <c r="P296" s="267"/>
      <c r="Q296" s="267"/>
      <c r="R296" s="237"/>
    </row>
    <row r="297" spans="1:18" ht="27.75" hidden="1">
      <c r="A297" s="665"/>
      <c r="B297" s="665"/>
      <c r="C297" s="665"/>
      <c r="D297" s="666"/>
      <c r="E297" s="395" t="s">
        <v>79</v>
      </c>
      <c r="F297" s="677"/>
      <c r="G297" s="236" t="s">
        <v>90</v>
      </c>
      <c r="H297" s="264">
        <f>SUM(H298:H301)</f>
        <v>49833.29</v>
      </c>
      <c r="I297" s="264">
        <f>SUM(I298:I301)</f>
        <v>30960.57</v>
      </c>
      <c r="J297" s="264">
        <f>SUM(J298:J301)</f>
        <v>15358.8</v>
      </c>
      <c r="K297" s="264">
        <f>SUM(K298:K301)</f>
        <v>3513.92</v>
      </c>
      <c r="L297" s="267"/>
      <c r="M297" s="267"/>
      <c r="N297" s="267"/>
      <c r="O297" s="267"/>
      <c r="P297" s="267"/>
      <c r="Q297" s="267"/>
      <c r="R297" s="237"/>
    </row>
    <row r="298" spans="1:18" ht="83.25" hidden="1">
      <c r="A298" s="665"/>
      <c r="B298" s="665"/>
      <c r="C298" s="665"/>
      <c r="D298" s="666"/>
      <c r="E298" s="396"/>
      <c r="F298" s="677"/>
      <c r="G298" s="137" t="s">
        <v>425</v>
      </c>
      <c r="H298" s="264">
        <f>H144</f>
        <v>13036.12</v>
      </c>
      <c r="I298" s="264">
        <f t="shared" ref="I298:K299" si="21">I144</f>
        <v>6263.4000000000005</v>
      </c>
      <c r="J298" s="264">
        <f t="shared" si="21"/>
        <v>3258.8</v>
      </c>
      <c r="K298" s="264">
        <f t="shared" si="21"/>
        <v>3513.92</v>
      </c>
      <c r="L298" s="267"/>
      <c r="M298" s="267"/>
      <c r="N298" s="267"/>
      <c r="O298" s="267"/>
      <c r="P298" s="267"/>
      <c r="Q298" s="267"/>
      <c r="R298" s="237"/>
    </row>
    <row r="299" spans="1:18" ht="83.25" hidden="1">
      <c r="A299" s="665"/>
      <c r="B299" s="665"/>
      <c r="C299" s="665"/>
      <c r="D299" s="666"/>
      <c r="E299" s="396"/>
      <c r="F299" s="677"/>
      <c r="G299" s="236" t="s">
        <v>96</v>
      </c>
      <c r="H299" s="264">
        <f>H145</f>
        <v>6347.6</v>
      </c>
      <c r="I299" s="264">
        <f t="shared" si="21"/>
        <v>6347.6</v>
      </c>
      <c r="J299" s="264">
        <f t="shared" si="21"/>
        <v>0</v>
      </c>
      <c r="K299" s="264">
        <f t="shared" si="21"/>
        <v>0</v>
      </c>
      <c r="L299" s="267"/>
      <c r="M299" s="267"/>
      <c r="N299" s="267"/>
      <c r="O299" s="267"/>
      <c r="P299" s="267"/>
      <c r="Q299" s="267"/>
      <c r="R299" s="237"/>
    </row>
    <row r="300" spans="1:18" ht="222" hidden="1">
      <c r="A300" s="665"/>
      <c r="B300" s="665"/>
      <c r="C300" s="665"/>
      <c r="D300" s="666"/>
      <c r="E300" s="396"/>
      <c r="F300" s="677"/>
      <c r="G300" s="236" t="s">
        <v>203</v>
      </c>
      <c r="H300" s="264">
        <f>H262</f>
        <v>930</v>
      </c>
      <c r="I300" s="264">
        <f>I262</f>
        <v>930</v>
      </c>
      <c r="J300" s="264">
        <f>J262</f>
        <v>0</v>
      </c>
      <c r="K300" s="264">
        <f>K262</f>
        <v>0</v>
      </c>
      <c r="L300" s="267"/>
      <c r="M300" s="267"/>
      <c r="N300" s="267"/>
      <c r="O300" s="267"/>
      <c r="P300" s="267"/>
      <c r="Q300" s="267"/>
      <c r="R300" s="237"/>
    </row>
    <row r="301" spans="1:18" ht="83.25" hidden="1">
      <c r="A301" s="665"/>
      <c r="B301" s="665"/>
      <c r="C301" s="665"/>
      <c r="D301" s="666"/>
      <c r="E301" s="397"/>
      <c r="F301" s="677"/>
      <c r="G301" s="240" t="s">
        <v>429</v>
      </c>
      <c r="H301" s="264">
        <f>H261</f>
        <v>29519.57</v>
      </c>
      <c r="I301" s="264">
        <f>I261</f>
        <v>17419.57</v>
      </c>
      <c r="J301" s="264">
        <f>J261</f>
        <v>12100</v>
      </c>
      <c r="K301" s="264">
        <f>K261</f>
        <v>0</v>
      </c>
      <c r="L301" s="267"/>
      <c r="M301" s="267"/>
      <c r="N301" s="267"/>
      <c r="O301" s="267"/>
      <c r="P301" s="267"/>
      <c r="Q301" s="267"/>
      <c r="R301" s="237"/>
    </row>
    <row r="302" spans="1:18" ht="27.75" hidden="1">
      <c r="A302" s="665"/>
      <c r="B302" s="665"/>
      <c r="C302" s="665"/>
      <c r="D302" s="666"/>
      <c r="E302" s="395" t="s">
        <v>78</v>
      </c>
      <c r="F302" s="677"/>
      <c r="G302" s="236" t="s">
        <v>90</v>
      </c>
      <c r="H302" s="264">
        <f>SUM(H303:H305)</f>
        <v>27734.575000000001</v>
      </c>
      <c r="I302" s="264">
        <f>SUM(I303:I305)</f>
        <v>9335</v>
      </c>
      <c r="J302" s="264">
        <f>SUM(J303:J305)</f>
        <v>8904.6</v>
      </c>
      <c r="K302" s="264">
        <f>SUM(K303:K305)</f>
        <v>9494.9750000000004</v>
      </c>
      <c r="L302" s="267"/>
      <c r="M302" s="267"/>
      <c r="N302" s="267"/>
      <c r="O302" s="267"/>
      <c r="P302" s="267"/>
      <c r="Q302" s="267"/>
      <c r="R302" s="237"/>
    </row>
    <row r="303" spans="1:18" ht="83.25" hidden="1">
      <c r="A303" s="665"/>
      <c r="B303" s="665"/>
      <c r="C303" s="665"/>
      <c r="D303" s="666"/>
      <c r="E303" s="396"/>
      <c r="F303" s="677"/>
      <c r="G303" s="137" t="s">
        <v>425</v>
      </c>
      <c r="H303" s="264">
        <f>H147+H189</f>
        <v>25352.375</v>
      </c>
      <c r="I303" s="264">
        <f>I147+I189</f>
        <v>6952.8</v>
      </c>
      <c r="J303" s="264">
        <f>J147+J189</f>
        <v>8904.6</v>
      </c>
      <c r="K303" s="264">
        <f>K147+K189</f>
        <v>9494.9750000000004</v>
      </c>
      <c r="L303" s="267"/>
      <c r="M303" s="267"/>
      <c r="N303" s="267"/>
      <c r="O303" s="267"/>
      <c r="P303" s="267"/>
      <c r="Q303" s="267"/>
      <c r="R303" s="237"/>
    </row>
    <row r="304" spans="1:18" ht="83.25" hidden="1">
      <c r="A304" s="665"/>
      <c r="B304" s="665"/>
      <c r="C304" s="665"/>
      <c r="D304" s="666"/>
      <c r="E304" s="396"/>
      <c r="F304" s="677"/>
      <c r="G304" s="236" t="s">
        <v>96</v>
      </c>
      <c r="H304" s="264">
        <f>H148</f>
        <v>1132.2</v>
      </c>
      <c r="I304" s="264">
        <f>I148</f>
        <v>1132.2</v>
      </c>
      <c r="J304" s="264">
        <f>J148</f>
        <v>0</v>
      </c>
      <c r="K304" s="264">
        <f>K148</f>
        <v>0</v>
      </c>
      <c r="L304" s="267"/>
      <c r="M304" s="267"/>
      <c r="N304" s="267"/>
      <c r="O304" s="267"/>
      <c r="P304" s="267"/>
      <c r="Q304" s="267"/>
      <c r="R304" s="237"/>
    </row>
    <row r="305" spans="1:19" ht="83.25" hidden="1">
      <c r="A305" s="665"/>
      <c r="B305" s="665"/>
      <c r="C305" s="665"/>
      <c r="D305" s="666"/>
      <c r="E305" s="397"/>
      <c r="F305" s="677"/>
      <c r="G305" s="240" t="s">
        <v>429</v>
      </c>
      <c r="H305" s="264">
        <f>H263</f>
        <v>1250</v>
      </c>
      <c r="I305" s="264">
        <f>I263</f>
        <v>1250</v>
      </c>
      <c r="J305" s="264">
        <f>J263</f>
        <v>0</v>
      </c>
      <c r="K305" s="264">
        <f>K263</f>
        <v>0</v>
      </c>
      <c r="L305" s="267"/>
      <c r="M305" s="267"/>
      <c r="N305" s="267"/>
      <c r="O305" s="267"/>
      <c r="P305" s="267"/>
      <c r="Q305" s="267"/>
      <c r="R305" s="237"/>
    </row>
    <row r="306" spans="1:19" ht="27.75" hidden="1">
      <c r="A306" s="665"/>
      <c r="B306" s="665"/>
      <c r="C306" s="665"/>
      <c r="D306" s="666"/>
      <c r="E306" s="395" t="s">
        <v>80</v>
      </c>
      <c r="F306" s="677"/>
      <c r="G306" s="236" t="s">
        <v>90</v>
      </c>
      <c r="H306" s="264">
        <f>SUM(H307:H308)</f>
        <v>24648.81</v>
      </c>
      <c r="I306" s="264">
        <f>SUM(I307:I308)</f>
        <v>7607.41</v>
      </c>
      <c r="J306" s="264">
        <f>SUM(J307:J308)</f>
        <v>8235.5999999999985</v>
      </c>
      <c r="K306" s="264">
        <f>SUM(K307:K308)</f>
        <v>8805.7999999999993</v>
      </c>
      <c r="L306" s="267"/>
      <c r="M306" s="267"/>
      <c r="N306" s="267"/>
      <c r="O306" s="267"/>
      <c r="P306" s="267"/>
      <c r="Q306" s="267"/>
      <c r="R306" s="237"/>
    </row>
    <row r="307" spans="1:19" ht="83.25" hidden="1">
      <c r="A307" s="665"/>
      <c r="B307" s="665"/>
      <c r="C307" s="665"/>
      <c r="D307" s="666"/>
      <c r="E307" s="396"/>
      <c r="F307" s="677"/>
      <c r="G307" s="137" t="s">
        <v>425</v>
      </c>
      <c r="H307" s="264">
        <f>H149+H190+H219</f>
        <v>24646.31</v>
      </c>
      <c r="I307" s="264">
        <f>I149+I190+I219</f>
        <v>7604.91</v>
      </c>
      <c r="J307" s="264">
        <f>J149+J190+J219</f>
        <v>8235.5999999999985</v>
      </c>
      <c r="K307" s="264">
        <f>K149+K190+K219</f>
        <v>8805.7999999999993</v>
      </c>
      <c r="L307" s="267"/>
      <c r="M307" s="267"/>
      <c r="N307" s="267"/>
      <c r="O307" s="267"/>
      <c r="P307" s="267"/>
      <c r="Q307" s="267"/>
      <c r="R307" s="237"/>
    </row>
    <row r="308" spans="1:19" ht="277.5" hidden="1">
      <c r="A308" s="665"/>
      <c r="B308" s="665"/>
      <c r="C308" s="665"/>
      <c r="D308" s="666"/>
      <c r="E308" s="397"/>
      <c r="F308" s="677"/>
      <c r="G308" s="144" t="s">
        <v>100</v>
      </c>
      <c r="H308" s="264">
        <f>H218</f>
        <v>2.5</v>
      </c>
      <c r="I308" s="264">
        <f>I218</f>
        <v>2.5</v>
      </c>
      <c r="J308" s="264">
        <f>J218</f>
        <v>0</v>
      </c>
      <c r="K308" s="264">
        <f>K218</f>
        <v>0</v>
      </c>
      <c r="L308" s="267"/>
      <c r="M308" s="267"/>
      <c r="N308" s="267"/>
      <c r="O308" s="267"/>
      <c r="P308" s="267"/>
      <c r="Q308" s="267"/>
      <c r="R308" s="237"/>
    </row>
    <row r="309" spans="1:19" ht="27.75" hidden="1">
      <c r="A309" s="665"/>
      <c r="B309" s="665"/>
      <c r="C309" s="665"/>
      <c r="D309" s="666"/>
      <c r="E309" s="395" t="s">
        <v>81</v>
      </c>
      <c r="F309" s="677"/>
      <c r="G309" s="236" t="s">
        <v>90</v>
      </c>
      <c r="H309" s="264">
        <f>H310</f>
        <v>28054.842300000004</v>
      </c>
      <c r="I309" s="264">
        <f>I310</f>
        <v>8442.69</v>
      </c>
      <c r="J309" s="264">
        <f>J310</f>
        <v>9562.9000000000015</v>
      </c>
      <c r="K309" s="264">
        <f>K310</f>
        <v>10049.2523</v>
      </c>
      <c r="L309" s="267"/>
      <c r="M309" s="267"/>
      <c r="N309" s="267"/>
      <c r="O309" s="267"/>
      <c r="P309" s="267"/>
      <c r="Q309" s="267"/>
      <c r="R309" s="237"/>
    </row>
    <row r="310" spans="1:19" ht="83.25" hidden="1">
      <c r="A310" s="665"/>
      <c r="B310" s="665"/>
      <c r="C310" s="665"/>
      <c r="D310" s="666"/>
      <c r="E310" s="397"/>
      <c r="F310" s="677"/>
      <c r="G310" s="137" t="s">
        <v>425</v>
      </c>
      <c r="H310" s="264">
        <f>I310+J310+K310</f>
        <v>28054.842300000004</v>
      </c>
      <c r="I310" s="264">
        <f>I150+I191+I221</f>
        <v>8442.69</v>
      </c>
      <c r="J310" s="264">
        <f>J150+J191+J221</f>
        <v>9562.9000000000015</v>
      </c>
      <c r="K310" s="264">
        <f>K150+K191+K221</f>
        <v>10049.2523</v>
      </c>
      <c r="L310" s="267"/>
      <c r="M310" s="267"/>
      <c r="N310" s="267"/>
      <c r="O310" s="267"/>
      <c r="P310" s="267"/>
      <c r="Q310" s="267"/>
      <c r="R310" s="237"/>
    </row>
    <row r="311" spans="1:19" ht="83.25" hidden="1">
      <c r="A311" s="665"/>
      <c r="B311" s="665"/>
      <c r="C311" s="665"/>
      <c r="D311" s="666"/>
      <c r="E311" s="237" t="s">
        <v>404</v>
      </c>
      <c r="F311" s="677"/>
      <c r="G311" s="137" t="s">
        <v>425</v>
      </c>
      <c r="H311" s="264">
        <f>H151</f>
        <v>3000</v>
      </c>
      <c r="I311" s="264">
        <f>I151</f>
        <v>3000</v>
      </c>
      <c r="J311" s="264">
        <f>J151</f>
        <v>0</v>
      </c>
      <c r="K311" s="264">
        <f>K151</f>
        <v>0</v>
      </c>
      <c r="L311" s="267"/>
      <c r="M311" s="267"/>
      <c r="N311" s="267"/>
      <c r="O311" s="267"/>
      <c r="P311" s="267"/>
      <c r="Q311" s="267"/>
      <c r="R311" s="237"/>
    </row>
    <row r="312" spans="1:19" ht="27.75" hidden="1">
      <c r="A312" s="665"/>
      <c r="B312" s="665"/>
      <c r="C312" s="665"/>
      <c r="D312" s="666"/>
      <c r="E312" s="395" t="s">
        <v>54</v>
      </c>
      <c r="F312" s="677"/>
      <c r="G312" s="236" t="s">
        <v>90</v>
      </c>
      <c r="H312" s="264">
        <f>SUM(H313:H317)</f>
        <v>74179.418999999994</v>
      </c>
      <c r="I312" s="264">
        <f>SUM(I313:I317)</f>
        <v>45904.919000000002</v>
      </c>
      <c r="J312" s="264">
        <f>SUM(J313:J317)</f>
        <v>25286.799999999999</v>
      </c>
      <c r="K312" s="264">
        <f>SUM(K313:K317)</f>
        <v>2987.7</v>
      </c>
      <c r="L312" s="267"/>
      <c r="M312" s="267"/>
      <c r="N312" s="267"/>
      <c r="O312" s="267"/>
      <c r="P312" s="267"/>
      <c r="Q312" s="267"/>
      <c r="R312" s="237"/>
    </row>
    <row r="313" spans="1:19" ht="83.25" hidden="1">
      <c r="A313" s="665"/>
      <c r="B313" s="665"/>
      <c r="C313" s="665"/>
      <c r="D313" s="666"/>
      <c r="E313" s="396"/>
      <c r="F313" s="677"/>
      <c r="G313" s="137" t="s">
        <v>425</v>
      </c>
      <c r="H313" s="264">
        <f>H195+H220</f>
        <v>25819.200000000001</v>
      </c>
      <c r="I313" s="264">
        <f>I195+I220</f>
        <v>17282.2</v>
      </c>
      <c r="J313" s="264">
        <f>J195+J220</f>
        <v>5549.3</v>
      </c>
      <c r="K313" s="264">
        <f>K195+K220</f>
        <v>2987.7</v>
      </c>
      <c r="L313" s="267"/>
      <c r="M313" s="267"/>
      <c r="N313" s="267"/>
      <c r="O313" s="267"/>
      <c r="P313" s="267"/>
      <c r="Q313" s="267"/>
      <c r="R313" s="237"/>
    </row>
    <row r="314" spans="1:19" ht="277.5" hidden="1">
      <c r="A314" s="665"/>
      <c r="B314" s="665"/>
      <c r="C314" s="665"/>
      <c r="D314" s="666"/>
      <c r="E314" s="396"/>
      <c r="F314" s="677"/>
      <c r="G314" s="240" t="s">
        <v>100</v>
      </c>
      <c r="H314" s="264">
        <f>H194</f>
        <v>6609.6190000000006</v>
      </c>
      <c r="I314" s="264">
        <f>I194</f>
        <v>6609.6190000000006</v>
      </c>
      <c r="J314" s="264">
        <f>J194</f>
        <v>0</v>
      </c>
      <c r="K314" s="264">
        <f>K194</f>
        <v>0</v>
      </c>
      <c r="L314" s="267"/>
      <c r="M314" s="267"/>
      <c r="N314" s="267"/>
      <c r="O314" s="267"/>
      <c r="P314" s="267"/>
      <c r="Q314" s="267"/>
      <c r="R314" s="237"/>
    </row>
    <row r="315" spans="1:19" ht="222" hidden="1">
      <c r="A315" s="665"/>
      <c r="B315" s="665"/>
      <c r="C315" s="665"/>
      <c r="D315" s="666"/>
      <c r="E315" s="396"/>
      <c r="F315" s="677"/>
      <c r="G315" s="240" t="s">
        <v>99</v>
      </c>
      <c r="H315" s="264">
        <f>H193</f>
        <v>1490.1</v>
      </c>
      <c r="I315" s="264">
        <f>I193</f>
        <v>1490.1</v>
      </c>
      <c r="J315" s="264">
        <f>J193</f>
        <v>0</v>
      </c>
      <c r="K315" s="264">
        <f>K193</f>
        <v>0</v>
      </c>
      <c r="L315" s="267"/>
      <c r="M315" s="267"/>
      <c r="N315" s="267"/>
      <c r="O315" s="267"/>
      <c r="P315" s="267"/>
      <c r="Q315" s="267"/>
      <c r="R315" s="237"/>
    </row>
    <row r="316" spans="1:19" ht="83.25" hidden="1">
      <c r="A316" s="665"/>
      <c r="B316" s="665"/>
      <c r="C316" s="665"/>
      <c r="D316" s="666"/>
      <c r="E316" s="396"/>
      <c r="F316" s="677"/>
      <c r="G316" s="238" t="s">
        <v>394</v>
      </c>
      <c r="H316" s="264">
        <f>H274</f>
        <v>799.7</v>
      </c>
      <c r="I316" s="264">
        <f>I274</f>
        <v>799.7</v>
      </c>
      <c r="J316" s="264">
        <f>J274</f>
        <v>0</v>
      </c>
      <c r="K316" s="264">
        <f>K274</f>
        <v>0</v>
      </c>
      <c r="L316" s="267"/>
      <c r="M316" s="267"/>
      <c r="N316" s="267"/>
      <c r="O316" s="267"/>
      <c r="P316" s="267"/>
      <c r="Q316" s="267"/>
      <c r="R316" s="237"/>
    </row>
    <row r="317" spans="1:19" ht="83.25" hidden="1">
      <c r="A317" s="668"/>
      <c r="B317" s="668"/>
      <c r="C317" s="668"/>
      <c r="D317" s="669"/>
      <c r="E317" s="397"/>
      <c r="F317" s="678"/>
      <c r="G317" s="240" t="s">
        <v>429</v>
      </c>
      <c r="H317" s="264">
        <f>H266</f>
        <v>39460.800000000003</v>
      </c>
      <c r="I317" s="264">
        <f>I266</f>
        <v>19723.3</v>
      </c>
      <c r="J317" s="264">
        <f>J266</f>
        <v>19737.5</v>
      </c>
      <c r="K317" s="264">
        <f>K266</f>
        <v>0</v>
      </c>
      <c r="L317" s="268"/>
      <c r="M317" s="268"/>
      <c r="N317" s="268"/>
      <c r="O317" s="268"/>
      <c r="P317" s="268"/>
      <c r="Q317" s="268"/>
      <c r="R317" s="238"/>
    </row>
    <row r="318" spans="1:19" ht="45" customHeight="1">
      <c r="A318" s="650" t="s">
        <v>250</v>
      </c>
      <c r="B318" s="650"/>
      <c r="C318" s="650"/>
      <c r="D318" s="650"/>
      <c r="E318" s="650"/>
      <c r="F318" s="650"/>
      <c r="G318" s="650"/>
      <c r="H318" s="650"/>
      <c r="I318" s="650"/>
      <c r="J318" s="650"/>
      <c r="K318" s="650"/>
      <c r="L318" s="650"/>
      <c r="M318" s="650"/>
      <c r="N318" s="650"/>
      <c r="O318" s="650"/>
      <c r="P318" s="650"/>
      <c r="Q318" s="650"/>
      <c r="R318" s="651"/>
    </row>
    <row r="319" spans="1:19" ht="210.75" hidden="1" customHeight="1">
      <c r="A319" s="240" t="s">
        <v>252</v>
      </c>
      <c r="B319" s="658" t="s">
        <v>251</v>
      </c>
      <c r="C319" s="659"/>
      <c r="D319" s="659"/>
      <c r="E319" s="659"/>
      <c r="F319" s="660"/>
      <c r="G319" s="138" t="s">
        <v>85</v>
      </c>
      <c r="H319" s="264">
        <f>SUM(H320:H324)</f>
        <v>2035.825</v>
      </c>
      <c r="I319" s="264">
        <f>SUM(I320:I324)</f>
        <v>729.5</v>
      </c>
      <c r="J319" s="264">
        <f>SUM(J320:J324)</f>
        <v>630.9</v>
      </c>
      <c r="K319" s="264">
        <f>SUM(K320:K324)</f>
        <v>675.42499999999995</v>
      </c>
      <c r="L319" s="265"/>
      <c r="M319" s="265"/>
      <c r="N319" s="265"/>
      <c r="O319" s="265"/>
      <c r="P319" s="265"/>
      <c r="Q319" s="265"/>
      <c r="R319" s="395" t="s">
        <v>253</v>
      </c>
      <c r="S319" s="277"/>
    </row>
    <row r="320" spans="1:19" ht="55.5" hidden="1">
      <c r="A320" s="661" t="s">
        <v>256</v>
      </c>
      <c r="B320" s="662"/>
      <c r="C320" s="662"/>
      <c r="D320" s="663"/>
      <c r="E320" s="240" t="s">
        <v>82</v>
      </c>
      <c r="F320" s="670"/>
      <c r="G320" s="395" t="s">
        <v>425</v>
      </c>
      <c r="H320" s="264">
        <f>I320+J320+K320</f>
        <v>76</v>
      </c>
      <c r="I320" s="264">
        <v>76</v>
      </c>
      <c r="J320" s="264">
        <v>0</v>
      </c>
      <c r="K320" s="264">
        <v>0</v>
      </c>
      <c r="L320" s="267"/>
      <c r="M320" s="267"/>
      <c r="N320" s="267"/>
      <c r="O320" s="267"/>
      <c r="P320" s="267"/>
      <c r="Q320" s="267"/>
      <c r="R320" s="396"/>
      <c r="S320" s="277"/>
    </row>
    <row r="321" spans="1:19" ht="27.75" hidden="1">
      <c r="A321" s="664"/>
      <c r="B321" s="665"/>
      <c r="C321" s="665"/>
      <c r="D321" s="666"/>
      <c r="E321" s="240" t="s">
        <v>76</v>
      </c>
      <c r="F321" s="671"/>
      <c r="G321" s="396"/>
      <c r="H321" s="264">
        <f>I321+J321+K321</f>
        <v>510.50000000000006</v>
      </c>
      <c r="I321" s="264">
        <f>24.3+148</f>
        <v>172.3</v>
      </c>
      <c r="J321" s="264">
        <v>163.4</v>
      </c>
      <c r="K321" s="264">
        <v>174.8</v>
      </c>
      <c r="L321" s="267"/>
      <c r="M321" s="267"/>
      <c r="N321" s="267"/>
      <c r="O321" s="267"/>
      <c r="P321" s="267"/>
      <c r="Q321" s="267"/>
      <c r="R321" s="396"/>
      <c r="S321" s="277"/>
    </row>
    <row r="322" spans="1:19" ht="27.75" hidden="1">
      <c r="A322" s="664"/>
      <c r="B322" s="665"/>
      <c r="C322" s="665"/>
      <c r="D322" s="666"/>
      <c r="E322" s="240" t="s">
        <v>77</v>
      </c>
      <c r="F322" s="671"/>
      <c r="G322" s="396"/>
      <c r="H322" s="264">
        <f>I322+J322+K322</f>
        <v>41.5</v>
      </c>
      <c r="I322" s="264">
        <v>41.5</v>
      </c>
      <c r="J322" s="264">
        <v>0</v>
      </c>
      <c r="K322" s="264">
        <v>0</v>
      </c>
      <c r="L322" s="267"/>
      <c r="M322" s="267"/>
      <c r="N322" s="267"/>
      <c r="O322" s="267"/>
      <c r="P322" s="267"/>
      <c r="Q322" s="267"/>
      <c r="R322" s="396"/>
      <c r="S322" s="277"/>
    </row>
    <row r="323" spans="1:19" ht="210.75" hidden="1" customHeight="1">
      <c r="A323" s="664"/>
      <c r="B323" s="665"/>
      <c r="C323" s="665"/>
      <c r="D323" s="666"/>
      <c r="E323" s="240" t="s">
        <v>79</v>
      </c>
      <c r="F323" s="671"/>
      <c r="G323" s="396"/>
      <c r="H323" s="264">
        <f>I323+J323+K323</f>
        <v>9.5</v>
      </c>
      <c r="I323" s="264">
        <v>9.5</v>
      </c>
      <c r="J323" s="264">
        <v>0</v>
      </c>
      <c r="K323" s="264">
        <v>0</v>
      </c>
      <c r="L323" s="267"/>
      <c r="M323" s="267"/>
      <c r="N323" s="267"/>
      <c r="O323" s="267"/>
      <c r="P323" s="267"/>
      <c r="Q323" s="267"/>
      <c r="R323" s="396"/>
      <c r="S323" s="277"/>
    </row>
    <row r="324" spans="1:19" ht="55.5" hidden="1">
      <c r="A324" s="667"/>
      <c r="B324" s="668"/>
      <c r="C324" s="668"/>
      <c r="D324" s="669"/>
      <c r="E324" s="236" t="s">
        <v>78</v>
      </c>
      <c r="F324" s="672"/>
      <c r="G324" s="397"/>
      <c r="H324" s="264">
        <f>I324+J324+K324</f>
        <v>1398.325</v>
      </c>
      <c r="I324" s="264">
        <v>430.2</v>
      </c>
      <c r="J324" s="264">
        <f>430+37.5</f>
        <v>467.5</v>
      </c>
      <c r="K324" s="264">
        <f>460+40.625</f>
        <v>500.625</v>
      </c>
      <c r="L324" s="268"/>
      <c r="M324" s="268"/>
      <c r="N324" s="268"/>
      <c r="O324" s="268"/>
      <c r="P324" s="268"/>
      <c r="Q324" s="268"/>
      <c r="R324" s="397"/>
      <c r="S324" s="277"/>
    </row>
    <row r="325" spans="1:19" ht="149.25" customHeight="1">
      <c r="A325" s="144" t="s">
        <v>279</v>
      </c>
      <c r="B325" s="658" t="s">
        <v>254</v>
      </c>
      <c r="C325" s="659"/>
      <c r="D325" s="659"/>
      <c r="E325" s="659"/>
      <c r="F325" s="660"/>
      <c r="G325" s="138" t="s">
        <v>85</v>
      </c>
      <c r="H325" s="264">
        <f>H330+H331+H332+H333+H327+H326</f>
        <v>34185.597000000002</v>
      </c>
      <c r="I325" s="264">
        <f>I330+I331+I332+I333+I327+I326</f>
        <v>21897.487000000001</v>
      </c>
      <c r="J325" s="264">
        <f>J330+J331+J332+J333+J327+J326+J328+J329</f>
        <v>7458.47</v>
      </c>
      <c r="K325" s="264">
        <f>K330+K331+K332+K333+K327+K326</f>
        <v>10129.64</v>
      </c>
      <c r="L325" s="264"/>
      <c r="M325" s="264"/>
      <c r="N325" s="264"/>
      <c r="O325" s="264">
        <v>8558.5</v>
      </c>
      <c r="P325" s="264">
        <f>Q325-O325</f>
        <v>-1100</v>
      </c>
      <c r="Q325" s="264">
        <v>7458.5</v>
      </c>
      <c r="R325" s="240"/>
      <c r="S325" s="277"/>
    </row>
    <row r="326" spans="1:19" ht="83.25" hidden="1">
      <c r="A326" s="580" t="s">
        <v>256</v>
      </c>
      <c r="B326" s="652"/>
      <c r="C326" s="652"/>
      <c r="D326" s="653"/>
      <c r="E326" s="240" t="s">
        <v>82</v>
      </c>
      <c r="F326" s="240"/>
      <c r="G326" s="240" t="s">
        <v>425</v>
      </c>
      <c r="H326" s="264">
        <f t="shared" ref="H326:H333" si="22">I326+J326+K326</f>
        <v>117.64</v>
      </c>
      <c r="I326" s="264"/>
      <c r="J326" s="264"/>
      <c r="K326" s="264">
        <f>90.64+15+12</f>
        <v>117.64</v>
      </c>
      <c r="L326" s="265"/>
      <c r="M326" s="265"/>
      <c r="N326" s="265"/>
      <c r="O326" s="265"/>
      <c r="P326" s="265"/>
      <c r="Q326" s="265"/>
      <c r="R326" s="236"/>
      <c r="S326" s="277"/>
    </row>
    <row r="327" spans="1:19" ht="83.25" hidden="1">
      <c r="A327" s="581"/>
      <c r="B327" s="654"/>
      <c r="C327" s="654"/>
      <c r="D327" s="655"/>
      <c r="E327" s="240" t="s">
        <v>82</v>
      </c>
      <c r="F327" s="240"/>
      <c r="G327" s="240" t="s">
        <v>429</v>
      </c>
      <c r="H327" s="264">
        <f t="shared" si="22"/>
        <v>10049.6</v>
      </c>
      <c r="I327" s="264">
        <v>49.6</v>
      </c>
      <c r="J327" s="276"/>
      <c r="K327" s="264">
        <v>10000</v>
      </c>
      <c r="L327" s="265"/>
      <c r="M327" s="265"/>
      <c r="N327" s="265"/>
      <c r="O327" s="265">
        <v>1100</v>
      </c>
      <c r="P327" s="265">
        <v>-1100</v>
      </c>
      <c r="Q327" s="265">
        <v>0</v>
      </c>
      <c r="R327" s="236"/>
      <c r="S327" s="277"/>
    </row>
    <row r="328" spans="1:19" ht="83.25" hidden="1">
      <c r="A328" s="581"/>
      <c r="B328" s="654"/>
      <c r="C328" s="654"/>
      <c r="D328" s="655"/>
      <c r="E328" s="236" t="s">
        <v>79</v>
      </c>
      <c r="F328" s="236"/>
      <c r="G328" s="240" t="s">
        <v>425</v>
      </c>
      <c r="H328" s="264"/>
      <c r="I328" s="264"/>
      <c r="J328" s="264">
        <v>15</v>
      </c>
      <c r="K328" s="264"/>
      <c r="L328" s="265"/>
      <c r="M328" s="265"/>
      <c r="N328" s="265"/>
      <c r="O328" s="265"/>
      <c r="P328" s="265"/>
      <c r="Q328" s="265"/>
      <c r="R328" s="236"/>
      <c r="S328" s="277"/>
    </row>
    <row r="329" spans="1:19" ht="83.25" hidden="1">
      <c r="A329" s="581"/>
      <c r="B329" s="654"/>
      <c r="C329" s="654"/>
      <c r="D329" s="655"/>
      <c r="E329" s="236" t="s">
        <v>79</v>
      </c>
      <c r="F329" s="236"/>
      <c r="G329" s="240" t="s">
        <v>429</v>
      </c>
      <c r="H329" s="264"/>
      <c r="I329" s="264"/>
      <c r="J329" s="264">
        <v>5285</v>
      </c>
      <c r="K329" s="264"/>
      <c r="L329" s="265"/>
      <c r="M329" s="265"/>
      <c r="N329" s="265"/>
      <c r="O329" s="265"/>
      <c r="P329" s="265"/>
      <c r="Q329" s="265"/>
      <c r="R329" s="236"/>
      <c r="S329" s="277"/>
    </row>
    <row r="330" spans="1:19" ht="210.75" hidden="1" customHeight="1">
      <c r="A330" s="581"/>
      <c r="B330" s="654"/>
      <c r="C330" s="654"/>
      <c r="D330" s="655"/>
      <c r="E330" s="395" t="s">
        <v>75</v>
      </c>
      <c r="F330" s="670"/>
      <c r="G330" s="240" t="s">
        <v>425</v>
      </c>
      <c r="H330" s="264">
        <f t="shared" si="22"/>
        <v>347.5</v>
      </c>
      <c r="I330" s="264">
        <f>199+30</f>
        <v>229</v>
      </c>
      <c r="J330" s="264">
        <v>106.5</v>
      </c>
      <c r="K330" s="264">
        <v>12</v>
      </c>
      <c r="L330" s="265"/>
      <c r="M330" s="265"/>
      <c r="N330" s="265"/>
      <c r="O330" s="265"/>
      <c r="P330" s="265"/>
      <c r="Q330" s="265"/>
      <c r="R330" s="395" t="s">
        <v>255</v>
      </c>
      <c r="S330" s="277"/>
    </row>
    <row r="331" spans="1:19" ht="83.25" hidden="1">
      <c r="A331" s="581"/>
      <c r="B331" s="654"/>
      <c r="C331" s="654"/>
      <c r="D331" s="655"/>
      <c r="E331" s="396"/>
      <c r="F331" s="671"/>
      <c r="G331" s="240" t="s">
        <v>429</v>
      </c>
      <c r="H331" s="264">
        <f t="shared" si="22"/>
        <v>6599.6870000000008</v>
      </c>
      <c r="I331" s="264">
        <f>7269.3-500+49.587-799.7</f>
        <v>6019.1870000000008</v>
      </c>
      <c r="J331" s="264">
        <f>130+410+40.5</f>
        <v>580.5</v>
      </c>
      <c r="K331" s="268"/>
      <c r="L331" s="267"/>
      <c r="M331" s="267"/>
      <c r="N331" s="267"/>
      <c r="O331" s="267"/>
      <c r="P331" s="267"/>
      <c r="Q331" s="267"/>
      <c r="R331" s="396"/>
      <c r="S331" s="277"/>
    </row>
    <row r="332" spans="1:19" ht="210.75" hidden="1" customHeight="1">
      <c r="A332" s="581"/>
      <c r="B332" s="654"/>
      <c r="C332" s="654"/>
      <c r="D332" s="655"/>
      <c r="E332" s="396"/>
      <c r="F332" s="671"/>
      <c r="G332" s="236" t="s">
        <v>380</v>
      </c>
      <c r="H332" s="265">
        <f t="shared" si="22"/>
        <v>16186.17</v>
      </c>
      <c r="I332" s="265">
        <v>14714.7</v>
      </c>
      <c r="J332" s="265">
        <v>1471.47</v>
      </c>
      <c r="K332" s="265"/>
      <c r="L332" s="267"/>
      <c r="M332" s="267"/>
      <c r="N332" s="267"/>
      <c r="O332" s="267"/>
      <c r="P332" s="267"/>
      <c r="Q332" s="267"/>
      <c r="R332" s="396"/>
      <c r="S332" s="277"/>
    </row>
    <row r="333" spans="1:19" ht="55.5" hidden="1">
      <c r="A333" s="582"/>
      <c r="B333" s="656"/>
      <c r="C333" s="656"/>
      <c r="D333" s="657"/>
      <c r="E333" s="397"/>
      <c r="F333" s="137"/>
      <c r="G333" s="240" t="s">
        <v>84</v>
      </c>
      <c r="H333" s="264">
        <f t="shared" si="22"/>
        <v>885</v>
      </c>
      <c r="I333" s="264">
        <v>885</v>
      </c>
      <c r="J333" s="264">
        <v>0</v>
      </c>
      <c r="K333" s="264">
        <v>0</v>
      </c>
      <c r="L333" s="268"/>
      <c r="M333" s="268"/>
      <c r="N333" s="268"/>
      <c r="O333" s="268"/>
      <c r="P333" s="268"/>
      <c r="Q333" s="268"/>
      <c r="R333" s="397"/>
      <c r="S333" s="277"/>
    </row>
    <row r="334" spans="1:19" ht="98.25" customHeight="1">
      <c r="A334" s="144" t="s">
        <v>280</v>
      </c>
      <c r="B334" s="394" t="s">
        <v>195</v>
      </c>
      <c r="C334" s="394"/>
      <c r="D334" s="394"/>
      <c r="E334" s="394"/>
      <c r="F334" s="394"/>
      <c r="G334" s="137" t="s">
        <v>85</v>
      </c>
      <c r="H334" s="264">
        <f>H335</f>
        <v>6238.8</v>
      </c>
      <c r="I334" s="264">
        <f t="shared" ref="I334:K336" si="23">I335</f>
        <v>6238.8</v>
      </c>
      <c r="J334" s="264">
        <f t="shared" si="23"/>
        <v>0</v>
      </c>
      <c r="K334" s="264">
        <f t="shared" si="23"/>
        <v>0</v>
      </c>
      <c r="L334" s="264"/>
      <c r="M334" s="264"/>
      <c r="N334" s="264"/>
      <c r="O334" s="264">
        <v>0</v>
      </c>
      <c r="P334" s="264">
        <f>Q334-O334</f>
        <v>20592.7</v>
      </c>
      <c r="Q334" s="264">
        <v>20592.7</v>
      </c>
      <c r="R334" s="395" t="s">
        <v>61</v>
      </c>
      <c r="S334" s="277"/>
    </row>
    <row r="335" spans="1:19" ht="3" customHeight="1">
      <c r="A335" s="658" t="s">
        <v>256</v>
      </c>
      <c r="B335" s="659"/>
      <c r="C335" s="659"/>
      <c r="D335" s="660"/>
      <c r="E335" s="240" t="s">
        <v>75</v>
      </c>
      <c r="F335" s="137"/>
      <c r="G335" s="240" t="s">
        <v>104</v>
      </c>
      <c r="H335" s="264">
        <f>I335+J335+K335</f>
        <v>6238.8</v>
      </c>
      <c r="I335" s="264">
        <v>6238.8</v>
      </c>
      <c r="J335" s="264">
        <v>0</v>
      </c>
      <c r="K335" s="264">
        <v>0</v>
      </c>
      <c r="L335" s="268"/>
      <c r="M335" s="268"/>
      <c r="N335" s="268"/>
      <c r="O335" s="268">
        <v>0</v>
      </c>
      <c r="P335" s="268">
        <f>Q335-O335</f>
        <v>20592.7</v>
      </c>
      <c r="Q335" s="268">
        <v>20592.7</v>
      </c>
      <c r="R335" s="397"/>
      <c r="S335" s="277"/>
    </row>
    <row r="336" spans="1:19" ht="210.75" hidden="1" customHeight="1">
      <c r="A336" s="144" t="s">
        <v>281</v>
      </c>
      <c r="B336" s="394" t="s">
        <v>398</v>
      </c>
      <c r="C336" s="394"/>
      <c r="D336" s="394"/>
      <c r="E336" s="394"/>
      <c r="F336" s="394"/>
      <c r="G336" s="137" t="s">
        <v>85</v>
      </c>
      <c r="H336" s="264">
        <f>H337</f>
        <v>6848</v>
      </c>
      <c r="I336" s="264">
        <f t="shared" si="23"/>
        <v>6848</v>
      </c>
      <c r="J336" s="264">
        <f t="shared" si="23"/>
        <v>0</v>
      </c>
      <c r="K336" s="264">
        <f t="shared" si="23"/>
        <v>0</v>
      </c>
      <c r="L336" s="265"/>
      <c r="M336" s="265"/>
      <c r="N336" s="265"/>
      <c r="O336" s="265"/>
      <c r="P336" s="265"/>
      <c r="Q336" s="265"/>
      <c r="R336" s="395" t="s">
        <v>399</v>
      </c>
      <c r="S336" s="277"/>
    </row>
    <row r="337" spans="1:19" ht="111" hidden="1">
      <c r="A337" s="658" t="s">
        <v>256</v>
      </c>
      <c r="B337" s="659"/>
      <c r="C337" s="659"/>
      <c r="D337" s="660"/>
      <c r="E337" s="240" t="s">
        <v>54</v>
      </c>
      <c r="F337" s="137"/>
      <c r="G337" s="240" t="s">
        <v>396</v>
      </c>
      <c r="H337" s="264">
        <f>I337+J337+K337</f>
        <v>6848</v>
      </c>
      <c r="I337" s="264">
        <v>6848</v>
      </c>
      <c r="J337" s="264">
        <v>0</v>
      </c>
      <c r="K337" s="264">
        <v>0</v>
      </c>
      <c r="L337" s="268"/>
      <c r="M337" s="268"/>
      <c r="N337" s="268"/>
      <c r="O337" s="268"/>
      <c r="P337" s="268"/>
      <c r="Q337" s="268"/>
      <c r="R337" s="397"/>
      <c r="S337" s="277"/>
    </row>
    <row r="338" spans="1:19" ht="77.25" customHeight="1">
      <c r="A338" s="240" t="s">
        <v>282</v>
      </c>
      <c r="B338" s="394" t="s">
        <v>257</v>
      </c>
      <c r="C338" s="394"/>
      <c r="D338" s="394"/>
      <c r="E338" s="394"/>
      <c r="F338" s="394"/>
      <c r="G338" s="137" t="s">
        <v>85</v>
      </c>
      <c r="H338" s="264" t="e">
        <f>#REF!</f>
        <v>#REF!</v>
      </c>
      <c r="I338" s="264" t="e">
        <f>#REF!</f>
        <v>#REF!</v>
      </c>
      <c r="J338" s="264" t="e">
        <f>#REF!</f>
        <v>#REF!</v>
      </c>
      <c r="K338" s="264" t="e">
        <f>#REF!</f>
        <v>#REF!</v>
      </c>
      <c r="L338" s="264"/>
      <c r="M338" s="264"/>
      <c r="N338" s="264"/>
      <c r="O338" s="264">
        <v>0</v>
      </c>
      <c r="P338" s="264">
        <v>3000</v>
      </c>
      <c r="Q338" s="264">
        <v>3000</v>
      </c>
      <c r="R338" s="395" t="s">
        <v>61</v>
      </c>
      <c r="S338" s="277"/>
    </row>
    <row r="339" spans="1:19" ht="27.75" hidden="1">
      <c r="A339" s="580" t="s">
        <v>256</v>
      </c>
      <c r="B339" s="652"/>
      <c r="C339" s="652"/>
      <c r="D339" s="652"/>
      <c r="E339" s="240" t="s">
        <v>76</v>
      </c>
      <c r="F339" s="240"/>
      <c r="G339" s="396"/>
      <c r="H339" s="264">
        <f>I339+J339+K339</f>
        <v>11713.3</v>
      </c>
      <c r="I339" s="240">
        <v>11713.3</v>
      </c>
      <c r="J339" s="264">
        <v>0</v>
      </c>
      <c r="K339" s="264">
        <v>0</v>
      </c>
      <c r="L339" s="267"/>
      <c r="M339" s="267"/>
      <c r="N339" s="267"/>
      <c r="O339" s="267"/>
      <c r="P339" s="267"/>
      <c r="Q339" s="267"/>
      <c r="R339" s="396"/>
      <c r="S339" s="277"/>
    </row>
    <row r="340" spans="1:19" ht="27.75" hidden="1">
      <c r="A340" s="581"/>
      <c r="B340" s="654"/>
      <c r="C340" s="654"/>
      <c r="D340" s="654"/>
      <c r="E340" s="240" t="s">
        <v>77</v>
      </c>
      <c r="F340" s="240"/>
      <c r="G340" s="396"/>
      <c r="H340" s="264">
        <f>I340+J340+K340</f>
        <v>204.3</v>
      </c>
      <c r="I340" s="264">
        <v>204.3</v>
      </c>
      <c r="J340" s="264">
        <v>0</v>
      </c>
      <c r="K340" s="264">
        <v>0</v>
      </c>
      <c r="L340" s="267"/>
      <c r="M340" s="267"/>
      <c r="N340" s="267"/>
      <c r="O340" s="267"/>
      <c r="P340" s="267"/>
      <c r="Q340" s="267"/>
      <c r="R340" s="396"/>
      <c r="S340" s="277"/>
    </row>
    <row r="341" spans="1:19" ht="210.75" hidden="1" customHeight="1">
      <c r="A341" s="581"/>
      <c r="B341" s="654"/>
      <c r="C341" s="654"/>
      <c r="D341" s="654"/>
      <c r="E341" s="236" t="s">
        <v>79</v>
      </c>
      <c r="F341" s="240"/>
      <c r="G341" s="396"/>
      <c r="H341" s="264">
        <f>I341+J341+K341</f>
        <v>537.29999999999995</v>
      </c>
      <c r="I341" s="240">
        <v>537.29999999999995</v>
      </c>
      <c r="J341" s="264">
        <v>0</v>
      </c>
      <c r="K341" s="264">
        <v>0</v>
      </c>
      <c r="L341" s="267"/>
      <c r="M341" s="267"/>
      <c r="N341" s="267"/>
      <c r="O341" s="267"/>
      <c r="P341" s="267"/>
      <c r="Q341" s="267"/>
      <c r="R341" s="396"/>
      <c r="S341" s="277"/>
    </row>
    <row r="342" spans="1:19" ht="55.5" hidden="1">
      <c r="A342" s="242"/>
      <c r="B342" s="255"/>
      <c r="C342" s="255"/>
      <c r="D342" s="255"/>
      <c r="E342" s="240" t="s">
        <v>75</v>
      </c>
      <c r="F342" s="249"/>
      <c r="G342" s="397"/>
      <c r="H342" s="264">
        <f>I342+J342+K342</f>
        <v>0</v>
      </c>
      <c r="I342" s="306"/>
      <c r="J342" s="306"/>
      <c r="K342" s="306"/>
      <c r="L342" s="307"/>
      <c r="M342" s="307"/>
      <c r="N342" s="307"/>
      <c r="O342" s="307"/>
      <c r="P342" s="307"/>
      <c r="Q342" s="307"/>
      <c r="R342" s="237"/>
      <c r="S342" s="277"/>
    </row>
    <row r="343" spans="1:19" ht="74.25" customHeight="1">
      <c r="A343" s="308" t="s">
        <v>283</v>
      </c>
      <c r="B343" s="645" t="s">
        <v>258</v>
      </c>
      <c r="C343" s="646"/>
      <c r="D343" s="646"/>
      <c r="E343" s="646"/>
      <c r="F343" s="309"/>
      <c r="G343" s="137" t="s">
        <v>85</v>
      </c>
      <c r="H343" s="279">
        <f>SUM(H344:H353)</f>
        <v>1521697.0328319001</v>
      </c>
      <c r="I343" s="279">
        <f>SUM(I344:I353)</f>
        <v>500635.6</v>
      </c>
      <c r="J343" s="279">
        <f>SUM(J344:J353)</f>
        <v>498936.08689999994</v>
      </c>
      <c r="K343" s="279">
        <f>SUM(K344:K353)</f>
        <v>522125.34593189997</v>
      </c>
      <c r="L343" s="279">
        <v>456518.1</v>
      </c>
      <c r="M343" s="279">
        <f>N343-L343</f>
        <v>44117.5</v>
      </c>
      <c r="N343" s="279">
        <v>500635.6</v>
      </c>
      <c r="O343" s="279">
        <v>492760.1</v>
      </c>
      <c r="P343" s="279">
        <f>Q343-O343</f>
        <v>154690.30000000005</v>
      </c>
      <c r="Q343" s="279">
        <v>647450.4</v>
      </c>
      <c r="R343" s="395" t="s">
        <v>88</v>
      </c>
      <c r="S343" s="277" t="s">
        <v>432</v>
      </c>
    </row>
    <row r="344" spans="1:19" ht="55.5" hidden="1">
      <c r="A344" s="661" t="s">
        <v>256</v>
      </c>
      <c r="B344" s="662"/>
      <c r="C344" s="662"/>
      <c r="D344" s="663"/>
      <c r="E344" s="240" t="s">
        <v>82</v>
      </c>
      <c r="F344" s="137"/>
      <c r="G344" s="395" t="s">
        <v>87</v>
      </c>
      <c r="H344" s="264">
        <f>I344+J344+K344</f>
        <v>308609.45589119999</v>
      </c>
      <c r="I344" s="264">
        <v>97670.399999999994</v>
      </c>
      <c r="J344" s="264">
        <f>I344*1.053</f>
        <v>102846.93119999999</v>
      </c>
      <c r="K344" s="264">
        <f>J344*1.051</f>
        <v>108092.12469119999</v>
      </c>
      <c r="L344" s="264"/>
      <c r="M344" s="264"/>
      <c r="N344" s="264"/>
      <c r="O344" s="264"/>
      <c r="P344" s="264"/>
      <c r="Q344" s="264"/>
      <c r="R344" s="396"/>
      <c r="S344" s="277">
        <v>90678.9</v>
      </c>
    </row>
    <row r="345" spans="1:19" ht="210.75" hidden="1" customHeight="1">
      <c r="A345" s="664"/>
      <c r="B345" s="665"/>
      <c r="C345" s="665"/>
      <c r="D345" s="666"/>
      <c r="E345" s="240" t="s">
        <v>76</v>
      </c>
      <c r="F345" s="137"/>
      <c r="G345" s="396"/>
      <c r="H345" s="264">
        <f t="shared" ref="H345:H353" si="24">I345+J345+K345</f>
        <v>126826.6</v>
      </c>
      <c r="I345" s="276">
        <v>37455.599999999999</v>
      </c>
      <c r="J345" s="264">
        <v>43574</v>
      </c>
      <c r="K345" s="264">
        <v>45797</v>
      </c>
      <c r="L345" s="264"/>
      <c r="M345" s="264"/>
      <c r="N345" s="264"/>
      <c r="O345" s="264"/>
      <c r="P345" s="264"/>
      <c r="Q345" s="264"/>
      <c r="R345" s="396"/>
      <c r="S345" s="277">
        <v>37455.599999999999</v>
      </c>
    </row>
    <row r="346" spans="1:19" ht="210.75" hidden="1" customHeight="1">
      <c r="A346" s="664"/>
      <c r="B346" s="665"/>
      <c r="C346" s="665"/>
      <c r="D346" s="666"/>
      <c r="E346" s="240" t="s">
        <v>77</v>
      </c>
      <c r="F346" s="137"/>
      <c r="G346" s="396"/>
      <c r="H346" s="264">
        <f t="shared" si="24"/>
        <v>307844.8</v>
      </c>
      <c r="I346" s="276">
        <v>117838.5</v>
      </c>
      <c r="J346" s="264">
        <v>92640.8</v>
      </c>
      <c r="K346" s="264">
        <v>97365.5</v>
      </c>
      <c r="L346" s="264"/>
      <c r="M346" s="264"/>
      <c r="N346" s="264"/>
      <c r="O346" s="264"/>
      <c r="P346" s="264"/>
      <c r="Q346" s="264"/>
      <c r="R346" s="396"/>
      <c r="S346" s="277">
        <v>117838.5</v>
      </c>
    </row>
    <row r="347" spans="1:19" ht="210.75" hidden="1" customHeight="1">
      <c r="A347" s="664"/>
      <c r="B347" s="665"/>
      <c r="C347" s="665"/>
      <c r="D347" s="666"/>
      <c r="E347" s="240" t="s">
        <v>75</v>
      </c>
      <c r="F347" s="137"/>
      <c r="G347" s="396"/>
      <c r="H347" s="264">
        <f t="shared" si="24"/>
        <v>241584.30000000002</v>
      </c>
      <c r="I347" s="264">
        <v>70008.100000000006</v>
      </c>
      <c r="J347" s="264">
        <v>83168.3</v>
      </c>
      <c r="K347" s="264">
        <v>88407.9</v>
      </c>
      <c r="L347" s="264"/>
      <c r="M347" s="264"/>
      <c r="N347" s="264"/>
      <c r="O347" s="264"/>
      <c r="P347" s="264"/>
      <c r="Q347" s="264"/>
      <c r="R347" s="396"/>
      <c r="S347" s="277">
        <v>65010.400000000001</v>
      </c>
    </row>
    <row r="348" spans="1:19" ht="210.75" hidden="1" customHeight="1">
      <c r="A348" s="664"/>
      <c r="B348" s="665"/>
      <c r="C348" s="665"/>
      <c r="D348" s="666"/>
      <c r="E348" s="236" t="s">
        <v>79</v>
      </c>
      <c r="F348" s="310"/>
      <c r="G348" s="396"/>
      <c r="H348" s="264">
        <f t="shared" si="24"/>
        <v>116199.34170620001</v>
      </c>
      <c r="I348" s="311">
        <v>36775.4</v>
      </c>
      <c r="J348" s="264">
        <f t="shared" ref="J348:J353" si="25">I348*1.053</f>
        <v>38724.496200000001</v>
      </c>
      <c r="K348" s="264">
        <f t="shared" ref="K348:K353" si="26">J348*1.051</f>
        <v>40699.445506199998</v>
      </c>
      <c r="L348" s="264"/>
      <c r="M348" s="264"/>
      <c r="N348" s="264"/>
      <c r="O348" s="264"/>
      <c r="P348" s="264"/>
      <c r="Q348" s="264"/>
      <c r="R348" s="396"/>
      <c r="S348" s="277">
        <v>36775.4</v>
      </c>
    </row>
    <row r="349" spans="1:19" ht="210.75" hidden="1" customHeight="1">
      <c r="A349" s="664"/>
      <c r="B349" s="665"/>
      <c r="C349" s="665"/>
      <c r="D349" s="666"/>
      <c r="E349" s="236" t="s">
        <v>78</v>
      </c>
      <c r="F349" s="137"/>
      <c r="G349" s="396"/>
      <c r="H349" s="264">
        <f t="shared" si="24"/>
        <v>3457.1846999999998</v>
      </c>
      <c r="I349" s="276">
        <v>1817</v>
      </c>
      <c r="J349" s="264">
        <v>799.7</v>
      </c>
      <c r="K349" s="264">
        <f t="shared" si="26"/>
        <v>840.48469999999998</v>
      </c>
      <c r="L349" s="264"/>
      <c r="M349" s="264"/>
      <c r="N349" s="264"/>
      <c r="O349" s="264"/>
      <c r="P349" s="264"/>
      <c r="Q349" s="264"/>
      <c r="R349" s="396"/>
      <c r="S349" s="277">
        <v>1817</v>
      </c>
    </row>
    <row r="350" spans="1:19" ht="210.75" hidden="1" customHeight="1">
      <c r="A350" s="664"/>
      <c r="B350" s="665"/>
      <c r="C350" s="665"/>
      <c r="D350" s="666"/>
      <c r="E350" s="240" t="s">
        <v>80</v>
      </c>
      <c r="F350" s="137"/>
      <c r="G350" s="396"/>
      <c r="H350" s="264">
        <f t="shared" si="24"/>
        <v>216311.68752849998</v>
      </c>
      <c r="I350" s="276">
        <v>68459.5</v>
      </c>
      <c r="J350" s="264">
        <f>I350*1.053</f>
        <v>72087.853499999997</v>
      </c>
      <c r="K350" s="264">
        <f t="shared" si="26"/>
        <v>75764.334028499987</v>
      </c>
      <c r="L350" s="264"/>
      <c r="M350" s="264"/>
      <c r="N350" s="264"/>
      <c r="O350" s="264"/>
      <c r="P350" s="264"/>
      <c r="Q350" s="264"/>
      <c r="R350" s="396"/>
      <c r="S350" s="277">
        <v>68459.5</v>
      </c>
    </row>
    <row r="351" spans="1:19" ht="210.75" hidden="1" customHeight="1">
      <c r="A351" s="664"/>
      <c r="B351" s="665"/>
      <c r="C351" s="665"/>
      <c r="D351" s="666"/>
      <c r="E351" s="240" t="s">
        <v>81</v>
      </c>
      <c r="F351" s="137"/>
      <c r="G351" s="396"/>
      <c r="H351" s="264">
        <f t="shared" si="24"/>
        <v>187499.38319720002</v>
      </c>
      <c r="I351" s="276">
        <v>66381.5</v>
      </c>
      <c r="J351" s="264">
        <f>63675.5+152.8-J353</f>
        <v>60640.237200000003</v>
      </c>
      <c r="K351" s="264">
        <f>63675.5+152.8-K353</f>
        <v>60477.645997200001</v>
      </c>
      <c r="L351" s="264"/>
      <c r="M351" s="264"/>
      <c r="N351" s="264"/>
      <c r="O351" s="264"/>
      <c r="P351" s="264"/>
      <c r="Q351" s="264"/>
      <c r="R351" s="396"/>
      <c r="S351" s="277">
        <v>66381.5</v>
      </c>
    </row>
    <row r="352" spans="1:19" ht="210.75" hidden="1" customHeight="1">
      <c r="A352" s="664"/>
      <c r="B352" s="665"/>
      <c r="C352" s="665"/>
      <c r="D352" s="666"/>
      <c r="E352" s="240" t="s">
        <v>496</v>
      </c>
      <c r="F352" s="137"/>
      <c r="G352" s="396"/>
      <c r="H352" s="264">
        <f t="shared" si="24"/>
        <v>3797.963006</v>
      </c>
      <c r="I352" s="264">
        <v>1202</v>
      </c>
      <c r="J352" s="264">
        <f t="shared" si="25"/>
        <v>1265.7059999999999</v>
      </c>
      <c r="K352" s="264">
        <f t="shared" si="26"/>
        <v>1330.2570059999998</v>
      </c>
      <c r="L352" s="264"/>
      <c r="M352" s="264"/>
      <c r="N352" s="264"/>
      <c r="O352" s="264"/>
      <c r="P352" s="264"/>
      <c r="Q352" s="264"/>
      <c r="R352" s="396"/>
      <c r="S352" s="277"/>
    </row>
    <row r="353" spans="1:19" ht="210.75" hidden="1" customHeight="1">
      <c r="A353" s="667"/>
      <c r="B353" s="668"/>
      <c r="C353" s="668"/>
      <c r="D353" s="669"/>
      <c r="E353" s="240" t="s">
        <v>497</v>
      </c>
      <c r="F353" s="137"/>
      <c r="G353" s="397"/>
      <c r="H353" s="264">
        <f t="shared" si="24"/>
        <v>9566.3168028</v>
      </c>
      <c r="I353" s="264">
        <v>3027.6</v>
      </c>
      <c r="J353" s="264">
        <f t="shared" si="25"/>
        <v>3188.0627999999997</v>
      </c>
      <c r="K353" s="264">
        <f t="shared" si="26"/>
        <v>3350.6540027999995</v>
      </c>
      <c r="L353" s="264"/>
      <c r="M353" s="264"/>
      <c r="N353" s="264"/>
      <c r="O353" s="264"/>
      <c r="P353" s="264"/>
      <c r="Q353" s="264"/>
      <c r="R353" s="397"/>
      <c r="S353" s="277"/>
    </row>
    <row r="354" spans="1:19" ht="67.5" customHeight="1">
      <c r="A354" s="308" t="s">
        <v>397</v>
      </c>
      <c r="B354" s="645" t="s">
        <v>259</v>
      </c>
      <c r="C354" s="646"/>
      <c r="D354" s="309"/>
      <c r="E354" s="309"/>
      <c r="F354" s="309"/>
      <c r="G354" s="137" t="s">
        <v>85</v>
      </c>
      <c r="H354" s="279">
        <f>SUM(H355:H359)</f>
        <v>71714.881940699997</v>
      </c>
      <c r="I354" s="279">
        <f>SUM(I355:I359)</f>
        <v>22375.3</v>
      </c>
      <c r="J354" s="279">
        <f>SUM(J355:J359)</f>
        <v>24055.955699999999</v>
      </c>
      <c r="K354" s="279">
        <f>SUM(K355:K359)</f>
        <v>25283.626240699999</v>
      </c>
      <c r="L354" s="312">
        <v>21063.200000000001</v>
      </c>
      <c r="M354" s="312">
        <f>N354-L354</f>
        <v>1312.0999999999985</v>
      </c>
      <c r="N354" s="312">
        <v>22375.3</v>
      </c>
      <c r="O354" s="312">
        <v>23301.9</v>
      </c>
      <c r="P354" s="312">
        <f>Q354-O354</f>
        <v>2429.8999999999978</v>
      </c>
      <c r="Q354" s="312">
        <v>25731.8</v>
      </c>
      <c r="R354" s="395" t="s">
        <v>105</v>
      </c>
      <c r="S354" s="277" t="s">
        <v>432</v>
      </c>
    </row>
    <row r="355" spans="1:19" ht="0.75" customHeight="1">
      <c r="A355" s="661" t="s">
        <v>256</v>
      </c>
      <c r="B355" s="662"/>
      <c r="C355" s="662"/>
      <c r="D355" s="663"/>
      <c r="E355" s="240" t="s">
        <v>82</v>
      </c>
      <c r="F355" s="674"/>
      <c r="G355" s="395" t="s">
        <v>93</v>
      </c>
      <c r="H355" s="264">
        <f>I355+J355+K355</f>
        <v>12901.699289600001</v>
      </c>
      <c r="I355" s="276">
        <v>4083.2</v>
      </c>
      <c r="J355" s="264">
        <f>I355*1.053</f>
        <v>4299.6095999999998</v>
      </c>
      <c r="K355" s="264">
        <f>J355*1.051</f>
        <v>4518.8896895999997</v>
      </c>
      <c r="L355" s="264"/>
      <c r="M355" s="264"/>
      <c r="N355" s="264"/>
      <c r="O355" s="264"/>
      <c r="P355" s="264"/>
      <c r="Q355" s="264"/>
      <c r="R355" s="396"/>
      <c r="S355" s="277">
        <v>4083.2</v>
      </c>
    </row>
    <row r="356" spans="1:19" ht="27.75" hidden="1">
      <c r="A356" s="664"/>
      <c r="B356" s="665"/>
      <c r="C356" s="665"/>
      <c r="D356" s="666"/>
      <c r="E356" s="240" t="s">
        <v>76</v>
      </c>
      <c r="F356" s="674"/>
      <c r="G356" s="396"/>
      <c r="H356" s="264">
        <f>I356+J356+K356</f>
        <v>29582.1</v>
      </c>
      <c r="I356" s="276">
        <v>9433.9</v>
      </c>
      <c r="J356" s="264">
        <v>9823.2000000000007</v>
      </c>
      <c r="K356" s="264">
        <v>10325</v>
      </c>
      <c r="L356" s="264"/>
      <c r="M356" s="264"/>
      <c r="N356" s="264"/>
      <c r="O356" s="264"/>
      <c r="P356" s="264"/>
      <c r="Q356" s="264"/>
      <c r="R356" s="396"/>
      <c r="S356" s="277">
        <v>9433.9</v>
      </c>
    </row>
    <row r="357" spans="1:19" ht="27.75" hidden="1">
      <c r="A357" s="664"/>
      <c r="B357" s="665"/>
      <c r="C357" s="665"/>
      <c r="D357" s="666"/>
      <c r="E357" s="240" t="s">
        <v>77</v>
      </c>
      <c r="F357" s="674"/>
      <c r="G357" s="396"/>
      <c r="H357" s="264">
        <f>I357+J357+K357</f>
        <v>3139.2442000000001</v>
      </c>
      <c r="I357" s="276">
        <v>1018.1</v>
      </c>
      <c r="J357" s="264">
        <v>1034.2</v>
      </c>
      <c r="K357" s="264">
        <f>J357*1.051</f>
        <v>1086.9441999999999</v>
      </c>
      <c r="L357" s="264"/>
      <c r="M357" s="264"/>
      <c r="N357" s="264"/>
      <c r="O357" s="264"/>
      <c r="P357" s="264"/>
      <c r="Q357" s="264"/>
      <c r="R357" s="396"/>
      <c r="S357" s="277">
        <v>1018.1</v>
      </c>
    </row>
    <row r="358" spans="1:19" ht="210.75" hidden="1" customHeight="1">
      <c r="A358" s="664"/>
      <c r="B358" s="665"/>
      <c r="C358" s="665"/>
      <c r="D358" s="666"/>
      <c r="E358" s="240" t="s">
        <v>79</v>
      </c>
      <c r="F358" s="674"/>
      <c r="G358" s="396"/>
      <c r="H358" s="264">
        <f>I358+J358+K358</f>
        <v>2697.4384510999998</v>
      </c>
      <c r="I358" s="311">
        <v>853.7</v>
      </c>
      <c r="J358" s="264">
        <f>I358*1.053</f>
        <v>898.9461</v>
      </c>
      <c r="K358" s="264">
        <f>J358*1.051</f>
        <v>944.79235109999991</v>
      </c>
      <c r="L358" s="264"/>
      <c r="M358" s="264"/>
      <c r="N358" s="264"/>
      <c r="O358" s="264"/>
      <c r="P358" s="264"/>
      <c r="Q358" s="264"/>
      <c r="R358" s="396"/>
      <c r="S358" s="277">
        <v>853.7</v>
      </c>
    </row>
    <row r="359" spans="1:19" ht="55.5" hidden="1">
      <c r="A359" s="667"/>
      <c r="B359" s="668"/>
      <c r="C359" s="668"/>
      <c r="D359" s="669"/>
      <c r="E359" s="240" t="s">
        <v>78</v>
      </c>
      <c r="F359" s="675"/>
      <c r="G359" s="396"/>
      <c r="H359" s="264">
        <f>I359+J359+K359</f>
        <v>23394.400000000001</v>
      </c>
      <c r="I359" s="264">
        <v>6986.4</v>
      </c>
      <c r="J359" s="264">
        <v>8000</v>
      </c>
      <c r="K359" s="264">
        <f>J359*1.051</f>
        <v>8408</v>
      </c>
      <c r="L359" s="264"/>
      <c r="M359" s="264"/>
      <c r="N359" s="264"/>
      <c r="O359" s="264"/>
      <c r="P359" s="264"/>
      <c r="Q359" s="264"/>
      <c r="R359" s="397"/>
      <c r="S359" s="96">
        <v>6986.4</v>
      </c>
    </row>
    <row r="360" spans="1:19" ht="27.75" customHeight="1">
      <c r="A360" s="648">
        <v>8</v>
      </c>
      <c r="B360" s="580" t="s">
        <v>491</v>
      </c>
      <c r="C360" s="652"/>
      <c r="D360" s="652"/>
      <c r="E360" s="652"/>
      <c r="F360" s="653"/>
      <c r="G360" s="137" t="s">
        <v>85</v>
      </c>
      <c r="H360" s="264"/>
      <c r="I360" s="264"/>
      <c r="J360" s="264"/>
      <c r="K360" s="264"/>
      <c r="L360" s="264"/>
      <c r="M360" s="264"/>
      <c r="N360" s="264"/>
      <c r="O360" s="264"/>
      <c r="P360" s="264"/>
      <c r="Q360" s="264"/>
      <c r="R360" s="238"/>
    </row>
    <row r="361" spans="1:19" ht="90" customHeight="1">
      <c r="A361" s="648"/>
      <c r="B361" s="582"/>
      <c r="C361" s="656"/>
      <c r="D361" s="656"/>
      <c r="E361" s="656"/>
      <c r="F361" s="657"/>
      <c r="G361" s="240" t="s">
        <v>104</v>
      </c>
      <c r="H361" s="264"/>
      <c r="I361" s="264"/>
      <c r="J361" s="264"/>
      <c r="K361" s="264"/>
      <c r="L361" s="264">
        <v>0</v>
      </c>
      <c r="M361" s="264">
        <f>N361-L361</f>
        <v>20593.5</v>
      </c>
      <c r="N361" s="264">
        <v>20593.5</v>
      </c>
      <c r="O361" s="264">
        <v>0</v>
      </c>
      <c r="P361" s="264">
        <f>Q361-O361</f>
        <v>6238.6</v>
      </c>
      <c r="Q361" s="264">
        <v>6238.6</v>
      </c>
      <c r="R361" s="238"/>
    </row>
    <row r="362" spans="1:19" ht="27.75" hidden="1">
      <c r="A362" s="256"/>
      <c r="B362" s="257"/>
      <c r="C362" s="257"/>
      <c r="D362" s="257"/>
      <c r="E362" s="249"/>
      <c r="F362" s="313"/>
      <c r="G362" s="237"/>
      <c r="H362" s="264"/>
      <c r="I362" s="264"/>
      <c r="J362" s="264"/>
      <c r="K362" s="264"/>
      <c r="L362" s="264"/>
      <c r="M362" s="264"/>
      <c r="N362" s="264"/>
      <c r="O362" s="264"/>
      <c r="P362" s="264"/>
      <c r="Q362" s="264"/>
      <c r="R362" s="238"/>
    </row>
    <row r="363" spans="1:19" ht="45" customHeight="1">
      <c r="A363" s="658" t="s">
        <v>89</v>
      </c>
      <c r="B363" s="659"/>
      <c r="C363" s="659"/>
      <c r="D363" s="659"/>
      <c r="E363" s="659"/>
      <c r="F363" s="660"/>
      <c r="G363" s="264"/>
      <c r="H363" s="264" t="e">
        <f>H267+H319+H325+H334+H338+H343+H354+H336</f>
        <v>#REF!</v>
      </c>
      <c r="I363" s="264" t="e">
        <f>I267+I319+I325+I334+I338+I343+I354+I336</f>
        <v>#REF!</v>
      </c>
      <c r="J363" s="264" t="e">
        <f>J267+J319+J325+J334+J338+J343+J354+J336</f>
        <v>#REF!</v>
      </c>
      <c r="K363" s="264" t="e">
        <f>K267+K319+K325+K334+K338+K343+K354+K336</f>
        <v>#REF!</v>
      </c>
      <c r="L363" s="264">
        <v>817024.7</v>
      </c>
      <c r="M363" s="264">
        <f>N363-L363</f>
        <v>45246.71800000011</v>
      </c>
      <c r="N363" s="264">
        <v>862271.41800000006</v>
      </c>
      <c r="O363" s="264">
        <v>678563.3</v>
      </c>
      <c r="P363" s="264">
        <f>Q363-O363</f>
        <v>201972.59999999998</v>
      </c>
      <c r="Q363" s="264">
        <v>880535.9</v>
      </c>
      <c r="R363" s="394"/>
    </row>
    <row r="364" spans="1:19" ht="83.25" hidden="1">
      <c r="A364" s="580" t="s">
        <v>92</v>
      </c>
      <c r="B364" s="652"/>
      <c r="C364" s="652"/>
      <c r="D364" s="652"/>
      <c r="E364" s="652"/>
      <c r="F364" s="653"/>
      <c r="G364" s="240" t="s">
        <v>425</v>
      </c>
      <c r="H364" s="264">
        <f>H268+H319+H330</f>
        <v>263599.7573</v>
      </c>
      <c r="I364" s="264">
        <f>I268+I319+I330</f>
        <v>125779.62299999998</v>
      </c>
      <c r="J364" s="264">
        <f>J268+J319+J330</f>
        <v>70611.679999999993</v>
      </c>
      <c r="K364" s="264">
        <f>K268+K319+K330</f>
        <v>68708.354299999992</v>
      </c>
      <c r="L364" s="264"/>
      <c r="M364" s="264"/>
      <c r="N364" s="264"/>
      <c r="O364" s="264"/>
      <c r="P364" s="264"/>
      <c r="Q364" s="264"/>
      <c r="R364" s="394"/>
    </row>
    <row r="365" spans="1:19" ht="83.25" hidden="1">
      <c r="A365" s="581"/>
      <c r="B365" s="654"/>
      <c r="C365" s="654"/>
      <c r="D365" s="654"/>
      <c r="E365" s="654"/>
      <c r="F365" s="655"/>
      <c r="G365" s="240" t="s">
        <v>429</v>
      </c>
      <c r="H365" s="264" t="e">
        <f>H269+H331+#REF!</f>
        <v>#REF!</v>
      </c>
      <c r="I365" s="264" t="e">
        <f>I269+I331+#REF!</f>
        <v>#REF!</v>
      </c>
      <c r="J365" s="264" t="e">
        <f>J269+J331+#REF!</f>
        <v>#REF!</v>
      </c>
      <c r="K365" s="264" t="e">
        <f>K269+K331+#REF!</f>
        <v>#REF!</v>
      </c>
      <c r="L365" s="264"/>
      <c r="M365" s="264"/>
      <c r="N365" s="264"/>
      <c r="O365" s="264"/>
      <c r="P365" s="264"/>
      <c r="Q365" s="264"/>
      <c r="R365" s="394"/>
    </row>
    <row r="366" spans="1:19" ht="83.25" hidden="1">
      <c r="A366" s="581"/>
      <c r="B366" s="654"/>
      <c r="C366" s="654"/>
      <c r="D366" s="654"/>
      <c r="E366" s="654"/>
      <c r="F366" s="655"/>
      <c r="G366" s="236" t="s">
        <v>96</v>
      </c>
      <c r="H366" s="264">
        <f>H270</f>
        <v>52839.700000000004</v>
      </c>
      <c r="I366" s="264">
        <f>I270</f>
        <v>52839.700000000004</v>
      </c>
      <c r="J366" s="264">
        <f>J270</f>
        <v>0</v>
      </c>
      <c r="K366" s="264">
        <f>K270</f>
        <v>0</v>
      </c>
      <c r="L366" s="264"/>
      <c r="M366" s="264"/>
      <c r="N366" s="264"/>
      <c r="O366" s="264"/>
      <c r="P366" s="264"/>
      <c r="Q366" s="264"/>
      <c r="R366" s="394"/>
    </row>
    <row r="367" spans="1:19" ht="210.75" hidden="1" customHeight="1">
      <c r="A367" s="581"/>
      <c r="B367" s="654"/>
      <c r="C367" s="654"/>
      <c r="D367" s="654"/>
      <c r="E367" s="654"/>
      <c r="F367" s="655"/>
      <c r="G367" s="236" t="s">
        <v>99</v>
      </c>
      <c r="H367" s="264">
        <f>H272</f>
        <v>4318.2</v>
      </c>
      <c r="I367" s="264">
        <f>I272</f>
        <v>4318.2</v>
      </c>
      <c r="J367" s="264">
        <f>J272</f>
        <v>0</v>
      </c>
      <c r="K367" s="264">
        <f>K272</f>
        <v>0</v>
      </c>
      <c r="L367" s="264"/>
      <c r="M367" s="264"/>
      <c r="N367" s="264"/>
      <c r="O367" s="264"/>
      <c r="P367" s="264"/>
      <c r="Q367" s="264"/>
      <c r="R367" s="394"/>
    </row>
    <row r="368" spans="1:19" ht="210.75" hidden="1" customHeight="1">
      <c r="A368" s="581"/>
      <c r="B368" s="654"/>
      <c r="C368" s="654"/>
      <c r="D368" s="654"/>
      <c r="E368" s="654"/>
      <c r="F368" s="655"/>
      <c r="G368" s="144" t="s">
        <v>100</v>
      </c>
      <c r="H368" s="264">
        <f>H271</f>
        <v>6612.1190000000006</v>
      </c>
      <c r="I368" s="264">
        <f>I271</f>
        <v>6612.1190000000006</v>
      </c>
      <c r="J368" s="264">
        <f>J271</f>
        <v>0</v>
      </c>
      <c r="K368" s="264">
        <f>K271</f>
        <v>0</v>
      </c>
      <c r="L368" s="264"/>
      <c r="M368" s="264"/>
      <c r="N368" s="264"/>
      <c r="O368" s="264"/>
      <c r="P368" s="264"/>
      <c r="Q368" s="264"/>
      <c r="R368" s="394"/>
    </row>
    <row r="369" spans="1:18" ht="222" hidden="1">
      <c r="A369" s="581"/>
      <c r="B369" s="654"/>
      <c r="C369" s="654"/>
      <c r="D369" s="654"/>
      <c r="E369" s="654"/>
      <c r="F369" s="655"/>
      <c r="G369" s="236" t="s">
        <v>203</v>
      </c>
      <c r="H369" s="264">
        <f>H273</f>
        <v>2592.0530000000003</v>
      </c>
      <c r="I369" s="264">
        <f>I273</f>
        <v>2592.0530000000003</v>
      </c>
      <c r="J369" s="264">
        <f>J273</f>
        <v>0</v>
      </c>
      <c r="K369" s="264">
        <f>K273</f>
        <v>0</v>
      </c>
      <c r="L369" s="264"/>
      <c r="M369" s="264"/>
      <c r="N369" s="264"/>
      <c r="O369" s="264"/>
      <c r="P369" s="264"/>
      <c r="Q369" s="264"/>
      <c r="R369" s="394"/>
    </row>
    <row r="370" spans="1:18" ht="210.75" hidden="1" customHeight="1">
      <c r="A370" s="581"/>
      <c r="B370" s="654"/>
      <c r="C370" s="654"/>
      <c r="D370" s="654"/>
      <c r="E370" s="654"/>
      <c r="F370" s="655"/>
      <c r="G370" s="240" t="s">
        <v>328</v>
      </c>
      <c r="H370" s="264">
        <f>H275</f>
        <v>60</v>
      </c>
      <c r="I370" s="264">
        <f>I275</f>
        <v>60</v>
      </c>
      <c r="J370" s="264">
        <f>J275</f>
        <v>0</v>
      </c>
      <c r="K370" s="264">
        <f>K275</f>
        <v>0</v>
      </c>
      <c r="L370" s="264"/>
      <c r="M370" s="264"/>
      <c r="N370" s="264"/>
      <c r="O370" s="264"/>
      <c r="P370" s="264"/>
      <c r="Q370" s="264"/>
      <c r="R370" s="394"/>
    </row>
    <row r="371" spans="1:18" ht="83.25" hidden="1">
      <c r="A371" s="581"/>
      <c r="B371" s="654"/>
      <c r="C371" s="654"/>
      <c r="D371" s="654"/>
      <c r="E371" s="654"/>
      <c r="F371" s="655"/>
      <c r="G371" s="238" t="s">
        <v>394</v>
      </c>
      <c r="H371" s="264">
        <f>H274</f>
        <v>799.7</v>
      </c>
      <c r="I371" s="264">
        <f>I274</f>
        <v>799.7</v>
      </c>
      <c r="J371" s="264">
        <f>J274</f>
        <v>0</v>
      </c>
      <c r="K371" s="264">
        <f>K274</f>
        <v>0</v>
      </c>
      <c r="L371" s="264"/>
      <c r="M371" s="264"/>
      <c r="N371" s="264"/>
      <c r="O371" s="264"/>
      <c r="P371" s="264"/>
      <c r="Q371" s="264"/>
      <c r="R371" s="394"/>
    </row>
    <row r="372" spans="1:18" ht="111" hidden="1">
      <c r="A372" s="581"/>
      <c r="B372" s="654"/>
      <c r="C372" s="654"/>
      <c r="D372" s="654"/>
      <c r="E372" s="654"/>
      <c r="F372" s="655"/>
      <c r="G372" s="240" t="s">
        <v>396</v>
      </c>
      <c r="H372" s="264">
        <f>H337</f>
        <v>6848</v>
      </c>
      <c r="I372" s="264">
        <f>I337</f>
        <v>6848</v>
      </c>
      <c r="J372" s="264">
        <f>J337</f>
        <v>0</v>
      </c>
      <c r="K372" s="264">
        <f>K337</f>
        <v>0</v>
      </c>
      <c r="L372" s="264"/>
      <c r="M372" s="264"/>
      <c r="N372" s="264"/>
      <c r="O372" s="264"/>
      <c r="P372" s="264"/>
      <c r="Q372" s="264"/>
      <c r="R372" s="394"/>
    </row>
    <row r="373" spans="1:18" ht="210.75" hidden="1" customHeight="1">
      <c r="A373" s="581"/>
      <c r="B373" s="654"/>
      <c r="C373" s="654"/>
      <c r="D373" s="654"/>
      <c r="E373" s="654"/>
      <c r="F373" s="655"/>
      <c r="G373" s="137" t="s">
        <v>83</v>
      </c>
      <c r="H373" s="264">
        <f>H332</f>
        <v>16186.17</v>
      </c>
      <c r="I373" s="264">
        <f t="shared" ref="I373:K374" si="27">I332</f>
        <v>14714.7</v>
      </c>
      <c r="J373" s="264">
        <f t="shared" si="27"/>
        <v>1471.47</v>
      </c>
      <c r="K373" s="264">
        <f t="shared" si="27"/>
        <v>0</v>
      </c>
      <c r="L373" s="264"/>
      <c r="M373" s="264"/>
      <c r="N373" s="264"/>
      <c r="O373" s="264"/>
      <c r="P373" s="264"/>
      <c r="Q373" s="264"/>
      <c r="R373" s="394"/>
    </row>
    <row r="374" spans="1:18" ht="55.5" hidden="1">
      <c r="A374" s="581"/>
      <c r="B374" s="654"/>
      <c r="C374" s="654"/>
      <c r="D374" s="654"/>
      <c r="E374" s="654"/>
      <c r="F374" s="655"/>
      <c r="G374" s="137" t="s">
        <v>84</v>
      </c>
      <c r="H374" s="264">
        <f>H333</f>
        <v>885</v>
      </c>
      <c r="I374" s="264">
        <f t="shared" si="27"/>
        <v>885</v>
      </c>
      <c r="J374" s="264">
        <f t="shared" si="27"/>
        <v>0</v>
      </c>
      <c r="K374" s="264">
        <f t="shared" si="27"/>
        <v>0</v>
      </c>
      <c r="L374" s="264"/>
      <c r="M374" s="264"/>
      <c r="N374" s="264"/>
      <c r="O374" s="264"/>
      <c r="P374" s="264"/>
      <c r="Q374" s="264"/>
      <c r="R374" s="394"/>
    </row>
    <row r="375" spans="1:18" ht="55.5" hidden="1">
      <c r="A375" s="581"/>
      <c r="B375" s="654"/>
      <c r="C375" s="654"/>
      <c r="D375" s="654"/>
      <c r="E375" s="654"/>
      <c r="F375" s="655"/>
      <c r="G375" s="137" t="s">
        <v>104</v>
      </c>
      <c r="H375" s="264">
        <f>H335</f>
        <v>6238.8</v>
      </c>
      <c r="I375" s="264">
        <f>I335</f>
        <v>6238.8</v>
      </c>
      <c r="J375" s="264">
        <f>J335</f>
        <v>0</v>
      </c>
      <c r="K375" s="264">
        <f>K335</f>
        <v>0</v>
      </c>
      <c r="L375" s="264"/>
      <c r="M375" s="264"/>
      <c r="N375" s="264"/>
      <c r="O375" s="264"/>
      <c r="P375" s="264"/>
      <c r="Q375" s="264"/>
      <c r="R375" s="394"/>
    </row>
    <row r="376" spans="1:18" ht="27.75" hidden="1">
      <c r="A376" s="581"/>
      <c r="B376" s="654"/>
      <c r="C376" s="654"/>
      <c r="D376" s="654"/>
      <c r="E376" s="654"/>
      <c r="F376" s="655"/>
      <c r="G376" s="240" t="s">
        <v>87</v>
      </c>
      <c r="H376" s="264">
        <f>H343</f>
        <v>1521697.0328319001</v>
      </c>
      <c r="I376" s="264">
        <f>I343</f>
        <v>500635.6</v>
      </c>
      <c r="J376" s="264">
        <f>J343</f>
        <v>498936.08689999994</v>
      </c>
      <c r="K376" s="264">
        <f>K343</f>
        <v>522125.34593189997</v>
      </c>
      <c r="L376" s="264"/>
      <c r="M376" s="264"/>
      <c r="N376" s="264"/>
      <c r="O376" s="264"/>
      <c r="P376" s="264"/>
      <c r="Q376" s="264"/>
      <c r="R376" s="394"/>
    </row>
    <row r="377" spans="1:18" ht="55.5" hidden="1">
      <c r="A377" s="582"/>
      <c r="B377" s="656"/>
      <c r="C377" s="656"/>
      <c r="D377" s="656"/>
      <c r="E377" s="656"/>
      <c r="F377" s="657"/>
      <c r="G377" s="240" t="s">
        <v>91</v>
      </c>
      <c r="H377" s="264">
        <f>H354</f>
        <v>71714.881940699997</v>
      </c>
      <c r="I377" s="264">
        <f>I354</f>
        <v>22375.3</v>
      </c>
      <c r="J377" s="264">
        <f>J354</f>
        <v>24055.955699999999</v>
      </c>
      <c r="K377" s="264">
        <f>K354</f>
        <v>25283.626240699999</v>
      </c>
      <c r="L377" s="264"/>
      <c r="M377" s="264"/>
      <c r="N377" s="264"/>
      <c r="O377" s="264"/>
      <c r="P377" s="264"/>
      <c r="Q377" s="264"/>
      <c r="R377" s="394"/>
    </row>
    <row r="378" spans="1:18" ht="27.75" hidden="1">
      <c r="A378" s="580" t="s">
        <v>95</v>
      </c>
      <c r="B378" s="652"/>
      <c r="C378" s="652"/>
      <c r="D378" s="653"/>
      <c r="E378" s="394" t="s">
        <v>82</v>
      </c>
      <c r="F378" s="394"/>
      <c r="G378" s="240" t="s">
        <v>90</v>
      </c>
      <c r="H378" s="264">
        <f>SUM(H379:H386)</f>
        <v>396793.76518079999</v>
      </c>
      <c r="I378" s="264">
        <f>SUM(I379:I386)</f>
        <v>143801.81</v>
      </c>
      <c r="J378" s="264">
        <f>SUM(J379:J386)</f>
        <v>123903.24079999999</v>
      </c>
      <c r="K378" s="264">
        <f>SUM(K379:K386)</f>
        <v>123017.51438079998</v>
      </c>
      <c r="L378" s="264"/>
      <c r="M378" s="264"/>
      <c r="N378" s="264"/>
      <c r="O378" s="264"/>
      <c r="P378" s="264"/>
      <c r="Q378" s="264"/>
      <c r="R378" s="394"/>
    </row>
    <row r="379" spans="1:18" ht="83.25" hidden="1">
      <c r="A379" s="581"/>
      <c r="B379" s="654"/>
      <c r="C379" s="654"/>
      <c r="D379" s="655"/>
      <c r="E379" s="394"/>
      <c r="F379" s="394"/>
      <c r="G379" s="240" t="s">
        <v>425</v>
      </c>
      <c r="H379" s="264">
        <f>H277+H320</f>
        <v>27815.84</v>
      </c>
      <c r="I379" s="264">
        <f>I277+I320</f>
        <v>15981.439999999999</v>
      </c>
      <c r="J379" s="264">
        <f>J277+J320</f>
        <v>356.7</v>
      </c>
      <c r="K379" s="264">
        <f>K277+K320</f>
        <v>5406.5</v>
      </c>
      <c r="L379" s="264"/>
      <c r="M379" s="264"/>
      <c r="N379" s="264"/>
      <c r="O379" s="264"/>
      <c r="P379" s="264"/>
      <c r="Q379" s="264"/>
      <c r="R379" s="394"/>
    </row>
    <row r="380" spans="1:18" ht="83.25" hidden="1">
      <c r="A380" s="581"/>
      <c r="B380" s="654"/>
      <c r="C380" s="654"/>
      <c r="D380" s="655"/>
      <c r="E380" s="394"/>
      <c r="F380" s="394"/>
      <c r="G380" s="236" t="s">
        <v>96</v>
      </c>
      <c r="H380" s="264">
        <f>H278</f>
        <v>12485.6</v>
      </c>
      <c r="I380" s="264">
        <f t="shared" ref="I380:K383" si="28">I278</f>
        <v>12485.6</v>
      </c>
      <c r="J380" s="264">
        <f t="shared" si="28"/>
        <v>0</v>
      </c>
      <c r="K380" s="264">
        <f t="shared" si="28"/>
        <v>0</v>
      </c>
      <c r="L380" s="264"/>
      <c r="M380" s="264"/>
      <c r="N380" s="264"/>
      <c r="O380" s="264"/>
      <c r="P380" s="264"/>
      <c r="Q380" s="264"/>
      <c r="R380" s="394"/>
    </row>
    <row r="381" spans="1:18" ht="210.75" hidden="1" customHeight="1">
      <c r="A381" s="581"/>
      <c r="B381" s="654"/>
      <c r="C381" s="654"/>
      <c r="D381" s="655"/>
      <c r="E381" s="394"/>
      <c r="F381" s="394"/>
      <c r="G381" s="236" t="s">
        <v>99</v>
      </c>
      <c r="H381" s="264">
        <f>H279</f>
        <v>147.79999999999998</v>
      </c>
      <c r="I381" s="264">
        <f t="shared" si="28"/>
        <v>147.79999999999998</v>
      </c>
      <c r="J381" s="264">
        <f t="shared" si="28"/>
        <v>0</v>
      </c>
      <c r="K381" s="264">
        <f t="shared" si="28"/>
        <v>0</v>
      </c>
      <c r="L381" s="264"/>
      <c r="M381" s="264"/>
      <c r="N381" s="264"/>
      <c r="O381" s="264"/>
      <c r="P381" s="264"/>
      <c r="Q381" s="264"/>
      <c r="R381" s="394"/>
    </row>
    <row r="382" spans="1:18" ht="222" hidden="1">
      <c r="A382" s="581"/>
      <c r="B382" s="654"/>
      <c r="C382" s="654"/>
      <c r="D382" s="655"/>
      <c r="E382" s="394"/>
      <c r="F382" s="394"/>
      <c r="G382" s="236" t="s">
        <v>203</v>
      </c>
      <c r="H382" s="264">
        <f>H280</f>
        <v>250</v>
      </c>
      <c r="I382" s="264">
        <f t="shared" si="28"/>
        <v>250</v>
      </c>
      <c r="J382" s="264">
        <f t="shared" si="28"/>
        <v>0</v>
      </c>
      <c r="K382" s="264">
        <f t="shared" si="28"/>
        <v>0</v>
      </c>
      <c r="L382" s="264"/>
      <c r="M382" s="264"/>
      <c r="N382" s="264"/>
      <c r="O382" s="264"/>
      <c r="P382" s="264"/>
      <c r="Q382" s="264"/>
      <c r="R382" s="394"/>
    </row>
    <row r="383" spans="1:18" ht="210.75" hidden="1" customHeight="1">
      <c r="A383" s="581"/>
      <c r="B383" s="654"/>
      <c r="C383" s="654"/>
      <c r="D383" s="655"/>
      <c r="E383" s="394"/>
      <c r="F383" s="394"/>
      <c r="G383" s="240" t="s">
        <v>328</v>
      </c>
      <c r="H383" s="264">
        <f>H281</f>
        <v>60</v>
      </c>
      <c r="I383" s="264">
        <f t="shared" si="28"/>
        <v>60</v>
      </c>
      <c r="J383" s="264">
        <f t="shared" si="28"/>
        <v>0</v>
      </c>
      <c r="K383" s="264">
        <f t="shared" si="28"/>
        <v>0</v>
      </c>
      <c r="L383" s="264"/>
      <c r="M383" s="264"/>
      <c r="N383" s="264"/>
      <c r="O383" s="264"/>
      <c r="P383" s="264"/>
      <c r="Q383" s="264"/>
      <c r="R383" s="394"/>
    </row>
    <row r="384" spans="1:18" ht="27.75" hidden="1">
      <c r="A384" s="581"/>
      <c r="B384" s="654"/>
      <c r="C384" s="654"/>
      <c r="D384" s="655"/>
      <c r="E384" s="394"/>
      <c r="F384" s="394"/>
      <c r="G384" s="240" t="s">
        <v>87</v>
      </c>
      <c r="H384" s="264">
        <f>H344</f>
        <v>308609.45589119999</v>
      </c>
      <c r="I384" s="264">
        <f>I344</f>
        <v>97670.399999999994</v>
      </c>
      <c r="J384" s="264">
        <f>J344</f>
        <v>102846.93119999999</v>
      </c>
      <c r="K384" s="264">
        <f>K344</f>
        <v>108092.12469119999</v>
      </c>
      <c r="L384" s="264"/>
      <c r="M384" s="264"/>
      <c r="N384" s="264"/>
      <c r="O384" s="264"/>
      <c r="P384" s="264"/>
      <c r="Q384" s="264"/>
      <c r="R384" s="394"/>
    </row>
    <row r="385" spans="1:18" ht="83.25" hidden="1">
      <c r="A385" s="581"/>
      <c r="B385" s="654"/>
      <c r="C385" s="654"/>
      <c r="D385" s="655"/>
      <c r="E385" s="394"/>
      <c r="F385" s="394"/>
      <c r="G385" s="240" t="s">
        <v>429</v>
      </c>
      <c r="H385" s="264">
        <f>H282</f>
        <v>34523.369999999995</v>
      </c>
      <c r="I385" s="264">
        <f>I282</f>
        <v>13123.369999999999</v>
      </c>
      <c r="J385" s="264">
        <f>J282</f>
        <v>16400</v>
      </c>
      <c r="K385" s="264">
        <f>K282</f>
        <v>5000</v>
      </c>
      <c r="L385" s="264"/>
      <c r="M385" s="264"/>
      <c r="N385" s="264"/>
      <c r="O385" s="264"/>
      <c r="P385" s="264"/>
      <c r="Q385" s="264"/>
      <c r="R385" s="394"/>
    </row>
    <row r="386" spans="1:18" ht="55.5" hidden="1">
      <c r="A386" s="581"/>
      <c r="B386" s="654"/>
      <c r="C386" s="654"/>
      <c r="D386" s="655"/>
      <c r="E386" s="394"/>
      <c r="F386" s="394"/>
      <c r="G386" s="240" t="s">
        <v>91</v>
      </c>
      <c r="H386" s="264">
        <f>H355</f>
        <v>12901.699289600001</v>
      </c>
      <c r="I386" s="264">
        <f>I355</f>
        <v>4083.2</v>
      </c>
      <c r="J386" s="264">
        <f>J355</f>
        <v>4299.6095999999998</v>
      </c>
      <c r="K386" s="264">
        <f>K355</f>
        <v>4518.8896895999997</v>
      </c>
      <c r="L386" s="264"/>
      <c r="M386" s="264"/>
      <c r="N386" s="264"/>
      <c r="O386" s="264"/>
      <c r="P386" s="264"/>
      <c r="Q386" s="264"/>
      <c r="R386" s="394"/>
    </row>
    <row r="387" spans="1:18" ht="27.75" hidden="1">
      <c r="A387" s="581"/>
      <c r="B387" s="654"/>
      <c r="C387" s="654"/>
      <c r="D387" s="655"/>
      <c r="E387" s="394" t="s">
        <v>76</v>
      </c>
      <c r="F387" s="394"/>
      <c r="G387" s="240" t="s">
        <v>90</v>
      </c>
      <c r="H387" s="264">
        <f>SUM(H388:H392)</f>
        <v>215601.38</v>
      </c>
      <c r="I387" s="264">
        <f>SUM(I388:I392)</f>
        <v>80682.12999999999</v>
      </c>
      <c r="J387" s="264">
        <f>SUM(J388:J392)</f>
        <v>69660.98</v>
      </c>
      <c r="K387" s="264">
        <f>SUM(K388:K392)</f>
        <v>69427.399999999994</v>
      </c>
      <c r="L387" s="264"/>
      <c r="M387" s="264"/>
      <c r="N387" s="264"/>
      <c r="O387" s="264"/>
      <c r="P387" s="264"/>
      <c r="Q387" s="264"/>
      <c r="R387" s="394"/>
    </row>
    <row r="388" spans="1:18" ht="83.25" hidden="1">
      <c r="A388" s="581"/>
      <c r="B388" s="654"/>
      <c r="C388" s="654"/>
      <c r="D388" s="655"/>
      <c r="E388" s="394"/>
      <c r="F388" s="394"/>
      <c r="G388" s="240" t="s">
        <v>425</v>
      </c>
      <c r="H388" s="264">
        <f>H284+H321</f>
        <v>34187.279999999999</v>
      </c>
      <c r="I388" s="264">
        <f>I284+I321</f>
        <v>13318.099999999997</v>
      </c>
      <c r="J388" s="264">
        <f>J284+J321</f>
        <v>10063.779999999999</v>
      </c>
      <c r="K388" s="264">
        <f>K284+K321</f>
        <v>10805.399999999998</v>
      </c>
      <c r="L388" s="264"/>
      <c r="M388" s="264"/>
      <c r="N388" s="264"/>
      <c r="O388" s="264"/>
      <c r="P388" s="264"/>
      <c r="Q388" s="264"/>
      <c r="R388" s="394"/>
    </row>
    <row r="389" spans="1:18" ht="83.25" hidden="1">
      <c r="A389" s="581"/>
      <c r="B389" s="654"/>
      <c r="C389" s="654"/>
      <c r="D389" s="655"/>
      <c r="E389" s="394"/>
      <c r="F389" s="394"/>
      <c r="G389" s="236" t="s">
        <v>96</v>
      </c>
      <c r="H389" s="264">
        <f>H285</f>
        <v>8160.1</v>
      </c>
      <c r="I389" s="264">
        <f>I285</f>
        <v>8160.1</v>
      </c>
      <c r="J389" s="264">
        <f>J285</f>
        <v>0</v>
      </c>
      <c r="K389" s="264">
        <f>K285</f>
        <v>0</v>
      </c>
      <c r="L389" s="264"/>
      <c r="M389" s="264"/>
      <c r="N389" s="264"/>
      <c r="O389" s="264"/>
      <c r="P389" s="264"/>
      <c r="Q389" s="264"/>
      <c r="R389" s="394"/>
    </row>
    <row r="390" spans="1:18" ht="27.75" hidden="1">
      <c r="A390" s="581"/>
      <c r="B390" s="654"/>
      <c r="C390" s="654"/>
      <c r="D390" s="655"/>
      <c r="E390" s="394"/>
      <c r="F390" s="394"/>
      <c r="G390" s="137" t="s">
        <v>87</v>
      </c>
      <c r="H390" s="264">
        <f>H345</f>
        <v>126826.6</v>
      </c>
      <c r="I390" s="264">
        <f>I345</f>
        <v>37455.599999999999</v>
      </c>
      <c r="J390" s="264">
        <f>J345</f>
        <v>43574</v>
      </c>
      <c r="K390" s="264">
        <f>K345</f>
        <v>45797</v>
      </c>
      <c r="L390" s="264"/>
      <c r="M390" s="264"/>
      <c r="N390" s="264"/>
      <c r="O390" s="264"/>
      <c r="P390" s="264"/>
      <c r="Q390" s="264"/>
      <c r="R390" s="394"/>
    </row>
    <row r="391" spans="1:18" ht="83.25" hidden="1">
      <c r="A391" s="581"/>
      <c r="B391" s="654"/>
      <c r="C391" s="654"/>
      <c r="D391" s="655"/>
      <c r="E391" s="394"/>
      <c r="F391" s="394"/>
      <c r="G391" s="240" t="s">
        <v>429</v>
      </c>
      <c r="H391" s="264">
        <f>H286+H339</f>
        <v>16845.3</v>
      </c>
      <c r="I391" s="264">
        <f>I286+I339</f>
        <v>12314.429999999998</v>
      </c>
      <c r="J391" s="264">
        <f>J286+J339</f>
        <v>6200</v>
      </c>
      <c r="K391" s="264">
        <f>K286+K339</f>
        <v>2500</v>
      </c>
      <c r="L391" s="264"/>
      <c r="M391" s="264"/>
      <c r="N391" s="264"/>
      <c r="O391" s="264"/>
      <c r="P391" s="264"/>
      <c r="Q391" s="264"/>
      <c r="R391" s="394"/>
    </row>
    <row r="392" spans="1:18" ht="55.5" hidden="1">
      <c r="A392" s="581"/>
      <c r="B392" s="654"/>
      <c r="C392" s="654"/>
      <c r="D392" s="655"/>
      <c r="E392" s="394"/>
      <c r="F392" s="394"/>
      <c r="G392" s="240" t="s">
        <v>91</v>
      </c>
      <c r="H392" s="264">
        <f>H356</f>
        <v>29582.1</v>
      </c>
      <c r="I392" s="264">
        <f>I356</f>
        <v>9433.9</v>
      </c>
      <c r="J392" s="264">
        <f>J356</f>
        <v>9823.2000000000007</v>
      </c>
      <c r="K392" s="264">
        <f>K356</f>
        <v>10325</v>
      </c>
      <c r="L392" s="264"/>
      <c r="M392" s="264"/>
      <c r="N392" s="264"/>
      <c r="O392" s="264"/>
      <c r="P392" s="264"/>
      <c r="Q392" s="264"/>
      <c r="R392" s="394"/>
    </row>
    <row r="393" spans="1:18" ht="27.75" hidden="1">
      <c r="A393" s="581"/>
      <c r="B393" s="654"/>
      <c r="C393" s="654"/>
      <c r="D393" s="655"/>
      <c r="E393" s="394" t="s">
        <v>77</v>
      </c>
      <c r="F393" s="394"/>
      <c r="G393" s="240" t="s">
        <v>90</v>
      </c>
      <c r="H393" s="264">
        <f>SUM(H394:H399)</f>
        <v>409301.25820000004</v>
      </c>
      <c r="I393" s="264">
        <f>SUM(I394:I399)</f>
        <v>175417.25400000002</v>
      </c>
      <c r="J393" s="264">
        <f>SUM(J394:J399)</f>
        <v>122521.56999999999</v>
      </c>
      <c r="K393" s="264">
        <f>SUM(K394:K399)</f>
        <v>111362.4342</v>
      </c>
      <c r="L393" s="264"/>
      <c r="M393" s="264"/>
      <c r="N393" s="264"/>
      <c r="O393" s="264"/>
      <c r="P393" s="264"/>
      <c r="Q393" s="264"/>
      <c r="R393" s="394"/>
    </row>
    <row r="394" spans="1:18" ht="83.25" hidden="1">
      <c r="A394" s="581"/>
      <c r="B394" s="654"/>
      <c r="C394" s="654"/>
      <c r="D394" s="655"/>
      <c r="E394" s="394"/>
      <c r="F394" s="394"/>
      <c r="G394" s="240" t="s">
        <v>425</v>
      </c>
      <c r="H394" s="264">
        <f>H288+H322</f>
        <v>38342.759999999995</v>
      </c>
      <c r="I394" s="264">
        <f>I288+I322</f>
        <v>23086.2</v>
      </c>
      <c r="J394" s="264">
        <f>J288+J322</f>
        <v>7346.57</v>
      </c>
      <c r="K394" s="264">
        <f>K288+K322</f>
        <v>7909.99</v>
      </c>
      <c r="L394" s="264"/>
      <c r="M394" s="264"/>
      <c r="N394" s="264"/>
      <c r="O394" s="264"/>
      <c r="P394" s="264"/>
      <c r="Q394" s="264"/>
      <c r="R394" s="394"/>
    </row>
    <row r="395" spans="1:18" ht="83.25" hidden="1">
      <c r="A395" s="581"/>
      <c r="B395" s="654"/>
      <c r="C395" s="654"/>
      <c r="D395" s="655"/>
      <c r="E395" s="394"/>
      <c r="F395" s="394"/>
      <c r="G395" s="236" t="s">
        <v>96</v>
      </c>
      <c r="H395" s="264">
        <f>H289</f>
        <v>12866.2</v>
      </c>
      <c r="I395" s="264">
        <f t="shared" ref="I395:K396" si="29">I289</f>
        <v>12866.2</v>
      </c>
      <c r="J395" s="264">
        <f t="shared" si="29"/>
        <v>0</v>
      </c>
      <c r="K395" s="264">
        <f t="shared" si="29"/>
        <v>0</v>
      </c>
      <c r="L395" s="264"/>
      <c r="M395" s="264"/>
      <c r="N395" s="264"/>
      <c r="O395" s="264"/>
      <c r="P395" s="264"/>
      <c r="Q395" s="264"/>
      <c r="R395" s="394"/>
    </row>
    <row r="396" spans="1:18" ht="210.75" hidden="1" customHeight="1">
      <c r="A396" s="581"/>
      <c r="B396" s="654"/>
      <c r="C396" s="654"/>
      <c r="D396" s="655"/>
      <c r="E396" s="394"/>
      <c r="F396" s="394"/>
      <c r="G396" s="236" t="s">
        <v>99</v>
      </c>
      <c r="H396" s="264">
        <f>H290</f>
        <v>2680.3</v>
      </c>
      <c r="I396" s="264">
        <f t="shared" si="29"/>
        <v>2680.3</v>
      </c>
      <c r="J396" s="264">
        <f t="shared" si="29"/>
        <v>0</v>
      </c>
      <c r="K396" s="264">
        <f t="shared" si="29"/>
        <v>0</v>
      </c>
      <c r="L396" s="264"/>
      <c r="M396" s="264"/>
      <c r="N396" s="264"/>
      <c r="O396" s="264"/>
      <c r="P396" s="264"/>
      <c r="Q396" s="264"/>
      <c r="R396" s="394"/>
    </row>
    <row r="397" spans="1:18" ht="27.75" hidden="1">
      <c r="A397" s="581"/>
      <c r="B397" s="654"/>
      <c r="C397" s="654"/>
      <c r="D397" s="655"/>
      <c r="E397" s="394"/>
      <c r="F397" s="394"/>
      <c r="G397" s="137" t="s">
        <v>87</v>
      </c>
      <c r="H397" s="264">
        <f>H346</f>
        <v>307844.8</v>
      </c>
      <c r="I397" s="264">
        <f>I346</f>
        <v>117838.5</v>
      </c>
      <c r="J397" s="264">
        <f>J346</f>
        <v>92640.8</v>
      </c>
      <c r="K397" s="264">
        <f>K346</f>
        <v>97365.5</v>
      </c>
      <c r="L397" s="264"/>
      <c r="M397" s="264"/>
      <c r="N397" s="264"/>
      <c r="O397" s="264"/>
      <c r="P397" s="264"/>
      <c r="Q397" s="264"/>
      <c r="R397" s="394"/>
    </row>
    <row r="398" spans="1:18" ht="83.25" hidden="1">
      <c r="A398" s="581"/>
      <c r="B398" s="654"/>
      <c r="C398" s="654"/>
      <c r="D398" s="655"/>
      <c r="E398" s="394"/>
      <c r="F398" s="394"/>
      <c r="G398" s="240" t="s">
        <v>429</v>
      </c>
      <c r="H398" s="264">
        <f>H291+H340</f>
        <v>44427.954000000005</v>
      </c>
      <c r="I398" s="264">
        <f>I291+I340</f>
        <v>17927.954000000002</v>
      </c>
      <c r="J398" s="264">
        <f>J291+J340</f>
        <v>21500</v>
      </c>
      <c r="K398" s="264">
        <f>K291+K340</f>
        <v>5000</v>
      </c>
      <c r="L398" s="264"/>
      <c r="M398" s="264"/>
      <c r="N398" s="264"/>
      <c r="O398" s="264"/>
      <c r="P398" s="264"/>
      <c r="Q398" s="264"/>
      <c r="R398" s="394"/>
    </row>
    <row r="399" spans="1:18" ht="55.5" hidden="1">
      <c r="A399" s="581"/>
      <c r="B399" s="654"/>
      <c r="C399" s="654"/>
      <c r="D399" s="655"/>
      <c r="E399" s="394"/>
      <c r="F399" s="394"/>
      <c r="G399" s="240" t="s">
        <v>91</v>
      </c>
      <c r="H399" s="264">
        <f>H357</f>
        <v>3139.2442000000001</v>
      </c>
      <c r="I399" s="264">
        <f>I357</f>
        <v>1018.1</v>
      </c>
      <c r="J399" s="264">
        <f>J357</f>
        <v>1034.2</v>
      </c>
      <c r="K399" s="264">
        <f>K357</f>
        <v>1086.9441999999999</v>
      </c>
      <c r="L399" s="264"/>
      <c r="M399" s="264"/>
      <c r="N399" s="264"/>
      <c r="O399" s="264"/>
      <c r="P399" s="264"/>
      <c r="Q399" s="264"/>
      <c r="R399" s="394"/>
    </row>
    <row r="400" spans="1:18" ht="27.75" hidden="1">
      <c r="A400" s="581"/>
      <c r="B400" s="654"/>
      <c r="C400" s="654"/>
      <c r="D400" s="655"/>
      <c r="E400" s="395" t="s">
        <v>75</v>
      </c>
      <c r="F400" s="394"/>
      <c r="G400" s="240" t="s">
        <v>90</v>
      </c>
      <c r="H400" s="264">
        <f>SUM(H401:H408)</f>
        <v>378476.81699999998</v>
      </c>
      <c r="I400" s="264">
        <f>SUM(I401:I408)</f>
        <v>161318.42500000002</v>
      </c>
      <c r="J400" s="264">
        <f>SUM(J401:J408)</f>
        <v>114516.3</v>
      </c>
      <c r="K400" s="264">
        <f>SUM(K401:K408)</f>
        <v>102642.09199999999</v>
      </c>
      <c r="L400" s="264"/>
      <c r="M400" s="264"/>
      <c r="N400" s="264"/>
      <c r="O400" s="264"/>
      <c r="P400" s="264"/>
      <c r="Q400" s="264"/>
      <c r="R400" s="394"/>
    </row>
    <row r="401" spans="1:18" ht="83.25" hidden="1">
      <c r="A401" s="581"/>
      <c r="B401" s="654"/>
      <c r="C401" s="654"/>
      <c r="D401" s="655"/>
      <c r="E401" s="396"/>
      <c r="F401" s="394"/>
      <c r="G401" s="137" t="s">
        <v>425</v>
      </c>
      <c r="H401" s="264">
        <f>H293+H330</f>
        <v>42831.604999999996</v>
      </c>
      <c r="I401" s="264">
        <f>I293+I330</f>
        <v>23201.383000000002</v>
      </c>
      <c r="J401" s="264">
        <f>J293+J330</f>
        <v>10396.030000000001</v>
      </c>
      <c r="K401" s="264">
        <f>K293+K330</f>
        <v>9234.1920000000009</v>
      </c>
      <c r="L401" s="264"/>
      <c r="M401" s="264"/>
      <c r="N401" s="264"/>
      <c r="O401" s="264"/>
      <c r="P401" s="264"/>
      <c r="Q401" s="264"/>
      <c r="R401" s="394"/>
    </row>
    <row r="402" spans="1:18" ht="83.25" hidden="1">
      <c r="A402" s="581"/>
      <c r="B402" s="654"/>
      <c r="C402" s="654"/>
      <c r="D402" s="655"/>
      <c r="E402" s="396"/>
      <c r="F402" s="394"/>
      <c r="G402" s="236" t="s">
        <v>96</v>
      </c>
      <c r="H402" s="264">
        <f>H294</f>
        <v>11848</v>
      </c>
      <c r="I402" s="264">
        <f t="shared" ref="I402:K403" si="30">I294</f>
        <v>11848</v>
      </c>
      <c r="J402" s="264">
        <f t="shared" si="30"/>
        <v>0</v>
      </c>
      <c r="K402" s="264">
        <f t="shared" si="30"/>
        <v>0</v>
      </c>
      <c r="L402" s="264"/>
      <c r="M402" s="264"/>
      <c r="N402" s="264"/>
      <c r="O402" s="264"/>
      <c r="P402" s="264"/>
      <c r="Q402" s="264"/>
      <c r="R402" s="394"/>
    </row>
    <row r="403" spans="1:18" ht="222" hidden="1">
      <c r="A403" s="581"/>
      <c r="B403" s="654"/>
      <c r="C403" s="654"/>
      <c r="D403" s="655"/>
      <c r="E403" s="396"/>
      <c r="F403" s="394"/>
      <c r="G403" s="236" t="s">
        <v>203</v>
      </c>
      <c r="H403" s="264">
        <f>H295</f>
        <v>1412.0530000000003</v>
      </c>
      <c r="I403" s="264">
        <f t="shared" si="30"/>
        <v>1412.0530000000003</v>
      </c>
      <c r="J403" s="264">
        <f t="shared" si="30"/>
        <v>0</v>
      </c>
      <c r="K403" s="264">
        <f t="shared" si="30"/>
        <v>0</v>
      </c>
      <c r="L403" s="264"/>
      <c r="M403" s="264"/>
      <c r="N403" s="264"/>
      <c r="O403" s="264"/>
      <c r="P403" s="264"/>
      <c r="Q403" s="264"/>
      <c r="R403" s="394"/>
    </row>
    <row r="404" spans="1:18" ht="27.75" hidden="1">
      <c r="A404" s="581"/>
      <c r="B404" s="654"/>
      <c r="C404" s="654"/>
      <c r="D404" s="655"/>
      <c r="E404" s="396"/>
      <c r="F404" s="394"/>
      <c r="G404" s="137" t="s">
        <v>87</v>
      </c>
      <c r="H404" s="264">
        <f>H347</f>
        <v>241584.30000000002</v>
      </c>
      <c r="I404" s="264">
        <f>I347</f>
        <v>70008.100000000006</v>
      </c>
      <c r="J404" s="264">
        <f>J347</f>
        <v>83168.3</v>
      </c>
      <c r="K404" s="264">
        <f>K347</f>
        <v>88407.9</v>
      </c>
      <c r="L404" s="264"/>
      <c r="M404" s="264"/>
      <c r="N404" s="264"/>
      <c r="O404" s="264"/>
      <c r="P404" s="264"/>
      <c r="Q404" s="264"/>
      <c r="R404" s="394"/>
    </row>
    <row r="405" spans="1:18" ht="83.25" hidden="1">
      <c r="A405" s="581"/>
      <c r="B405" s="654"/>
      <c r="C405" s="654"/>
      <c r="D405" s="655"/>
      <c r="E405" s="396"/>
      <c r="F405" s="394"/>
      <c r="G405" s="240" t="s">
        <v>429</v>
      </c>
      <c r="H405" s="264">
        <f>H296+H331</f>
        <v>57490.889000000003</v>
      </c>
      <c r="I405" s="264">
        <f>I296+I331</f>
        <v>33010.389000000003</v>
      </c>
      <c r="J405" s="264">
        <f>J296+J331</f>
        <v>19480.5</v>
      </c>
      <c r="K405" s="264">
        <f>K296+K331</f>
        <v>5000</v>
      </c>
      <c r="L405" s="264"/>
      <c r="M405" s="264"/>
      <c r="N405" s="264"/>
      <c r="O405" s="264"/>
      <c r="P405" s="264"/>
      <c r="Q405" s="264"/>
      <c r="R405" s="394"/>
    </row>
    <row r="406" spans="1:18" ht="210.75" hidden="1" customHeight="1">
      <c r="A406" s="581"/>
      <c r="B406" s="654"/>
      <c r="C406" s="654"/>
      <c r="D406" s="655"/>
      <c r="E406" s="396"/>
      <c r="F406" s="394"/>
      <c r="G406" s="137" t="s">
        <v>380</v>
      </c>
      <c r="H406" s="264">
        <f>H332</f>
        <v>16186.17</v>
      </c>
      <c r="I406" s="264">
        <f t="shared" ref="I406:K407" si="31">I332</f>
        <v>14714.7</v>
      </c>
      <c r="J406" s="264">
        <f t="shared" si="31"/>
        <v>1471.47</v>
      </c>
      <c r="K406" s="264">
        <f t="shared" si="31"/>
        <v>0</v>
      </c>
      <c r="L406" s="264"/>
      <c r="M406" s="264"/>
      <c r="N406" s="264"/>
      <c r="O406" s="264"/>
      <c r="P406" s="264"/>
      <c r="Q406" s="264"/>
      <c r="R406" s="394"/>
    </row>
    <row r="407" spans="1:18" ht="55.5" hidden="1">
      <c r="A407" s="581"/>
      <c r="B407" s="654"/>
      <c r="C407" s="654"/>
      <c r="D407" s="655"/>
      <c r="E407" s="396"/>
      <c r="F407" s="394"/>
      <c r="G407" s="137" t="s">
        <v>84</v>
      </c>
      <c r="H407" s="264">
        <f>H333</f>
        <v>885</v>
      </c>
      <c r="I407" s="264">
        <f t="shared" si="31"/>
        <v>885</v>
      </c>
      <c r="J407" s="264">
        <f t="shared" si="31"/>
        <v>0</v>
      </c>
      <c r="K407" s="264">
        <f t="shared" si="31"/>
        <v>0</v>
      </c>
      <c r="L407" s="264"/>
      <c r="M407" s="264"/>
      <c r="N407" s="264"/>
      <c r="O407" s="264"/>
      <c r="P407" s="264"/>
      <c r="Q407" s="264"/>
      <c r="R407" s="394"/>
    </row>
    <row r="408" spans="1:18" ht="55.5" hidden="1">
      <c r="A408" s="581"/>
      <c r="B408" s="654"/>
      <c r="C408" s="654"/>
      <c r="D408" s="655"/>
      <c r="E408" s="397"/>
      <c r="F408" s="394"/>
      <c r="G408" s="137" t="s">
        <v>104</v>
      </c>
      <c r="H408" s="264">
        <f>H335</f>
        <v>6238.8</v>
      </c>
      <c r="I408" s="264">
        <f>I335</f>
        <v>6238.8</v>
      </c>
      <c r="J408" s="264">
        <f>J335</f>
        <v>0</v>
      </c>
      <c r="K408" s="264">
        <f>K335</f>
        <v>0</v>
      </c>
      <c r="L408" s="264"/>
      <c r="M408" s="264"/>
      <c r="N408" s="264"/>
      <c r="O408" s="264"/>
      <c r="P408" s="264"/>
      <c r="Q408" s="264"/>
      <c r="R408" s="394"/>
    </row>
    <row r="409" spans="1:18" ht="27.75" hidden="1">
      <c r="A409" s="581"/>
      <c r="B409" s="654"/>
      <c r="C409" s="654"/>
      <c r="D409" s="655"/>
      <c r="E409" s="394" t="s">
        <v>79</v>
      </c>
      <c r="F409" s="394"/>
      <c r="G409" s="240" t="s">
        <v>90</v>
      </c>
      <c r="H409" s="264">
        <f>SUM(H410:H415)</f>
        <v>169276.8701573</v>
      </c>
      <c r="I409" s="264">
        <f>SUM(I410:I415)</f>
        <v>69136.47</v>
      </c>
      <c r="J409" s="264">
        <f>SUM(J410:J415)</f>
        <v>54982.242300000005</v>
      </c>
      <c r="K409" s="264">
        <f>SUM(K410:K415)</f>
        <v>45158.157857299993</v>
      </c>
      <c r="L409" s="264"/>
      <c r="M409" s="264"/>
      <c r="N409" s="264"/>
      <c r="O409" s="264"/>
      <c r="P409" s="264"/>
      <c r="Q409" s="264"/>
      <c r="R409" s="394"/>
    </row>
    <row r="410" spans="1:18" ht="83.25" hidden="1">
      <c r="A410" s="581"/>
      <c r="B410" s="654"/>
      <c r="C410" s="654"/>
      <c r="D410" s="655"/>
      <c r="E410" s="394"/>
      <c r="F410" s="394"/>
      <c r="G410" s="137" t="s">
        <v>425</v>
      </c>
      <c r="H410" s="264">
        <f>H298+H323</f>
        <v>13045.62</v>
      </c>
      <c r="I410" s="264">
        <f>I298+I323</f>
        <v>6272.9000000000005</v>
      </c>
      <c r="J410" s="264">
        <f>J298+J323</f>
        <v>3258.8</v>
      </c>
      <c r="K410" s="264">
        <f>K298+K323</f>
        <v>3513.92</v>
      </c>
      <c r="L410" s="264"/>
      <c r="M410" s="264"/>
      <c r="N410" s="264"/>
      <c r="O410" s="264"/>
      <c r="P410" s="264"/>
      <c r="Q410" s="264"/>
      <c r="R410" s="394"/>
    </row>
    <row r="411" spans="1:18" ht="222" hidden="1">
      <c r="A411" s="581"/>
      <c r="B411" s="654"/>
      <c r="C411" s="654"/>
      <c r="D411" s="655"/>
      <c r="E411" s="394"/>
      <c r="F411" s="394"/>
      <c r="G411" s="236" t="s">
        <v>203</v>
      </c>
      <c r="H411" s="264">
        <f>H300</f>
        <v>930</v>
      </c>
      <c r="I411" s="264">
        <f>I300</f>
        <v>930</v>
      </c>
      <c r="J411" s="264">
        <f>J300</f>
        <v>0</v>
      </c>
      <c r="K411" s="264">
        <f>K300</f>
        <v>0</v>
      </c>
      <c r="L411" s="264"/>
      <c r="M411" s="264"/>
      <c r="N411" s="264"/>
      <c r="O411" s="264"/>
      <c r="P411" s="264"/>
      <c r="Q411" s="264"/>
      <c r="R411" s="394"/>
    </row>
    <row r="412" spans="1:18" ht="83.25" hidden="1">
      <c r="A412" s="581"/>
      <c r="B412" s="654"/>
      <c r="C412" s="654"/>
      <c r="D412" s="655"/>
      <c r="E412" s="394"/>
      <c r="F412" s="394"/>
      <c r="G412" s="236" t="s">
        <v>96</v>
      </c>
      <c r="H412" s="264">
        <f>H299</f>
        <v>6347.6</v>
      </c>
      <c r="I412" s="264">
        <f>I299</f>
        <v>6347.6</v>
      </c>
      <c r="J412" s="264">
        <f>J299</f>
        <v>0</v>
      </c>
      <c r="K412" s="264">
        <f>K299</f>
        <v>0</v>
      </c>
      <c r="L412" s="264"/>
      <c r="M412" s="264"/>
      <c r="N412" s="264"/>
      <c r="O412" s="264"/>
      <c r="P412" s="264"/>
      <c r="Q412" s="264"/>
      <c r="R412" s="394"/>
    </row>
    <row r="413" spans="1:18" ht="27.75" hidden="1">
      <c r="A413" s="581"/>
      <c r="B413" s="654"/>
      <c r="C413" s="654"/>
      <c r="D413" s="655"/>
      <c r="E413" s="394"/>
      <c r="F413" s="394"/>
      <c r="G413" s="137" t="s">
        <v>87</v>
      </c>
      <c r="H413" s="264">
        <f>H348</f>
        <v>116199.34170620001</v>
      </c>
      <c r="I413" s="264">
        <f>I348</f>
        <v>36775.4</v>
      </c>
      <c r="J413" s="264">
        <f>J348</f>
        <v>38724.496200000001</v>
      </c>
      <c r="K413" s="264">
        <f>K348</f>
        <v>40699.445506199998</v>
      </c>
      <c r="L413" s="264"/>
      <c r="M413" s="264"/>
      <c r="N413" s="264"/>
      <c r="O413" s="264"/>
      <c r="P413" s="264"/>
      <c r="Q413" s="264"/>
      <c r="R413" s="394"/>
    </row>
    <row r="414" spans="1:18" ht="83.25" hidden="1">
      <c r="A414" s="581"/>
      <c r="B414" s="654"/>
      <c r="C414" s="654"/>
      <c r="D414" s="655"/>
      <c r="E414" s="394"/>
      <c r="F414" s="394"/>
      <c r="G414" s="240" t="s">
        <v>429</v>
      </c>
      <c r="H414" s="264">
        <f>H301+H341</f>
        <v>30056.87</v>
      </c>
      <c r="I414" s="264">
        <f>I301+I341</f>
        <v>17956.87</v>
      </c>
      <c r="J414" s="264">
        <f>J301+J341</f>
        <v>12100</v>
      </c>
      <c r="K414" s="264">
        <f>K301+K341</f>
        <v>0</v>
      </c>
      <c r="L414" s="264"/>
      <c r="M414" s="264"/>
      <c r="N414" s="264"/>
      <c r="O414" s="264"/>
      <c r="P414" s="264"/>
      <c r="Q414" s="264"/>
      <c r="R414" s="394"/>
    </row>
    <row r="415" spans="1:18" ht="55.5" hidden="1">
      <c r="A415" s="581"/>
      <c r="B415" s="654"/>
      <c r="C415" s="654"/>
      <c r="D415" s="655"/>
      <c r="E415" s="394"/>
      <c r="F415" s="394"/>
      <c r="G415" s="240" t="s">
        <v>91</v>
      </c>
      <c r="H415" s="264">
        <f>H358</f>
        <v>2697.4384510999998</v>
      </c>
      <c r="I415" s="264">
        <f>I358</f>
        <v>853.7</v>
      </c>
      <c r="J415" s="264">
        <f>J358</f>
        <v>898.9461</v>
      </c>
      <c r="K415" s="264">
        <f>K358</f>
        <v>944.79235109999991</v>
      </c>
      <c r="L415" s="264"/>
      <c r="M415" s="264"/>
      <c r="N415" s="264"/>
      <c r="O415" s="264"/>
      <c r="P415" s="264"/>
      <c r="Q415" s="264"/>
      <c r="R415" s="394"/>
    </row>
    <row r="416" spans="1:18" ht="27.75" hidden="1">
      <c r="A416" s="581"/>
      <c r="B416" s="654"/>
      <c r="C416" s="654"/>
      <c r="D416" s="655"/>
      <c r="E416" s="394" t="s">
        <v>78</v>
      </c>
      <c r="F416" s="394"/>
      <c r="G416" s="240" t="s">
        <v>90</v>
      </c>
      <c r="H416" s="264">
        <f>SUM(H417:H421)</f>
        <v>55984.484700000001</v>
      </c>
      <c r="I416" s="264">
        <f>SUM(I417:I421)</f>
        <v>18568.599999999999</v>
      </c>
      <c r="J416" s="264">
        <f>SUM(J417:J421)</f>
        <v>18171.800000000003</v>
      </c>
      <c r="K416" s="264">
        <f>SUM(K417:K421)</f>
        <v>19244.084699999999</v>
      </c>
      <c r="L416" s="264"/>
      <c r="M416" s="264"/>
      <c r="N416" s="264"/>
      <c r="O416" s="264"/>
      <c r="P416" s="264"/>
      <c r="Q416" s="264"/>
      <c r="R416" s="394"/>
    </row>
    <row r="417" spans="1:18" ht="83.25" hidden="1">
      <c r="A417" s="581"/>
      <c r="B417" s="654"/>
      <c r="C417" s="654"/>
      <c r="D417" s="655"/>
      <c r="E417" s="394"/>
      <c r="F417" s="394"/>
      <c r="G417" s="137" t="s">
        <v>425</v>
      </c>
      <c r="H417" s="264">
        <f>H303+H324</f>
        <v>26750.7</v>
      </c>
      <c r="I417" s="264">
        <f>I303+I324</f>
        <v>7383</v>
      </c>
      <c r="J417" s="264">
        <f>J303+J324</f>
        <v>9372.1</v>
      </c>
      <c r="K417" s="264">
        <f>K303+K324</f>
        <v>9995.6</v>
      </c>
      <c r="L417" s="264"/>
      <c r="M417" s="264"/>
      <c r="N417" s="264"/>
      <c r="O417" s="264"/>
      <c r="P417" s="264"/>
      <c r="Q417" s="264"/>
      <c r="R417" s="394"/>
    </row>
    <row r="418" spans="1:18" ht="83.25" hidden="1">
      <c r="A418" s="581"/>
      <c r="B418" s="654"/>
      <c r="C418" s="654"/>
      <c r="D418" s="655"/>
      <c r="E418" s="394"/>
      <c r="F418" s="394"/>
      <c r="G418" s="236" t="s">
        <v>96</v>
      </c>
      <c r="H418" s="264">
        <f>H304</f>
        <v>1132.2</v>
      </c>
      <c r="I418" s="264">
        <f>I304</f>
        <v>1132.2</v>
      </c>
      <c r="J418" s="264">
        <f>J304</f>
        <v>0</v>
      </c>
      <c r="K418" s="264">
        <f>K304</f>
        <v>0</v>
      </c>
      <c r="L418" s="264"/>
      <c r="M418" s="264"/>
      <c r="N418" s="264"/>
      <c r="O418" s="264"/>
      <c r="P418" s="264"/>
      <c r="Q418" s="264"/>
      <c r="R418" s="394"/>
    </row>
    <row r="419" spans="1:18" ht="27.75" hidden="1">
      <c r="A419" s="581"/>
      <c r="B419" s="654"/>
      <c r="C419" s="654"/>
      <c r="D419" s="655"/>
      <c r="E419" s="394"/>
      <c r="F419" s="394"/>
      <c r="G419" s="137" t="s">
        <v>87</v>
      </c>
      <c r="H419" s="264">
        <f>H349</f>
        <v>3457.1846999999998</v>
      </c>
      <c r="I419" s="264">
        <f>I349</f>
        <v>1817</v>
      </c>
      <c r="J419" s="264">
        <f>J349</f>
        <v>799.7</v>
      </c>
      <c r="K419" s="264">
        <f>K349</f>
        <v>840.48469999999998</v>
      </c>
      <c r="L419" s="264"/>
      <c r="M419" s="264"/>
      <c r="N419" s="264"/>
      <c r="O419" s="264"/>
      <c r="P419" s="264"/>
      <c r="Q419" s="264"/>
      <c r="R419" s="394"/>
    </row>
    <row r="420" spans="1:18" ht="83.25" hidden="1">
      <c r="A420" s="581"/>
      <c r="B420" s="654"/>
      <c r="C420" s="654"/>
      <c r="D420" s="655"/>
      <c r="E420" s="394"/>
      <c r="F420" s="394"/>
      <c r="G420" s="240" t="s">
        <v>429</v>
      </c>
      <c r="H420" s="264">
        <f>H305</f>
        <v>1250</v>
      </c>
      <c r="I420" s="264">
        <f>I305</f>
        <v>1250</v>
      </c>
      <c r="J420" s="264">
        <f>J305</f>
        <v>0</v>
      </c>
      <c r="K420" s="264">
        <f>K305</f>
        <v>0</v>
      </c>
      <c r="L420" s="264"/>
      <c r="M420" s="264"/>
      <c r="N420" s="264"/>
      <c r="O420" s="264"/>
      <c r="P420" s="264"/>
      <c r="Q420" s="264"/>
      <c r="R420" s="394"/>
    </row>
    <row r="421" spans="1:18" ht="55.5" hidden="1">
      <c r="A421" s="581"/>
      <c r="B421" s="654"/>
      <c r="C421" s="654"/>
      <c r="D421" s="655"/>
      <c r="E421" s="394"/>
      <c r="F421" s="394"/>
      <c r="G421" s="240" t="s">
        <v>91</v>
      </c>
      <c r="H421" s="264">
        <f>H359</f>
        <v>23394.400000000001</v>
      </c>
      <c r="I421" s="264">
        <f>I359</f>
        <v>6986.4</v>
      </c>
      <c r="J421" s="264">
        <f>J359</f>
        <v>8000</v>
      </c>
      <c r="K421" s="264">
        <f>K359</f>
        <v>8408</v>
      </c>
      <c r="L421" s="264"/>
      <c r="M421" s="264"/>
      <c r="N421" s="264"/>
      <c r="O421" s="264"/>
      <c r="P421" s="264"/>
      <c r="Q421" s="264"/>
      <c r="R421" s="394"/>
    </row>
    <row r="422" spans="1:18" ht="27.75" hidden="1">
      <c r="A422" s="581"/>
      <c r="B422" s="654"/>
      <c r="C422" s="654"/>
      <c r="D422" s="655"/>
      <c r="E422" s="395" t="s">
        <v>80</v>
      </c>
      <c r="F422" s="394"/>
      <c r="G422" s="240" t="s">
        <v>90</v>
      </c>
      <c r="H422" s="264">
        <f>SUM(H423:H425)</f>
        <v>244758.46053449999</v>
      </c>
      <c r="I422" s="264">
        <f>SUM(I423:I425)</f>
        <v>77268.91</v>
      </c>
      <c r="J422" s="264">
        <f>SUM(J423:J425)</f>
        <v>81589.159500000009</v>
      </c>
      <c r="K422" s="264">
        <f>SUM(K423:K425)</f>
        <v>85900.391034499989</v>
      </c>
      <c r="L422" s="264"/>
      <c r="M422" s="264"/>
      <c r="N422" s="264"/>
      <c r="O422" s="264"/>
      <c r="P422" s="264"/>
      <c r="Q422" s="264"/>
      <c r="R422" s="394"/>
    </row>
    <row r="423" spans="1:18" ht="83.25" hidden="1">
      <c r="A423" s="581"/>
      <c r="B423" s="654"/>
      <c r="C423" s="654"/>
      <c r="D423" s="655"/>
      <c r="E423" s="396"/>
      <c r="F423" s="394"/>
      <c r="G423" s="137" t="s">
        <v>425</v>
      </c>
      <c r="H423" s="264">
        <f>H307</f>
        <v>24646.31</v>
      </c>
      <c r="I423" s="264">
        <f t="shared" ref="I423:K424" si="32">I307</f>
        <v>7604.91</v>
      </c>
      <c r="J423" s="264">
        <f t="shared" si="32"/>
        <v>8235.5999999999985</v>
      </c>
      <c r="K423" s="264">
        <f t="shared" si="32"/>
        <v>8805.7999999999993</v>
      </c>
      <c r="L423" s="264"/>
      <c r="M423" s="264"/>
      <c r="N423" s="264"/>
      <c r="O423" s="264"/>
      <c r="P423" s="264"/>
      <c r="Q423" s="264"/>
      <c r="R423" s="394"/>
    </row>
    <row r="424" spans="1:18" ht="210.75" hidden="1" customHeight="1">
      <c r="A424" s="581"/>
      <c r="B424" s="654"/>
      <c r="C424" s="654"/>
      <c r="D424" s="655"/>
      <c r="E424" s="396"/>
      <c r="F424" s="394"/>
      <c r="G424" s="144" t="s">
        <v>100</v>
      </c>
      <c r="H424" s="264">
        <f>H308</f>
        <v>2.5</v>
      </c>
      <c r="I424" s="264">
        <f t="shared" si="32"/>
        <v>2.5</v>
      </c>
      <c r="J424" s="264">
        <f t="shared" si="32"/>
        <v>0</v>
      </c>
      <c r="K424" s="264">
        <f t="shared" si="32"/>
        <v>0</v>
      </c>
      <c r="L424" s="264"/>
      <c r="M424" s="264"/>
      <c r="N424" s="264"/>
      <c r="O424" s="264"/>
      <c r="P424" s="264"/>
      <c r="Q424" s="264"/>
      <c r="R424" s="394"/>
    </row>
    <row r="425" spans="1:18" ht="27.75" hidden="1">
      <c r="A425" s="581"/>
      <c r="B425" s="654"/>
      <c r="C425" s="654"/>
      <c r="D425" s="655"/>
      <c r="E425" s="397"/>
      <c r="F425" s="394"/>
      <c r="G425" s="283" t="s">
        <v>87</v>
      </c>
      <c r="H425" s="264">
        <f>H350+H352</f>
        <v>220109.65053449999</v>
      </c>
      <c r="I425" s="264">
        <f>I350+I352</f>
        <v>69661.5</v>
      </c>
      <c r="J425" s="264">
        <f>J350+J352</f>
        <v>73353.559500000003</v>
      </c>
      <c r="K425" s="264">
        <f>K350+K352</f>
        <v>77094.591034499987</v>
      </c>
      <c r="L425" s="264"/>
      <c r="M425" s="264"/>
      <c r="N425" s="264"/>
      <c r="O425" s="264"/>
      <c r="P425" s="264"/>
      <c r="Q425" s="264"/>
      <c r="R425" s="394"/>
    </row>
    <row r="426" spans="1:18" ht="27.75" hidden="1">
      <c r="A426" s="581"/>
      <c r="B426" s="654"/>
      <c r="C426" s="654"/>
      <c r="D426" s="655"/>
      <c r="E426" s="394" t="s">
        <v>81</v>
      </c>
      <c r="F426" s="394"/>
      <c r="G426" s="240" t="s">
        <v>90</v>
      </c>
      <c r="H426" s="264">
        <f>SUM(H427:H428)</f>
        <v>225120.54230000003</v>
      </c>
      <c r="I426" s="264">
        <f>SUM(I427:I428)</f>
        <v>77851.790000000008</v>
      </c>
      <c r="J426" s="264">
        <f>SUM(J427:J428)</f>
        <v>73391.200000000012</v>
      </c>
      <c r="K426" s="264">
        <f>SUM(K427:K428)</f>
        <v>73877.55230000001</v>
      </c>
      <c r="L426" s="264"/>
      <c r="M426" s="264"/>
      <c r="N426" s="264"/>
      <c r="O426" s="264"/>
      <c r="P426" s="264"/>
      <c r="Q426" s="264"/>
      <c r="R426" s="394"/>
    </row>
    <row r="427" spans="1:18" ht="83.25" hidden="1">
      <c r="A427" s="581"/>
      <c r="B427" s="654"/>
      <c r="C427" s="654"/>
      <c r="D427" s="655"/>
      <c r="E427" s="394"/>
      <c r="F427" s="394"/>
      <c r="G427" s="137" t="s">
        <v>425</v>
      </c>
      <c r="H427" s="264">
        <f>H310</f>
        <v>28054.842300000004</v>
      </c>
      <c r="I427" s="264">
        <f>I310</f>
        <v>8442.69</v>
      </c>
      <c r="J427" s="264">
        <f>J310</f>
        <v>9562.9000000000015</v>
      </c>
      <c r="K427" s="264">
        <f>K310</f>
        <v>10049.2523</v>
      </c>
      <c r="L427" s="264"/>
      <c r="M427" s="264"/>
      <c r="N427" s="264"/>
      <c r="O427" s="264"/>
      <c r="P427" s="264"/>
      <c r="Q427" s="264"/>
      <c r="R427" s="394"/>
    </row>
    <row r="428" spans="1:18" ht="27.75" hidden="1">
      <c r="A428" s="581"/>
      <c r="B428" s="654"/>
      <c r="C428" s="654"/>
      <c r="D428" s="655"/>
      <c r="E428" s="394"/>
      <c r="F428" s="394"/>
      <c r="G428" s="283" t="s">
        <v>87</v>
      </c>
      <c r="H428" s="264">
        <f>H351+H353</f>
        <v>197065.7</v>
      </c>
      <c r="I428" s="264">
        <f>I351+I353</f>
        <v>69409.100000000006</v>
      </c>
      <c r="J428" s="264">
        <f>J351+J353</f>
        <v>63828.3</v>
      </c>
      <c r="K428" s="264">
        <f>K351+K353</f>
        <v>63828.3</v>
      </c>
      <c r="L428" s="264"/>
      <c r="M428" s="264"/>
      <c r="N428" s="264"/>
      <c r="O428" s="264"/>
      <c r="P428" s="264"/>
      <c r="Q428" s="264"/>
      <c r="R428" s="394"/>
    </row>
    <row r="429" spans="1:18" ht="83.25" hidden="1">
      <c r="A429" s="581"/>
      <c r="B429" s="654"/>
      <c r="C429" s="654"/>
      <c r="D429" s="655"/>
      <c r="E429" s="240" t="s">
        <v>404</v>
      </c>
      <c r="F429" s="394"/>
      <c r="G429" s="137" t="s">
        <v>425</v>
      </c>
      <c r="H429" s="264">
        <f>H311</f>
        <v>3000</v>
      </c>
      <c r="I429" s="264">
        <f>I311</f>
        <v>3000</v>
      </c>
      <c r="J429" s="264">
        <f>J311</f>
        <v>0</v>
      </c>
      <c r="K429" s="264">
        <f>K311</f>
        <v>0</v>
      </c>
      <c r="L429" s="264"/>
      <c r="M429" s="264"/>
      <c r="N429" s="264"/>
      <c r="O429" s="264"/>
      <c r="P429" s="264"/>
      <c r="Q429" s="264"/>
      <c r="R429" s="394"/>
    </row>
    <row r="430" spans="1:18" ht="27.75" hidden="1">
      <c r="A430" s="581"/>
      <c r="B430" s="654"/>
      <c r="C430" s="654"/>
      <c r="D430" s="655"/>
      <c r="E430" s="394" t="s">
        <v>54</v>
      </c>
      <c r="F430" s="394"/>
      <c r="G430" s="240" t="s">
        <v>90</v>
      </c>
      <c r="H430" s="264">
        <f>SUM(H431:H436)</f>
        <v>81027.418999999994</v>
      </c>
      <c r="I430" s="264">
        <f>SUM(I431:I436)</f>
        <v>52752.919000000009</v>
      </c>
      <c r="J430" s="264">
        <f>SUM(J431:J436)</f>
        <v>25286.799999999999</v>
      </c>
      <c r="K430" s="264">
        <f>SUM(K431:K436)</f>
        <v>2987.7</v>
      </c>
      <c r="L430" s="264"/>
      <c r="M430" s="264"/>
      <c r="N430" s="264"/>
      <c r="O430" s="264"/>
      <c r="P430" s="264"/>
      <c r="Q430" s="264"/>
      <c r="R430" s="394"/>
    </row>
    <row r="431" spans="1:18" ht="83.25" hidden="1">
      <c r="A431" s="581"/>
      <c r="B431" s="654"/>
      <c r="C431" s="654"/>
      <c r="D431" s="655"/>
      <c r="E431" s="394"/>
      <c r="F431" s="394"/>
      <c r="G431" s="137" t="s">
        <v>425</v>
      </c>
      <c r="H431" s="264">
        <f>H313</f>
        <v>25819.200000000001</v>
      </c>
      <c r="I431" s="264">
        <f>I313</f>
        <v>17282.2</v>
      </c>
      <c r="J431" s="264">
        <f>J313</f>
        <v>5549.3</v>
      </c>
      <c r="K431" s="264">
        <f>K313</f>
        <v>2987.7</v>
      </c>
      <c r="L431" s="264"/>
      <c r="M431" s="264"/>
      <c r="N431" s="264"/>
      <c r="O431" s="264"/>
      <c r="P431" s="264"/>
      <c r="Q431" s="264"/>
      <c r="R431" s="394"/>
    </row>
    <row r="432" spans="1:18" ht="210.75" hidden="1" customHeight="1">
      <c r="A432" s="581"/>
      <c r="B432" s="654"/>
      <c r="C432" s="654"/>
      <c r="D432" s="655"/>
      <c r="E432" s="394"/>
      <c r="F432" s="394"/>
      <c r="G432" s="236" t="s">
        <v>99</v>
      </c>
      <c r="H432" s="264">
        <f>H315</f>
        <v>1490.1</v>
      </c>
      <c r="I432" s="264">
        <f>I315</f>
        <v>1490.1</v>
      </c>
      <c r="J432" s="264">
        <f>J315</f>
        <v>0</v>
      </c>
      <c r="K432" s="264">
        <f>K315</f>
        <v>0</v>
      </c>
      <c r="L432" s="264"/>
      <c r="M432" s="264"/>
      <c r="N432" s="264"/>
      <c r="O432" s="264"/>
      <c r="P432" s="264"/>
      <c r="Q432" s="264"/>
      <c r="R432" s="394"/>
    </row>
    <row r="433" spans="1:18" ht="210.75" hidden="1" customHeight="1">
      <c r="A433" s="581"/>
      <c r="B433" s="654"/>
      <c r="C433" s="654"/>
      <c r="D433" s="655"/>
      <c r="E433" s="394"/>
      <c r="F433" s="394"/>
      <c r="G433" s="144" t="s">
        <v>100</v>
      </c>
      <c r="H433" s="264">
        <f>H314</f>
        <v>6609.6190000000006</v>
      </c>
      <c r="I433" s="264">
        <f>I314</f>
        <v>6609.6190000000006</v>
      </c>
      <c r="J433" s="264">
        <f>J314</f>
        <v>0</v>
      </c>
      <c r="K433" s="264">
        <f>K314</f>
        <v>0</v>
      </c>
      <c r="L433" s="264"/>
      <c r="M433" s="264"/>
      <c r="N433" s="264"/>
      <c r="O433" s="264"/>
      <c r="P433" s="264"/>
      <c r="Q433" s="264"/>
      <c r="R433" s="394"/>
    </row>
    <row r="434" spans="1:18" ht="83.25" hidden="1">
      <c r="A434" s="581"/>
      <c r="B434" s="654"/>
      <c r="C434" s="654"/>
      <c r="D434" s="655"/>
      <c r="E434" s="394"/>
      <c r="F434" s="394"/>
      <c r="G434" s="238" t="s">
        <v>394</v>
      </c>
      <c r="H434" s="264">
        <f>H265</f>
        <v>799.7</v>
      </c>
      <c r="I434" s="264">
        <f>I265</f>
        <v>799.7</v>
      </c>
      <c r="J434" s="264">
        <f>J265</f>
        <v>0</v>
      </c>
      <c r="K434" s="264">
        <f>K265</f>
        <v>0</v>
      </c>
      <c r="L434" s="264"/>
      <c r="M434" s="264"/>
      <c r="N434" s="264"/>
      <c r="O434" s="264"/>
      <c r="P434" s="264"/>
      <c r="Q434" s="264"/>
      <c r="R434" s="394"/>
    </row>
    <row r="435" spans="1:18" ht="111" hidden="1">
      <c r="A435" s="581"/>
      <c r="B435" s="654"/>
      <c r="C435" s="654"/>
      <c r="D435" s="655"/>
      <c r="E435" s="394"/>
      <c r="F435" s="394"/>
      <c r="G435" s="240" t="s">
        <v>396</v>
      </c>
      <c r="H435" s="264">
        <f>H337</f>
        <v>6848</v>
      </c>
      <c r="I435" s="264">
        <f>I337</f>
        <v>6848</v>
      </c>
      <c r="J435" s="264">
        <f>J337</f>
        <v>0</v>
      </c>
      <c r="K435" s="264">
        <f>K337</f>
        <v>0</v>
      </c>
      <c r="L435" s="264"/>
      <c r="M435" s="264"/>
      <c r="N435" s="264"/>
      <c r="O435" s="264"/>
      <c r="P435" s="264"/>
      <c r="Q435" s="264"/>
      <c r="R435" s="394"/>
    </row>
    <row r="436" spans="1:18" ht="83.25" hidden="1">
      <c r="A436" s="582"/>
      <c r="B436" s="656"/>
      <c r="C436" s="656"/>
      <c r="D436" s="657"/>
      <c r="E436" s="394"/>
      <c r="F436" s="394"/>
      <c r="G436" s="240" t="s">
        <v>429</v>
      </c>
      <c r="H436" s="264">
        <f>H317</f>
        <v>39460.800000000003</v>
      </c>
      <c r="I436" s="264">
        <f>I317</f>
        <v>19723.3</v>
      </c>
      <c r="J436" s="264">
        <f>J317</f>
        <v>19737.5</v>
      </c>
      <c r="K436" s="264">
        <f>K317</f>
        <v>0</v>
      </c>
      <c r="L436" s="264"/>
      <c r="M436" s="264"/>
      <c r="N436" s="264"/>
      <c r="O436" s="264"/>
      <c r="P436" s="264"/>
      <c r="Q436" s="264"/>
      <c r="R436" s="394"/>
    </row>
    <row r="437" spans="1:18" ht="75" customHeight="1">
      <c r="Q437" s="314"/>
    </row>
    <row r="438" spans="1:18" ht="27.75">
      <c r="B438" s="96" t="s">
        <v>500</v>
      </c>
      <c r="I438" s="96" t="s">
        <v>433</v>
      </c>
      <c r="Q438" s="132" t="s">
        <v>501</v>
      </c>
    </row>
    <row r="439" spans="1:18" ht="27.75">
      <c r="H439" s="314"/>
    </row>
    <row r="440" spans="1:18" ht="27.75">
      <c r="A440" s="96" t="s">
        <v>28</v>
      </c>
    </row>
    <row r="442" spans="1:18" ht="27.75">
      <c r="C442" s="96"/>
      <c r="E442" s="96"/>
      <c r="F442" s="132"/>
      <c r="I442" s="96"/>
    </row>
    <row r="443" spans="1:18" ht="27.75">
      <c r="C443" s="96"/>
      <c r="E443" s="96"/>
      <c r="F443" s="132"/>
      <c r="I443" s="96"/>
    </row>
    <row r="444" spans="1:18" ht="27.75">
      <c r="C444" s="96"/>
      <c r="E444" s="96"/>
      <c r="F444" s="132"/>
      <c r="I444" s="96"/>
    </row>
    <row r="445" spans="1:18" ht="27.75">
      <c r="C445" s="96"/>
      <c r="E445" s="96"/>
      <c r="F445" s="132"/>
      <c r="I445" s="96"/>
    </row>
    <row r="446" spans="1:18" ht="27.75">
      <c r="E446" s="96"/>
      <c r="F446" s="132"/>
    </row>
  </sheetData>
  <mergeCells count="290">
    <mergeCell ref="C22:C24"/>
    <mergeCell ref="B10:B24"/>
    <mergeCell ref="A10:A24"/>
    <mergeCell ref="G22:J22"/>
    <mergeCell ref="I23:I24"/>
    <mergeCell ref="J23:J24"/>
    <mergeCell ref="A3:R3"/>
    <mergeCell ref="A5:A7"/>
    <mergeCell ref="B5:B7"/>
    <mergeCell ref="C5:C7"/>
    <mergeCell ref="D5:D7"/>
    <mergeCell ref="E5:E7"/>
    <mergeCell ref="F5:F7"/>
    <mergeCell ref="G5:G7"/>
    <mergeCell ref="H5:K5"/>
    <mergeCell ref="R5:R7"/>
    <mergeCell ref="H6:H7"/>
    <mergeCell ref="I6:K6"/>
    <mergeCell ref="L5:N6"/>
    <mergeCell ref="O5:Q6"/>
    <mergeCell ref="A9:R9"/>
    <mergeCell ref="C10:C12"/>
    <mergeCell ref="D10:G10"/>
    <mergeCell ref="R10:R15"/>
    <mergeCell ref="F11:F12"/>
    <mergeCell ref="G11:G12"/>
    <mergeCell ref="F17:F18"/>
    <mergeCell ref="G17:G18"/>
    <mergeCell ref="C19:C21"/>
    <mergeCell ref="D19:G19"/>
    <mergeCell ref="F20:F21"/>
    <mergeCell ref="G20:G21"/>
    <mergeCell ref="C13:C15"/>
    <mergeCell ref="D13:G13"/>
    <mergeCell ref="F14:F15"/>
    <mergeCell ref="G14:G15"/>
    <mergeCell ref="C16:C18"/>
    <mergeCell ref="D16:G16"/>
    <mergeCell ref="R16:R18"/>
    <mergeCell ref="F31:F41"/>
    <mergeCell ref="G31:G34"/>
    <mergeCell ref="D37:E37"/>
    <mergeCell ref="G37:G41"/>
    <mergeCell ref="C42:C46"/>
    <mergeCell ref="D42:G42"/>
    <mergeCell ref="A26:D28"/>
    <mergeCell ref="E26:G26"/>
    <mergeCell ref="F27:F28"/>
    <mergeCell ref="G27:G28"/>
    <mergeCell ref="A29:A74"/>
    <mergeCell ref="B29:B74"/>
    <mergeCell ref="C29:C41"/>
    <mergeCell ref="D29:G29"/>
    <mergeCell ref="C56:C58"/>
    <mergeCell ref="D56:G56"/>
    <mergeCell ref="D57:D58"/>
    <mergeCell ref="E57:E58"/>
    <mergeCell ref="F57:F58"/>
    <mergeCell ref="C72:C74"/>
    <mergeCell ref="D72:G72"/>
    <mergeCell ref="F73:F84"/>
    <mergeCell ref="G73:G84"/>
    <mergeCell ref="C77:C78"/>
    <mergeCell ref="F43:F46"/>
    <mergeCell ref="G43:G46"/>
    <mergeCell ref="C47:C52"/>
    <mergeCell ref="D47:G47"/>
    <mergeCell ref="R47:R52"/>
    <mergeCell ref="D48:D49"/>
    <mergeCell ref="E48:E49"/>
    <mergeCell ref="F48:F52"/>
    <mergeCell ref="G50:G52"/>
    <mergeCell ref="D77:E77"/>
    <mergeCell ref="C59:C62"/>
    <mergeCell ref="D59:G59"/>
    <mergeCell ref="F60:F62"/>
    <mergeCell ref="G60:G62"/>
    <mergeCell ref="C63:C67"/>
    <mergeCell ref="D63:G63"/>
    <mergeCell ref="F64:F67"/>
    <mergeCell ref="G64:G67"/>
    <mergeCell ref="R57:R58"/>
    <mergeCell ref="A107:A112"/>
    <mergeCell ref="B107:B112"/>
    <mergeCell ref="C107:C109"/>
    <mergeCell ref="D107:G107"/>
    <mergeCell ref="D108:D109"/>
    <mergeCell ref="E108:E109"/>
    <mergeCell ref="F108:F112"/>
    <mergeCell ref="A85:D106"/>
    <mergeCell ref="E85:F89"/>
    <mergeCell ref="E90:F90"/>
    <mergeCell ref="E91:F95"/>
    <mergeCell ref="E96:F98"/>
    <mergeCell ref="E99:F102"/>
    <mergeCell ref="E103:F105"/>
    <mergeCell ref="E106:F106"/>
    <mergeCell ref="E117:E118"/>
    <mergeCell ref="F117:F119"/>
    <mergeCell ref="A120:D122"/>
    <mergeCell ref="E120:E122"/>
    <mergeCell ref="F120:F122"/>
    <mergeCell ref="A113:D115"/>
    <mergeCell ref="E113:E115"/>
    <mergeCell ref="F113:F115"/>
    <mergeCell ref="A116:A119"/>
    <mergeCell ref="B116:B119"/>
    <mergeCell ref="C116:C118"/>
    <mergeCell ref="D116:G116"/>
    <mergeCell ref="D117:D118"/>
    <mergeCell ref="A123:G123"/>
    <mergeCell ref="A124:F127"/>
    <mergeCell ref="A128:D151"/>
    <mergeCell ref="E128:E132"/>
    <mergeCell ref="F128:F151"/>
    <mergeCell ref="E133:E135"/>
    <mergeCell ref="E136:E139"/>
    <mergeCell ref="E140:E142"/>
    <mergeCell ref="E143:E145"/>
    <mergeCell ref="E146:E148"/>
    <mergeCell ref="C165:C167"/>
    <mergeCell ref="D165:G165"/>
    <mergeCell ref="D166:D167"/>
    <mergeCell ref="F166:F167"/>
    <mergeCell ref="G166:G167"/>
    <mergeCell ref="D156:G156"/>
    <mergeCell ref="F157:F158"/>
    <mergeCell ref="G157:G158"/>
    <mergeCell ref="C160:C163"/>
    <mergeCell ref="D160:G160"/>
    <mergeCell ref="F161:F164"/>
    <mergeCell ref="G161:G164"/>
    <mergeCell ref="E174:E175"/>
    <mergeCell ref="F174:F178"/>
    <mergeCell ref="G176:G178"/>
    <mergeCell ref="C169:C172"/>
    <mergeCell ref="D169:G169"/>
    <mergeCell ref="D170:D172"/>
    <mergeCell ref="E170:E172"/>
    <mergeCell ref="F170:F172"/>
    <mergeCell ref="E190:F190"/>
    <mergeCell ref="C173:C178"/>
    <mergeCell ref="D173:G173"/>
    <mergeCell ref="D174:D175"/>
    <mergeCell ref="E191:F191"/>
    <mergeCell ref="E192:F195"/>
    <mergeCell ref="A196:R196"/>
    <mergeCell ref="A197:A198"/>
    <mergeCell ref="B197:B198"/>
    <mergeCell ref="A179:F179"/>
    <mergeCell ref="A180:B180"/>
    <mergeCell ref="A183:D195"/>
    <mergeCell ref="E183:F185"/>
    <mergeCell ref="E186:F186"/>
    <mergeCell ref="G186:G191"/>
    <mergeCell ref="E187:F187"/>
    <mergeCell ref="E188:F188"/>
    <mergeCell ref="E189:F189"/>
    <mergeCell ref="B199:D199"/>
    <mergeCell ref="A201:A211"/>
    <mergeCell ref="B201:B210"/>
    <mergeCell ref="C202:C210"/>
    <mergeCell ref="D202:G202"/>
    <mergeCell ref="D204:G204"/>
    <mergeCell ref="F205:F210"/>
    <mergeCell ref="G205:G210"/>
    <mergeCell ref="B211:D211"/>
    <mergeCell ref="R226:R246"/>
    <mergeCell ref="F227:F233"/>
    <mergeCell ref="G227:G233"/>
    <mergeCell ref="D234:G234"/>
    <mergeCell ref="A212:F213"/>
    <mergeCell ref="A214:F214"/>
    <mergeCell ref="R214:R224"/>
    <mergeCell ref="A215:B215"/>
    <mergeCell ref="A217:D224"/>
    <mergeCell ref="E217:E219"/>
    <mergeCell ref="F217:F224"/>
    <mergeCell ref="G220:G224"/>
    <mergeCell ref="R343:R353"/>
    <mergeCell ref="R338:R341"/>
    <mergeCell ref="R336:R337"/>
    <mergeCell ref="R334:R335"/>
    <mergeCell ref="R330:R333"/>
    <mergeCell ref="B354:C354"/>
    <mergeCell ref="B360:F361"/>
    <mergeCell ref="A360:A361"/>
    <mergeCell ref="A267:F267"/>
    <mergeCell ref="A268:F275"/>
    <mergeCell ref="A276:D317"/>
    <mergeCell ref="E276:E282"/>
    <mergeCell ref="F276:F317"/>
    <mergeCell ref="E283:E286"/>
    <mergeCell ref="E287:E291"/>
    <mergeCell ref="E292:E296"/>
    <mergeCell ref="E297:E301"/>
    <mergeCell ref="E302:E305"/>
    <mergeCell ref="E306:E308"/>
    <mergeCell ref="E309:E310"/>
    <mergeCell ref="E312:E317"/>
    <mergeCell ref="R267:R275"/>
    <mergeCell ref="B343:E343"/>
    <mergeCell ref="A344:D353"/>
    <mergeCell ref="E430:E436"/>
    <mergeCell ref="R363:R436"/>
    <mergeCell ref="R354:R359"/>
    <mergeCell ref="A363:F363"/>
    <mergeCell ref="A364:F377"/>
    <mergeCell ref="A378:D436"/>
    <mergeCell ref="E378:E386"/>
    <mergeCell ref="F378:F436"/>
    <mergeCell ref="E387:E392"/>
    <mergeCell ref="E393:E399"/>
    <mergeCell ref="E400:E408"/>
    <mergeCell ref="E409:E415"/>
    <mergeCell ref="A355:D359"/>
    <mergeCell ref="F355:F359"/>
    <mergeCell ref="G355:G359"/>
    <mergeCell ref="E416:E421"/>
    <mergeCell ref="E422:E425"/>
    <mergeCell ref="E426:E428"/>
    <mergeCell ref="G344:G353"/>
    <mergeCell ref="B336:F336"/>
    <mergeCell ref="A337:D337"/>
    <mergeCell ref="B338:F338"/>
    <mergeCell ref="G339:G342"/>
    <mergeCell ref="A339:D341"/>
    <mergeCell ref="B325:F325"/>
    <mergeCell ref="A326:D333"/>
    <mergeCell ref="E330:E333"/>
    <mergeCell ref="F330:F332"/>
    <mergeCell ref="B334:F334"/>
    <mergeCell ref="A335:D335"/>
    <mergeCell ref="A318:R318"/>
    <mergeCell ref="B319:F319"/>
    <mergeCell ref="R319:R324"/>
    <mergeCell ref="A320:D324"/>
    <mergeCell ref="F320:F324"/>
    <mergeCell ref="G320:G324"/>
    <mergeCell ref="R159:R164"/>
    <mergeCell ref="R156:R158"/>
    <mergeCell ref="R123:R151"/>
    <mergeCell ref="A252:D266"/>
    <mergeCell ref="E252:E254"/>
    <mergeCell ref="F252:F266"/>
    <mergeCell ref="G255:G256"/>
    <mergeCell ref="E257:E259"/>
    <mergeCell ref="E260:E262"/>
    <mergeCell ref="E264:E266"/>
    <mergeCell ref="F235:F238"/>
    <mergeCell ref="G235:G238"/>
    <mergeCell ref="C239:C245"/>
    <mergeCell ref="D239:G239"/>
    <mergeCell ref="F240:F247"/>
    <mergeCell ref="G240:G246"/>
    <mergeCell ref="A225:R225"/>
    <mergeCell ref="A226:A247"/>
    <mergeCell ref="R120:R122"/>
    <mergeCell ref="R116:R119"/>
    <mergeCell ref="R113:R115"/>
    <mergeCell ref="R248:R266"/>
    <mergeCell ref="R202:R210"/>
    <mergeCell ref="R179:R195"/>
    <mergeCell ref="R173:R178"/>
    <mergeCell ref="R169:R172"/>
    <mergeCell ref="R165:R167"/>
    <mergeCell ref="R211:R213"/>
    <mergeCell ref="A152:R152"/>
    <mergeCell ref="A153:A178"/>
    <mergeCell ref="B153:B178"/>
    <mergeCell ref="C153:C155"/>
    <mergeCell ref="D153:G153"/>
    <mergeCell ref="R153:R155"/>
    <mergeCell ref="F154:F155"/>
    <mergeCell ref="G154:G155"/>
    <mergeCell ref="C156:C158"/>
    <mergeCell ref="A248:G248"/>
    <mergeCell ref="A249:F251"/>
    <mergeCell ref="B226:B247"/>
    <mergeCell ref="C226:C237"/>
    <mergeCell ref="D226:G226"/>
    <mergeCell ref="R29:R41"/>
    <mergeCell ref="R26:R28"/>
    <mergeCell ref="R107:R112"/>
    <mergeCell ref="R85:R105"/>
    <mergeCell ref="R77:R84"/>
    <mergeCell ref="R72:R74"/>
    <mergeCell ref="R63:R67"/>
    <mergeCell ref="R59:R62"/>
    <mergeCell ref="R42:R46"/>
  </mergeCells>
  <pageMargins left="0.70866141732283472" right="0.31496062992125984" top="0.35433070866141736" bottom="0.39370078740157483" header="0.31496062992125984" footer="0.31496062992125984"/>
  <pageSetup paperSize="9" scale="27" orientation="landscape" verticalDpi="0" r:id="rId1"/>
  <rowBreaks count="2" manualBreakCount="2">
    <brk id="168" max="16" man="1"/>
    <brk id="32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Додаток 1</vt:lpstr>
      <vt:lpstr>Додаток 2</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2'!Область_печати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2021-02-26T12:34:22Z</cp:lastPrinted>
  <dcterms:created xsi:type="dcterms:W3CDTF">1996-10-08T23:32:33Z</dcterms:created>
  <dcterms:modified xsi:type="dcterms:W3CDTF">2021-02-26T12:34:31Z</dcterms:modified>
</cp:coreProperties>
</file>